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2.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amsy\AMS\KINGSTON NEGRA\CURSOS\COFIDE\2026\03-06-2026 TALLER NOMINA\"/>
    </mc:Choice>
  </mc:AlternateContent>
  <xr:revisionPtr revIDLastSave="0" documentId="13_ncr:1_{41C8EE0F-99A4-455E-A41F-DA792428A0BD}" xr6:coauthVersionLast="47" xr6:coauthVersionMax="47" xr10:uidLastSave="{00000000-0000-0000-0000-000000000000}"/>
  <workbookProtection workbookAlgorithmName="SHA-512" workbookHashValue="iT7t0kjPSxNq1CwnsiE+U2ZDQXgxbHRL/21IXkny8pGUM//GDVgs13FoG9jeJUbK5QAXiUESHABPW/YWj7V0TA==" workbookSaltValue="zNg/DZ2xjJorwjSdaiTjgQ==" workbookSpinCount="100000" lockStructure="1"/>
  <bookViews>
    <workbookView xWindow="2745" yWindow="1065" windowWidth="18540" windowHeight="14205" tabRatio="913" xr2:uid="{00000000-000D-0000-FFFF-FFFF00000000}"/>
  </bookViews>
  <sheets>
    <sheet name="PORTADA" sheetId="1" r:id="rId1"/>
    <sheet name="MENU" sheetId="27" r:id="rId2"/>
    <sheet name="PARAMETRO" sheetId="10" r:id="rId3"/>
    <sheet name="ART_163" sheetId="3" r:id="rId4"/>
    <sheet name="ART_174" sheetId="4" r:id="rId5"/>
    <sheet name="ART_175" sheetId="5" r:id="rId6"/>
    <sheet name="ART_176" sheetId="6" r:id="rId7"/>
    <sheet name="ART_177" sheetId="7" r:id="rId8"/>
    <sheet name="ART_173" sheetId="8" r:id="rId9"/>
    <sheet name="ART_96 LISR" sheetId="18" r:id="rId10"/>
    <sheet name="ASIMILADOS" sheetId="22" r:id="rId11"/>
    <sheet name="SBC" sheetId="20" r:id="rId12"/>
    <sheet name="DSDI" sheetId="21" r:id="rId13"/>
    <sheet name="FCFDI" sheetId="24" r:id="rId14"/>
    <sheet name="PERCEP" sheetId="25" r:id="rId15"/>
    <sheet name="DEDUC" sheetId="26" r:id="rId16"/>
    <sheet name="PRELA" sheetId="29" r:id="rId17"/>
    <sheet name="REFORMA" sheetId="28" r:id="rId18"/>
    <sheet name="TARIFAS" sheetId="2" r:id="rId19"/>
    <sheet name="GENERAL" sheetId="19" state="hidden" r:id="rId20"/>
  </sheets>
  <definedNames>
    <definedName name="_xlnm._FilterDatabase" localSheetId="14" hidden="1">PERCEP!$B$3:$G$50</definedName>
    <definedName name="ACCESO">PORTADA!$H$10</definedName>
    <definedName name="CDP">#REF!</definedName>
    <definedName name="CLAENT">PORTADA!$H$6</definedName>
    <definedName name="CLAVE">PORTADA!$J$2</definedName>
    <definedName name="CP">#REF!</definedName>
    <definedName name="DIAST">PARAMETRO!$C$15</definedName>
    <definedName name="FDPP">#REF!</definedName>
    <definedName name="FP">#REF!</definedName>
    <definedName name="FPD">#REF!</definedName>
    <definedName name="IF">#REF!</definedName>
    <definedName name="IM">#REF!</definedName>
    <definedName name="maintable">#REF!</definedName>
    <definedName name="MESES">GENERAL!$B$273:$B$303</definedName>
    <definedName name="OFP">#REF!</definedName>
    <definedName name="REG">#REF!</definedName>
    <definedName name="RF">#REF!</definedName>
    <definedName name="RM">#REF!</definedName>
    <definedName name="TARIFAC">TARIFAS!$I$23:$L$33</definedName>
    <definedName name="TARIFAM">TARIFAS!$B$83:$E$93</definedName>
    <definedName name="TCFDI">#REF!</definedName>
    <definedName name="TD">#REF!</definedName>
    <definedName name="TDC">#REF!</definedName>
    <definedName name="TDD">#REF!</definedName>
    <definedName name="TVACA">GENERAL!$B$6:$D$20</definedName>
    <definedName name="UC">#REF!</definedName>
    <definedName name="UDC">#REF!</definedName>
    <definedName name="UDM">#REF!</definedName>
    <definedName name="U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28" l="1"/>
  <c r="J34" i="28"/>
  <c r="K34" i="28"/>
  <c r="F29" i="28"/>
  <c r="G29" i="28"/>
  <c r="H29" i="28"/>
  <c r="I29" i="28"/>
  <c r="J29" i="28"/>
  <c r="K29" i="28"/>
  <c r="F30" i="28"/>
  <c r="G30" i="28"/>
  <c r="H30" i="28"/>
  <c r="I30" i="28"/>
  <c r="J30" i="28"/>
  <c r="K30" i="28"/>
  <c r="F31" i="28"/>
  <c r="F34" i="28" s="1"/>
  <c r="G31" i="28"/>
  <c r="G34" i="28" s="1"/>
  <c r="H31" i="28"/>
  <c r="H34" i="28" s="1"/>
  <c r="I31" i="28"/>
  <c r="J31" i="28"/>
  <c r="K31" i="28"/>
  <c r="E30" i="28"/>
  <c r="E29" i="28"/>
  <c r="E31" i="28" s="1"/>
  <c r="E34" i="28" s="1"/>
  <c r="D28" i="28"/>
  <c r="D27" i="28"/>
  <c r="D26" i="28"/>
  <c r="C27" i="18"/>
  <c r="C12" i="7"/>
  <c r="C18" i="6"/>
  <c r="B20" i="6" s="1"/>
  <c r="C25" i="6" s="1"/>
  <c r="C27" i="4"/>
  <c r="B29" i="4" s="1"/>
  <c r="C18" i="5"/>
  <c r="B20" i="5" s="1"/>
  <c r="C12" i="5"/>
  <c r="C13" i="5" s="1"/>
  <c r="C16" i="3"/>
  <c r="C14" i="3"/>
  <c r="C15" i="3" s="1"/>
  <c r="C17" i="3" s="1"/>
  <c r="C13" i="3"/>
  <c r="H10" i="1"/>
  <c r="F37" i="24"/>
  <c r="I36" i="24" s="1"/>
  <c r="D11" i="22"/>
  <c r="A11" i="22"/>
  <c r="A9" i="22"/>
  <c r="A8" i="22"/>
  <c r="C20" i="22" s="1"/>
  <c r="D20" i="22" s="1"/>
  <c r="A7" i="22"/>
  <c r="D59" i="21"/>
  <c r="C55" i="21"/>
  <c r="D58" i="21" s="1"/>
  <c r="C20" i="21"/>
  <c r="B24" i="21" s="1"/>
  <c r="B25" i="21" s="1"/>
  <c r="B26" i="21" s="1"/>
  <c r="B27" i="21" s="1"/>
  <c r="B28" i="21" s="1"/>
  <c r="B29" i="21" s="1"/>
  <c r="B30" i="21" s="1"/>
  <c r="B31" i="21" s="1"/>
  <c r="B32" i="21" s="1"/>
  <c r="B33" i="21" s="1"/>
  <c r="B34" i="21" s="1"/>
  <c r="B35" i="21" s="1"/>
  <c r="B36" i="21" s="1"/>
  <c r="B37" i="21" s="1"/>
  <c r="B38" i="21" s="1"/>
  <c r="B39" i="21" s="1"/>
  <c r="B40" i="21" s="1"/>
  <c r="B41" i="21" s="1"/>
  <c r="B42" i="21" s="1"/>
  <c r="B43" i="21" s="1"/>
  <c r="B44" i="21" s="1"/>
  <c r="B45" i="21" s="1"/>
  <c r="B46" i="21" s="1"/>
  <c r="B47" i="21" s="1"/>
  <c r="B48" i="21" s="1"/>
  <c r="B49" i="21" s="1"/>
  <c r="B50" i="21" s="1"/>
  <c r="B51" i="21" s="1"/>
  <c r="B52" i="21" s="1"/>
  <c r="B53" i="21" s="1"/>
  <c r="B54" i="21" s="1"/>
  <c r="G10" i="21"/>
  <c r="D10" i="21"/>
  <c r="G9" i="21"/>
  <c r="G8" i="21"/>
  <c r="G7" i="21"/>
  <c r="G6" i="21"/>
  <c r="C6" i="21"/>
  <c r="B7" i="21" s="1"/>
  <c r="B6" i="21"/>
  <c r="D6" i="21" s="1"/>
  <c r="G5" i="21"/>
  <c r="G11" i="21" s="1"/>
  <c r="D14" i="21" s="1"/>
  <c r="D5" i="21"/>
  <c r="E41" i="20"/>
  <c r="E37" i="20"/>
  <c r="E32" i="20"/>
  <c r="E31" i="20"/>
  <c r="F26" i="20"/>
  <c r="E26" i="20"/>
  <c r="E25" i="20"/>
  <c r="F24" i="20"/>
  <c r="E24" i="20"/>
  <c r="E21" i="20"/>
  <c r="C15" i="20"/>
  <c r="D16" i="20" s="1"/>
  <c r="D14" i="20"/>
  <c r="C13" i="20"/>
  <c r="C12" i="19"/>
  <c r="C13" i="19" s="1"/>
  <c r="C14" i="19" s="1"/>
  <c r="C15" i="19" s="1"/>
  <c r="C16" i="19" s="1"/>
  <c r="C17" i="19" s="1"/>
  <c r="C18" i="19" s="1"/>
  <c r="C19" i="19" s="1"/>
  <c r="C20" i="19" s="1"/>
  <c r="C11" i="19"/>
  <c r="B8" i="19"/>
  <c r="C8" i="19"/>
  <c r="D8" i="19"/>
  <c r="B9" i="19"/>
  <c r="C9" i="19"/>
  <c r="D9" i="19"/>
  <c r="B10" i="19"/>
  <c r="C10" i="19"/>
  <c r="D10" i="19"/>
  <c r="B11" i="19"/>
  <c r="D11" i="19"/>
  <c r="B12" i="19"/>
  <c r="D12" i="19"/>
  <c r="D13" i="19"/>
  <c r="D14" i="19"/>
  <c r="D15" i="19"/>
  <c r="D16" i="19"/>
  <c r="D17" i="19"/>
  <c r="D18" i="19"/>
  <c r="D19" i="19"/>
  <c r="D20" i="19"/>
  <c r="D7" i="19"/>
  <c r="C7" i="19"/>
  <c r="B7" i="19"/>
  <c r="C12" i="18"/>
  <c r="C15" i="10"/>
  <c r="C9" i="8"/>
  <c r="C12" i="8" s="1"/>
  <c r="C13" i="8" s="1"/>
  <c r="C9" i="7"/>
  <c r="C14" i="7" s="1"/>
  <c r="C15" i="7" s="1"/>
  <c r="C10" i="4"/>
  <c r="C27" i="3"/>
  <c r="B29" i="3" s="1"/>
  <c r="C14" i="8"/>
  <c r="C12" i="6"/>
  <c r="C9" i="6"/>
  <c r="C16" i="4"/>
  <c r="C13" i="4"/>
  <c r="C14" i="4" s="1"/>
  <c r="C15" i="4" s="1"/>
  <c r="C35" i="20" l="1"/>
  <c r="B29" i="18"/>
  <c r="K32" i="2"/>
  <c r="I42" i="20"/>
  <c r="I45" i="20"/>
  <c r="I41" i="20"/>
  <c r="I44" i="20"/>
  <c r="I43" i="20"/>
  <c r="C15" i="8"/>
  <c r="C18" i="7"/>
  <c r="B20" i="7" s="1"/>
  <c r="B26" i="5"/>
  <c r="C25" i="5"/>
  <c r="B25" i="5"/>
  <c r="C24" i="5"/>
  <c r="B24" i="5"/>
  <c r="C22" i="5"/>
  <c r="C21" i="5"/>
  <c r="C23" i="5" s="1"/>
  <c r="C33" i="3"/>
  <c r="B33" i="3"/>
  <c r="B32" i="3"/>
  <c r="B31" i="3"/>
  <c r="B30" i="3"/>
  <c r="B34" i="3"/>
  <c r="C31" i="3"/>
  <c r="C30" i="3"/>
  <c r="C32" i="3" s="1"/>
  <c r="I42" i="24"/>
  <c r="I38" i="24"/>
  <c r="I37" i="24"/>
  <c r="E58" i="21"/>
  <c r="A10" i="22"/>
  <c r="A6" i="22"/>
  <c r="C7" i="21"/>
  <c r="B8" i="21" s="1"/>
  <c r="D7" i="21"/>
  <c r="F21" i="20"/>
  <c r="F25" i="20"/>
  <c r="D13" i="20"/>
  <c r="E13" i="20" s="1"/>
  <c r="D18" i="20"/>
  <c r="B13" i="19"/>
  <c r="C16" i="18"/>
  <c r="K25" i="2"/>
  <c r="J24" i="2"/>
  <c r="I25" i="2" s="1"/>
  <c r="K26" i="2"/>
  <c r="K27" i="2"/>
  <c r="K31" i="2"/>
  <c r="J32" i="2"/>
  <c r="I33" i="2" s="1"/>
  <c r="K33" i="2"/>
  <c r="J23" i="2"/>
  <c r="I24" i="2" s="1"/>
  <c r="J28" i="2"/>
  <c r="I29" i="2" s="1"/>
  <c r="K29" i="2"/>
  <c r="J30" i="2"/>
  <c r="I31" i="2" s="1"/>
  <c r="J31" i="2"/>
  <c r="I32" i="2" s="1"/>
  <c r="K23" i="2"/>
  <c r="K30" i="2"/>
  <c r="K24" i="2"/>
  <c r="J29" i="2"/>
  <c r="I30" i="2" s="1"/>
  <c r="J26" i="2"/>
  <c r="I27" i="2" s="1"/>
  <c r="K28" i="2"/>
  <c r="J25" i="2"/>
  <c r="I26" i="2" s="1"/>
  <c r="J27" i="2"/>
  <c r="I28" i="2" s="1"/>
  <c r="B21" i="6"/>
  <c r="C21" i="6"/>
  <c r="B22" i="6"/>
  <c r="C22" i="6"/>
  <c r="B23" i="6"/>
  <c r="B24" i="6"/>
  <c r="C24" i="6"/>
  <c r="B25" i="6"/>
  <c r="B26" i="6"/>
  <c r="B23" i="5"/>
  <c r="B22" i="5"/>
  <c r="B21" i="5"/>
  <c r="B30" i="4"/>
  <c r="C30" i="4"/>
  <c r="B31" i="4"/>
  <c r="C31" i="4"/>
  <c r="B32" i="4"/>
  <c r="C17" i="4"/>
  <c r="C18" i="4" s="1"/>
  <c r="C19" i="4" s="1"/>
  <c r="C21" i="7" l="1"/>
  <c r="C22" i="7"/>
  <c r="B21" i="7"/>
  <c r="B22" i="7"/>
  <c r="B23" i="7"/>
  <c r="C26" i="5"/>
  <c r="C14" i="5" s="1"/>
  <c r="I41" i="24"/>
  <c r="D12" i="22"/>
  <c r="D13" i="22"/>
  <c r="D14" i="22" s="1"/>
  <c r="D17" i="22"/>
  <c r="D15" i="22"/>
  <c r="C8" i="21"/>
  <c r="F30" i="20"/>
  <c r="F29" i="20"/>
  <c r="C34" i="20"/>
  <c r="E30" i="20"/>
  <c r="E29" i="20"/>
  <c r="B14" i="19"/>
  <c r="B35" i="18"/>
  <c r="C34" i="18"/>
  <c r="B34" i="18"/>
  <c r="C33" i="18"/>
  <c r="B33" i="18"/>
  <c r="C21" i="18"/>
  <c r="C19" i="18"/>
  <c r="C17" i="18"/>
  <c r="C18" i="18" s="1"/>
  <c r="B30" i="18"/>
  <c r="B31" i="18"/>
  <c r="B32" i="18"/>
  <c r="C30" i="18"/>
  <c r="C31" i="18"/>
  <c r="C23" i="6"/>
  <c r="C26" i="6" s="1"/>
  <c r="C13" i="6" s="1"/>
  <c r="C14" i="6" s="1"/>
  <c r="C15" i="6" s="1"/>
  <c r="C32" i="4"/>
  <c r="C34" i="3"/>
  <c r="C23" i="7" l="1"/>
  <c r="C13" i="7" s="1"/>
  <c r="D16" i="22"/>
  <c r="D18" i="22" s="1"/>
  <c r="B9" i="21"/>
  <c r="D9" i="21" s="1"/>
  <c r="D8" i="21"/>
  <c r="D11" i="21" s="1"/>
  <c r="D15" i="21" s="1"/>
  <c r="E14" i="21" s="1"/>
  <c r="C36" i="20"/>
  <c r="C37" i="20" s="1"/>
  <c r="B15" i="19"/>
  <c r="C20" i="18"/>
  <c r="C22" i="18" s="1"/>
  <c r="C32" i="18"/>
  <c r="C35" i="18" s="1"/>
  <c r="C18" i="3"/>
  <c r="C19" i="3" s="1"/>
  <c r="D42" i="20" l="1"/>
  <c r="H42" i="20" s="1"/>
  <c r="J42" i="20" s="1"/>
  <c r="D44" i="20"/>
  <c r="H44" i="20" s="1"/>
  <c r="J44" i="20" s="1"/>
  <c r="D45" i="20"/>
  <c r="H45" i="20" s="1"/>
  <c r="J45" i="20" s="1"/>
  <c r="D41" i="20"/>
  <c r="F41" i="20" s="1"/>
  <c r="H41" i="20" s="1"/>
  <c r="J41" i="20" s="1"/>
  <c r="D43" i="20"/>
  <c r="H43" i="20" s="1"/>
  <c r="J43" i="20" s="1"/>
  <c r="B16" i="19"/>
  <c r="C23" i="18"/>
  <c r="C24" i="18" s="1"/>
  <c r="J46" i="20" l="1"/>
  <c r="C50" i="20" s="1"/>
  <c r="B17" i="19"/>
  <c r="B18" i="19" l="1"/>
  <c r="B19" i="19" l="1"/>
  <c r="B20"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C8" authorId="0" shapeId="0" xr:uid="{99B54CA3-78FD-4D30-8E7E-AC170B50E360}">
      <text>
        <r>
          <rPr>
            <b/>
            <sz val="9"/>
            <color indexed="81"/>
            <rFont val="Tahoma"/>
            <family val="2"/>
          </rPr>
          <t>Artículo 96 quinto párrafo LISRTratándose de honorarios a miembros de consejos directivos, de vigilancia, consultivos o de cualquier otra índole, así como de los honorarios a administradores, comisarios y gerentes generales, la retención y entero a que se refiere este artículo, no podrá ser inferior la cantidad que resulte de aplicar la tasa máxima para aplicarse sobre el excedente del límite inferior que establece la tarifa contenida en el artículo 152 de esta Ley, sobre su monto, salvo que exista, además, relación de trabajo con el retenedor, en cuyo caso, se procederá en los términos del párrafo segundo de este artículo.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C MM</author>
    <author>user</author>
  </authors>
  <commentList>
    <comment ref="B4" authorId="0" shapeId="0" xr:uid="{A76CF59B-DFEA-4727-AF89-9BF1D90EFFAD}">
      <text>
        <r>
          <rPr>
            <b/>
            <sz val="9"/>
            <color indexed="10"/>
            <rFont val="Tahoma"/>
            <family val="2"/>
          </rPr>
          <t>Guía de llenado del CFDI de nómina (página 6)</t>
        </r>
        <r>
          <rPr>
            <b/>
            <sz val="9"/>
            <color indexed="81"/>
            <rFont val="Tahoma"/>
            <family val="2"/>
          </rPr>
          <t xml:space="preserve">
Es la fecha y hora de expedición del comprobante fiscal. Se expresa en la forma AAAA-MM-DDThh:mm:ss y debe corresponder con la hora local donde se expide el comprobante. 
Este dato lo integra el sistema que utiliza el ontribuyente para la emisión del comprobante fiscal</t>
        </r>
      </text>
    </comment>
    <comment ref="I4" authorId="0" shapeId="0" xr:uid="{BFEE3220-F0B6-41A3-AC95-1AB96A0CC46E}">
      <text>
        <r>
          <rPr>
            <b/>
            <sz val="9"/>
            <color indexed="81"/>
            <rFont val="Tahoma"/>
            <family val="2"/>
          </rPr>
          <t>Guía de llenado del CFDI de nómina (página 13)
Se debe registrar la clave del Registro Federal de Contribuyentes del receptor (persona física) del comprobante.
La clave en el RFC debe estar contenida en la lista de RFC (I_RFC) inscritos no cancelados en el SAT. Debe ser de una persona física. La clave en el RFC debe ser correcta y corresponder a una persona efectivamente registrada en el SAT esto se validará por el SAT o proveedor de certificación de CFDI-, por lo que es muy importante validar las claves en el RFC de los trabajadores previamente a la generación del CFDI, ver la sección de Introducción del documento en dónde existe una liga directa a la herramienta del SAT de validación.
Nota: En caso de que el trabajador ya haya fallecido, se deberá registrar en este campo el RFC genérico XAXX010101000, debiendo registrar la CURP del trabajador fallecido en el campo “Curp” del Nodo: Receptor del Complemento de Nómina.</t>
        </r>
      </text>
    </comment>
    <comment ref="I6" authorId="0" shapeId="0" xr:uid="{76529CFF-36D5-49E5-B589-AEB1F7B42540}">
      <text>
        <r>
          <rPr>
            <b/>
            <sz val="9"/>
            <color indexed="81"/>
            <rFont val="Tahoma"/>
            <family val="2"/>
          </rPr>
          <t>En caso de que el trabajador haya fallecido se debe registrar el mismo código postal del campo LugarExpedicion.</t>
        </r>
      </text>
    </comment>
    <comment ref="B7" authorId="0" shapeId="0" xr:uid="{CB16FEC8-48C7-4C87-8638-682AF7136D64}">
      <text>
        <r>
          <rPr>
            <b/>
            <sz val="9"/>
            <color indexed="81"/>
            <rFont val="Tahoma"/>
            <family val="2"/>
          </rPr>
          <t>Guía de llenado del CFDI de nómina (página 9)
Se debe registrar la clave PUE (Pago en una sola exhibición) del catálogo c_MetodoPago publicado en el Portal del SAT.
Ejemplo:
MetodoPago= PUE</t>
        </r>
      </text>
    </comment>
    <comment ref="E8" authorId="1" shapeId="0" xr:uid="{712FC6DC-6806-4751-8EC6-92AF7046DAF8}">
      <text>
        <r>
          <rPr>
            <b/>
            <sz val="9"/>
            <color indexed="81"/>
            <rFont val="Tahoma"/>
            <family val="2"/>
          </rPr>
          <t>Atributo condicional para expresar el número de operación proporcionado por el SAT cuando se trate de un comprobante a través de un PCECFDI o un PCGCFDISP.</t>
        </r>
      </text>
    </comment>
    <comment ref="B9" authorId="0" shapeId="0" xr:uid="{AE072046-FD7E-4F0F-BCBF-391A43F9AC80}">
      <text>
        <r>
          <rPr>
            <b/>
            <sz val="9"/>
            <color indexed="10"/>
            <rFont val="Tahoma"/>
            <family val="2"/>
          </rPr>
          <t>Guía de llenado CFDI nómina (página 7)</t>
        </r>
        <r>
          <rPr>
            <b/>
            <sz val="9"/>
            <color indexed="81"/>
            <rFont val="Tahoma"/>
            <family val="2"/>
          </rPr>
          <t xml:space="preserve">
Se debe registrar el valor “MXN”.
Ejemplo:
Moneda= MXN
</t>
        </r>
      </text>
    </comment>
    <comment ref="I10" authorId="0" shapeId="0" xr:uid="{1ECA2BD7-9517-4168-9988-0F5E554C9AC6}">
      <text>
        <r>
          <rPr>
            <b/>
            <sz val="9"/>
            <color indexed="10"/>
            <rFont val="Tahoma"/>
            <family val="2"/>
          </rPr>
          <t>Guía de llenado del CFDI de nómina (página 15)</t>
        </r>
        <r>
          <rPr>
            <b/>
            <sz val="9"/>
            <color indexed="81"/>
            <rFont val="Tahoma"/>
            <family val="2"/>
          </rPr>
          <t xml:space="preserve">
Se debe registrar la clave “CN01” (Nómina) del catálogo c_UsoCFDI publicado en el Portal del SAT.</t>
        </r>
      </text>
    </comment>
    <comment ref="B13" authorId="0" shapeId="0" xr:uid="{46BC538F-91D8-4192-8F12-D5D946AFA2E2}">
      <text>
        <r>
          <rPr>
            <b/>
            <sz val="9"/>
            <color indexed="81"/>
            <rFont val="Tahoma"/>
            <family val="2"/>
          </rPr>
          <t>Guia de llenado del SAT CFDI de nómina (página 9)
Se debe registrar la clave “01” (No aplica).</t>
        </r>
      </text>
    </comment>
    <comment ref="B14" authorId="0" shapeId="0" xr:uid="{E0E4DEE7-9B9B-4CCC-B0ED-5ED31BEF3AFF}">
      <text>
        <r>
          <rPr>
            <b/>
            <sz val="9"/>
            <color indexed="10"/>
            <rFont val="Tahoma"/>
            <family val="2"/>
          </rPr>
          <t>Guía de llenado del CFDI de nómina (página 9)</t>
        </r>
        <r>
          <rPr>
            <b/>
            <sz val="9"/>
            <color indexed="81"/>
            <rFont val="Tahoma"/>
            <family val="2"/>
          </rPr>
          <t xml:space="preserve">
Se debe registrar la clave “N” (Nómina) con la que se identifica el tipo de comprobante fiscal para el contribuyente emisor.
Ejemplo:
TipoDeComprobante= N</t>
        </r>
      </text>
    </comment>
    <comment ref="B17" authorId="1" shapeId="0" xr:uid="{BAA48761-3E34-40FF-AA36-2984B19B5DDB}">
      <text>
        <r>
          <rPr>
            <b/>
            <sz val="9"/>
            <color indexed="81"/>
            <rFont val="Tahoma"/>
            <family val="2"/>
          </rPr>
          <t>Atributo requerido para indicar la clave de la relación que existe entre éste que se está generando y el o los CFDI previos</t>
        </r>
      </text>
    </comment>
    <comment ref="E17" authorId="1" shapeId="0" xr:uid="{9301DA67-FD64-45F6-A2FC-B9592DD86370}">
      <text>
        <r>
          <rPr>
            <b/>
            <sz val="9"/>
            <color indexed="81"/>
            <rFont val="Tahoma"/>
            <family val="2"/>
          </rPr>
          <t>Atributo requerido para registrar el folio fiscal (UUID) de un CFDI relacionado con el presente comprobante, por ejemplo: Si el CFDI relacionado es un comprobante de traslado que sirve para registrar el movimiento de la mercancía. Si este comprobante se usa como nota de crédito o nota de débito 
del comprobante relacionado. Si este comprobante es una devolución sobre el comprobante relacionado. Si éste sustituye a una factura cancelada.</t>
        </r>
      </text>
    </comment>
    <comment ref="B20" authorId="1" shapeId="0" xr:uid="{6E5C2899-5796-488D-BB54-50C2BA0A8D8E}">
      <text>
        <r>
          <rPr>
            <b/>
            <sz val="9"/>
            <color indexed="10"/>
            <rFont val="Tahoma"/>
            <family val="2"/>
          </rPr>
          <t>Guía de llenado del CFDI de nómina (página 16)</t>
        </r>
        <r>
          <rPr>
            <b/>
            <sz val="9"/>
            <color indexed="81"/>
            <rFont val="Tahoma"/>
            <family val="2"/>
          </rPr>
          <t xml:space="preserve">
Se debe registrar el valor “84111505”.
Ejemplo: 
ClaveProdServ= 84111505
</t>
        </r>
      </text>
    </comment>
    <comment ref="I20" authorId="0" shapeId="0" xr:uid="{9ACB0A64-2031-41FC-9F2F-8017AA863CC6}">
      <text>
        <r>
          <rPr>
            <b/>
            <sz val="9"/>
            <color indexed="10"/>
            <rFont val="Tahoma"/>
            <family val="2"/>
          </rPr>
          <t>Guía de llenado CFDI de nómina (página 16)</t>
        </r>
        <r>
          <rPr>
            <b/>
            <sz val="9"/>
            <color indexed="81"/>
            <rFont val="Tahoma"/>
            <family val="2"/>
          </rPr>
          <t xml:space="preserve">
Se debe registrar la clave “ACT”.
Ejemplo:
ClaveUnidad= AC</t>
        </r>
      </text>
    </comment>
    <comment ref="B22" authorId="2" shapeId="0" xr:uid="{99855FCE-7FA9-4F96-BBF5-60A90ADC1B44}">
      <text>
        <r>
          <rPr>
            <b/>
            <sz val="9"/>
            <color indexed="81"/>
            <rFont val="Tahoma"/>
            <family val="2"/>
          </rPr>
          <t>Concepto de unidad de medida a utilizar en los CFDI
2.7.1.25. Para los efectos del artículo 29-A, fracción V, primer párrafo del CFF, los contribuyentes podrán señalar en los CFDI que emitan, la unidad de medida que utilicen conforme a los usos mercantiles.
 Asimismo, se deberá registrar la unidad de medida que corresponda con la Clave Unidad del Catálogo “Clave Unidad” señalada en el Anexo 20, en caso de que no se encuentre la clave específica de la unidad de medida que se utilizó conforme a los usos mercantiles los contribuyentes podrán señalar la clave que más se acerque o se asemeje.
 CFF 29-A</t>
        </r>
      </text>
    </comment>
    <comment ref="E22" authorId="0" shapeId="0" xr:uid="{0EBCA01B-9F74-4D9F-AD25-7C82960AADDA}">
      <text>
        <r>
          <rPr>
            <b/>
            <sz val="9"/>
            <color indexed="10"/>
            <rFont val="Tahoma"/>
            <family val="2"/>
          </rPr>
          <t>Guía de llenado CFDI de nómina (página 16)</t>
        </r>
        <r>
          <rPr>
            <b/>
            <sz val="9"/>
            <color indexed="81"/>
            <rFont val="Tahoma"/>
            <family val="2"/>
          </rPr>
          <t xml:space="preserve">
Se debe registrar el valor “1”.
Ejemplo:
Cantidad= 1</t>
        </r>
      </text>
    </comment>
    <comment ref="I22" authorId="0" shapeId="0" xr:uid="{3677B34C-85BD-477D-B058-9142298BD2E5}">
      <text>
        <r>
          <rPr>
            <b/>
            <sz val="9"/>
            <color indexed="10"/>
            <rFont val="Tahoma"/>
            <family val="2"/>
          </rPr>
          <t>Guía de llenado CFDI de nómina (página 17)</t>
        </r>
        <r>
          <rPr>
            <b/>
            <sz val="9"/>
            <color indexed="81"/>
            <rFont val="Tahoma"/>
            <family val="2"/>
          </rPr>
          <t xml:space="preserve">
Se debe registrar la suma de los campos TotalPercepciones más TotalOtrosPagos del Complemento Nómina.</t>
        </r>
      </text>
    </comment>
    <comment ref="B24" authorId="0" shapeId="0" xr:uid="{20608F6C-31EA-4401-9D8D-C32B0DE6231A}">
      <text>
        <r>
          <rPr>
            <b/>
            <sz val="9"/>
            <color indexed="10"/>
            <rFont val="Tahoma"/>
            <family val="2"/>
          </rPr>
          <t>Guía de llenado CFDI de nómina (página 17)</t>
        </r>
        <r>
          <rPr>
            <b/>
            <sz val="9"/>
            <color indexed="81"/>
            <rFont val="Tahoma"/>
            <family val="2"/>
          </rPr>
          <t xml:space="preserve">
Se debe registrar el valor “Pago de nómina”, este valor se debe registrar así, indistintamente de si trata de un rabajador asalariado o de un asimilado a salarios, toda vez que la información específica que denota si el comprobantecorresponde a un asalariado o asimilado a salarios se recisa dentro del complemento de nómina en los campos TipoContrato y TipoRegimen.
Ejemplo:
Descripcion= Pago de nómina</t>
        </r>
      </text>
    </comment>
    <comment ref="E24" authorId="0" shapeId="0" xr:uid="{E835C91B-1F2B-467B-BE1D-C5150A086319}">
      <text>
        <r>
          <rPr>
            <b/>
            <sz val="9"/>
            <color indexed="10"/>
            <rFont val="Tahoma"/>
            <family val="2"/>
          </rPr>
          <t>Guía de llenado CFDI de nómina (página 17)</t>
        </r>
        <r>
          <rPr>
            <b/>
            <sz val="9"/>
            <color indexed="81"/>
            <rFont val="Tahoma"/>
            <family val="2"/>
          </rPr>
          <t xml:space="preserve">
Se debe registrar la suma de los campos TotalPercepciones más TotalOtrosPagos del Complemento Nómina.</t>
        </r>
      </text>
    </comment>
    <comment ref="I24" authorId="0" shapeId="0" xr:uid="{12DAF03B-D006-4E7B-9F22-7590FEE780DA}">
      <text>
        <r>
          <rPr>
            <b/>
            <sz val="9"/>
            <color indexed="10"/>
            <rFont val="Tahoma"/>
            <family val="2"/>
          </rPr>
          <t>Guía de llenado CFDI de nómina (página 17)</t>
        </r>
        <r>
          <rPr>
            <b/>
            <sz val="9"/>
            <color indexed="81"/>
            <rFont val="Tahoma"/>
            <family val="2"/>
          </rPr>
          <t xml:space="preserve">
Se debe registrar el valor del campo TotalDeducciones.</t>
        </r>
      </text>
    </comment>
    <comment ref="B26" authorId="0" shapeId="0" xr:uid="{8B8B37CD-DD38-4CB8-9676-2B73831513BA}">
      <text>
        <r>
          <rPr>
            <b/>
            <sz val="9"/>
            <color indexed="10"/>
            <rFont val="Tahoma"/>
            <family val="2"/>
          </rPr>
          <t>Guía de llenado CFDI de nómina (página 17)</t>
        </r>
        <r>
          <rPr>
            <b/>
            <sz val="9"/>
            <color indexed="81"/>
            <rFont val="Tahoma"/>
            <family val="2"/>
          </rPr>
          <t xml:space="preserve">
Se debe registrar la clave “01” (No objeto de impuesto).
Ejemplo:
ObjetoImp= 01</t>
        </r>
      </text>
    </comment>
  </commentList>
</comments>
</file>

<file path=xl/sharedStrings.xml><?xml version="1.0" encoding="utf-8"?>
<sst xmlns="http://schemas.openxmlformats.org/spreadsheetml/2006/main" count="1576" uniqueCount="989">
  <si>
    <t>Concepto</t>
  </si>
  <si>
    <t>Tarifas ISR 2026</t>
  </si>
  <si>
    <t>Capturadas con los datos proporcionados por el usuario</t>
  </si>
  <si>
    <t>ANUAL_PP</t>
  </si>
  <si>
    <t>Límite inferior</t>
  </si>
  <si>
    <t>Límite superior</t>
  </si>
  <si>
    <t>Cuota fija</t>
  </si>
  <si>
    <t>% excedente</t>
  </si>
  <si>
    <t>Nombre rango</t>
  </si>
  <si>
    <t>DIARIA</t>
  </si>
  <si>
    <t>SEMANAL_7</t>
  </si>
  <si>
    <t>DECENAL_10</t>
  </si>
  <si>
    <t>QUINCENAL_15</t>
  </si>
  <si>
    <t>MENSUAL</t>
  </si>
  <si>
    <t>Artículo 163 RLISR</t>
  </si>
  <si>
    <t>Percepciones gravables de varios meses pagadas en una sola vez</t>
  </si>
  <si>
    <t>Dato</t>
  </si>
  <si>
    <t>Importe / Selección</t>
  </si>
  <si>
    <t>Explicación</t>
  </si>
  <si>
    <t>Ingreso ordinario mensual</t>
  </si>
  <si>
    <t>Sueldo o ingreso regular del mes.</t>
  </si>
  <si>
    <t>Percepción gravable acumulada</t>
  </si>
  <si>
    <t>Monto pagado en una sola exhibición por varios meses.</t>
  </si>
  <si>
    <t>Días a que corresponde la percepción</t>
  </si>
  <si>
    <t>Días del periodo que originó la percepción.</t>
  </si>
  <si>
    <t>Cálculo</t>
  </si>
  <si>
    <t>Monto mensualizado</t>
  </si>
  <si>
    <t>Fracc. I: percepción / días × 30.4</t>
  </si>
  <si>
    <t>Base con ingreso ordinario</t>
  </si>
  <si>
    <t>Fracc. II: suma ingreso ordinario + percepción mensualizada</t>
  </si>
  <si>
    <t>ISR base con ordinario</t>
  </si>
  <si>
    <t>Aplicación tarifa mensual art. 96 LISR</t>
  </si>
  <si>
    <t>ISR ingreso ordinario</t>
  </si>
  <si>
    <t>Mismo procedimiento sin percepción adicional</t>
  </si>
  <si>
    <t>ISR incremental</t>
  </si>
  <si>
    <t>Fracc. III: impuesto diferencia</t>
  </si>
  <si>
    <t>Tasa aplicable</t>
  </si>
  <si>
    <t>Fracc. V: ISR incremental / monto mensualizado</t>
  </si>
  <si>
    <t>Retención sobre pago acumulado</t>
  </si>
  <si>
    <t>Fracc. IV: percepción total × tasa</t>
  </si>
  <si>
    <t>Ejemplo explicado</t>
  </si>
  <si>
    <t>Si el trabajador recibe $60,000 de diferencias de 90 días y su sueldo mensual regular es $25,000, primero se mensualiza el pago extraordinario; después se calcula el ISR con y sin el adicional para obtener una tasa efectiva aplicable al pago total acumulado.</t>
  </si>
  <si>
    <t>Artículo 174 RLISR</t>
  </si>
  <si>
    <t>Opción para aguinaldo, PTU, prima vacacional y prima dominical</t>
  </si>
  <si>
    <t>Ingreso regular del trabajador en el mes.</t>
  </si>
  <si>
    <t>Remuneración extraordinaria</t>
  </si>
  <si>
    <t>Aguinaldo, PTU, prima vacacional o prima dominical gravable.</t>
  </si>
  <si>
    <t>Tipo remuneración</t>
  </si>
  <si>
    <t>Aguinaldo</t>
  </si>
  <si>
    <t>Dato descriptivo.</t>
  </si>
  <si>
    <t>Remuneración mensualizada</t>
  </si>
  <si>
    <t>Fracc. I: remuneración / 365 × 30.4</t>
  </si>
  <si>
    <t>Fracc. II</t>
  </si>
  <si>
    <t>Tarifa mensual art. 96 LISR</t>
  </si>
  <si>
    <t>ISR sólo del ingreso ordinario</t>
  </si>
  <si>
    <t>Fracc. III</t>
  </si>
  <si>
    <t>Fracc. V</t>
  </si>
  <si>
    <t>Retención opcional</t>
  </si>
  <si>
    <t>Fracc. IV</t>
  </si>
  <si>
    <t>Comparativo</t>
  </si>
  <si>
    <t>Este método suele suavizar la retención de conceptos extraordinarios porque no acumula todo el pago extraordinario como si fuera ingreso mensual ordinario.</t>
  </si>
  <si>
    <t>Artículo 175 RLISR</t>
  </si>
  <si>
    <t>Pago por cantidad de trabajo realizado y no por días laborados</t>
  </si>
  <si>
    <t>Monto pagado por trabajo realizado</t>
  </si>
  <si>
    <t>Pago total del destajo, obra, unidad o cantidad producida.</t>
  </si>
  <si>
    <t>Días efectivamente trabajados</t>
  </si>
  <si>
    <t>Días necesarios para realizar el trabajo.</t>
  </si>
  <si>
    <t>Tarifa aplicable</t>
  </si>
  <si>
    <t>La fracción II usa tarifa calculada en días.</t>
  </si>
  <si>
    <t>Ingreso diario</t>
  </si>
  <si>
    <t>Fracc. II: salario / días</t>
  </si>
  <si>
    <t>ISR diario</t>
  </si>
  <si>
    <t>Retención total</t>
  </si>
  <si>
    <t>Fracc. III: ISR diario × días</t>
  </si>
  <si>
    <t>Artículo 176 RLISR</t>
  </si>
  <si>
    <t>Retención por pagos de 7, 10, 15 días o mensual</t>
  </si>
  <si>
    <t>Periodo del pago</t>
  </si>
  <si>
    <t>Capture 7, 10, 15 o 30.</t>
  </si>
  <si>
    <t>Ingreso del periodo</t>
  </si>
  <si>
    <t>Ingreso gravable del periodo.</t>
  </si>
  <si>
    <t>Tarifa usada</t>
  </si>
  <si>
    <t>Se determina automáticamente según periodo.</t>
  </si>
  <si>
    <t>Se aplica la tarifa del periodo seleccionado.</t>
  </si>
  <si>
    <t>Ingreso neto estimado</t>
  </si>
  <si>
    <t>Ingreso menos ISR a retener</t>
  </si>
  <si>
    <t>Artículo 177 RLISR</t>
  </si>
  <si>
    <t>Retención mensual con proyección anual</t>
  </si>
  <si>
    <t>Monto anual estimado de pagos</t>
  </si>
  <si>
    <t>Estimación de ingresos que se pagarán al trabajador en el año.</t>
  </si>
  <si>
    <t>Meses para dividir</t>
  </si>
  <si>
    <t>Reglamento: dividir entre doce.</t>
  </si>
  <si>
    <t>Ingreso mensual real actual</t>
  </si>
  <si>
    <t>Dato para comparar con la proyección.</t>
  </si>
  <si>
    <t>Ingreso mensual proyectado</t>
  </si>
  <si>
    <t>Fracc. II: monto anual / 12</t>
  </si>
  <si>
    <t>ISR mensual proyectado</t>
  </si>
  <si>
    <t>ISR mensual a retener</t>
  </si>
  <si>
    <t>Diferencia contra ingreso real</t>
  </si>
  <si>
    <t>Al variar la base debe recalcularse</t>
  </si>
  <si>
    <t>Advertencia</t>
  </si>
  <si>
    <t>Cuando cambie la base se recalcula.</t>
  </si>
  <si>
    <t>Artículo 173 RLISR</t>
  </si>
  <si>
    <t>Pago único de jubilaciones, pensiones o haberes de retiro</t>
  </si>
  <si>
    <t>Pago único</t>
  </si>
  <si>
    <t>Monto total pagado de una sola vez.</t>
  </si>
  <si>
    <t>Pensión mensual teórica</t>
  </si>
  <si>
    <t>Cantidad mensual que se hubiera percibido sin pago único.</t>
  </si>
  <si>
    <t>Exención mensual aplicable</t>
  </si>
  <si>
    <t>Capture el monto equivalente a la exención mensual aplicable; el archivo no actualiza UMA/SMG.</t>
  </si>
  <si>
    <t>Comentarios</t>
  </si>
  <si>
    <t>Actualizar exención</t>
  </si>
  <si>
    <t>Revise art. 93 fracc. IV y V LISR y reglas vigentes.</t>
  </si>
  <si>
    <t>Base mensual gravada</t>
  </si>
  <si>
    <t>Fracc. I: pensión mensual menos exención</t>
  </si>
  <si>
    <t>ISR mensual</t>
  </si>
  <si>
    <t>Aplicar art. 96 LISR a base mensual gravada</t>
  </si>
  <si>
    <t>Cociente pago único / mensual</t>
  </si>
  <si>
    <t>Retención pago provisional</t>
  </si>
  <si>
    <t>ISR mensual × cociente</t>
  </si>
  <si>
    <t>Parámetro</t>
  </si>
  <si>
    <t>Valor editable</t>
  </si>
  <si>
    <t>Uso / explicación</t>
  </si>
  <si>
    <t>UMA diaria 2026</t>
  </si>
  <si>
    <t>Actualizar con UMA vigente. Se usa como referencia práctica en topes y límites.</t>
  </si>
  <si>
    <t>SMG diario general</t>
  </si>
  <si>
    <t>Actualizar con salario mínimo vigente si se requiere aplicar literalmente LSS/RLISR en conceptos con SMG.</t>
  </si>
  <si>
    <t>Días de integración año</t>
  </si>
  <si>
    <t>Base para cálculo de factor de integración.</t>
  </si>
  <si>
    <t>Días de aguinaldo</t>
  </si>
  <si>
    <t>Capturar prestación contractual.</t>
  </si>
  <si>
    <t>Días de vacaciones</t>
  </si>
  <si>
    <t>Capturar días de vacaciones conforme a antigüedad.</t>
  </si>
  <si>
    <t>Prima vacacional</t>
  </si>
  <si>
    <t>Porcentaje de prima vacacional.</t>
  </si>
  <si>
    <t>Tasa ISN CDMX</t>
  </si>
  <si>
    <t>Código Fiscal CDMX art. 158.</t>
  </si>
  <si>
    <t>Tasa ISERTP EdoMex</t>
  </si>
  <si>
    <t>Código Financiero EdoMex art. 57.</t>
  </si>
  <si>
    <t>Clave</t>
  </si>
  <si>
    <t>Fundamento</t>
  </si>
  <si>
    <t>Gratificación Anual (Aguinaldo)</t>
  </si>
  <si>
    <t>Participación de los Trabajadores en las Utilidades PTU</t>
  </si>
  <si>
    <t>Reembolso de Gastos Médicos Dentales y Hospitalarios</t>
  </si>
  <si>
    <t>Fondo de Ahorro</t>
  </si>
  <si>
    <t>Caja de ahorro</t>
  </si>
  <si>
    <t>Contribuciones a Cargo del Trabajador Pagadas por el Patrón</t>
  </si>
  <si>
    <t>Premios por puntualidad</t>
  </si>
  <si>
    <t>Prima de Seguro de vida</t>
  </si>
  <si>
    <t>Seguro de Gastos Médicos Mayores</t>
  </si>
  <si>
    <t>Cuotas Sindicales Pagadas por el Patrón</t>
  </si>
  <si>
    <t>Subsidios por incapacidad</t>
  </si>
  <si>
    <t>Becas para trabajadores y/o hijos</t>
  </si>
  <si>
    <t>Horas extra</t>
  </si>
  <si>
    <t>Prima dominical</t>
  </si>
  <si>
    <t>Prima por antigüedad</t>
  </si>
  <si>
    <t>Pagos por separación</t>
  </si>
  <si>
    <t>Seguro de retiro</t>
  </si>
  <si>
    <t>Indemnizaciones</t>
  </si>
  <si>
    <t>Reembolso por funeral</t>
  </si>
  <si>
    <t>Cuotas de seguridad social pagadas por el patrón</t>
  </si>
  <si>
    <t>Comisiones</t>
  </si>
  <si>
    <t>Vales de despensa</t>
  </si>
  <si>
    <t>Vales de restaurante</t>
  </si>
  <si>
    <t>Vales de gasolina</t>
  </si>
  <si>
    <t>Vales de ropa</t>
  </si>
  <si>
    <t>Ayuda para renta</t>
  </si>
  <si>
    <t>Ayuda para artículos escolares</t>
  </si>
  <si>
    <t>Ayuda para anteojos</t>
  </si>
  <si>
    <t>Ayuda para transporte</t>
  </si>
  <si>
    <t>Ayuda para gastos de funeral</t>
  </si>
  <si>
    <t>Otros ingresos por salarios</t>
  </si>
  <si>
    <t>Jubilaciones, pensiones o haberes de retiro</t>
  </si>
  <si>
    <t>Jubilaciones, pensiones o haberes de retiro en parcialidades</t>
  </si>
  <si>
    <t>Ingresos en acciones o títulos valor que representan bienes</t>
  </si>
  <si>
    <t>046</t>
  </si>
  <si>
    <t>Ingresos asimilados a salarios</t>
  </si>
  <si>
    <t>047</t>
  </si>
  <si>
    <t>Habitación</t>
  </si>
  <si>
    <t>Premios por asistencia</t>
  </si>
  <si>
    <t>Viáticos</t>
  </si>
  <si>
    <t>Pagos por gratificaciones, primas, compensaciones, recompensas u otros a extrabajadores derivados de jubilación en parcialidades</t>
  </si>
  <si>
    <t>Días de descanso laborados</t>
  </si>
  <si>
    <t>Días de descanso obligatorios laborados</t>
  </si>
  <si>
    <t>Fuente: tarifas 2026 anexo 8 RMF 2026</t>
  </si>
  <si>
    <t>Fracc. II: Sueldo ordinario + resultado fracción I</t>
  </si>
  <si>
    <t>Fracc. III: Diferencia ISR base con ordinario - ISR ingreso ordinario</t>
  </si>
  <si>
    <t>Fracc. V: ISR incremental / remuneración mensualizada</t>
  </si>
  <si>
    <t>Ingreso exento</t>
  </si>
  <si>
    <t>(-) Límite inferior</t>
  </si>
  <si>
    <t>(=) Excedente límite inferior</t>
  </si>
  <si>
    <t>(x) % Excedente límite inferior</t>
  </si>
  <si>
    <t>(=) Impuesto marginal</t>
  </si>
  <si>
    <t>(+) Cuota fija</t>
  </si>
  <si>
    <t>(=) ISR causado</t>
  </si>
  <si>
    <t>(-) Subsidio al empleo</t>
  </si>
  <si>
    <t>(=) ISR a retener</t>
  </si>
  <si>
    <t>Valor de la UMA mensual</t>
  </si>
  <si>
    <t>% del subsidio al empleo</t>
  </si>
  <si>
    <t>Tope de ingresos gravados para ISR para el subsidio al empleo</t>
  </si>
  <si>
    <t>Para determinar el subsidio al empleo a aplicar</t>
  </si>
  <si>
    <t>% a utilizar para determinar el subsidio al empleo</t>
  </si>
  <si>
    <t>Tope máximo de ingreso base para ISR para determinar si el trabajador tiene derecho al subsidio al empleo</t>
  </si>
  <si>
    <t>Ingreso para subsidio al empleo</t>
  </si>
  <si>
    <t>Aplicar tarifa diaria anexo 8 RMF</t>
  </si>
  <si>
    <t>ISR causado</t>
  </si>
  <si>
    <t>Convertir tarifa diaria a:</t>
  </si>
  <si>
    <t>Enero</t>
  </si>
  <si>
    <t>Febrero</t>
  </si>
  <si>
    <t>Marzo</t>
  </si>
  <si>
    <t>Abril</t>
  </si>
  <si>
    <t>Mayo</t>
  </si>
  <si>
    <t>Junio</t>
  </si>
  <si>
    <t>Julio</t>
  </si>
  <si>
    <t>Agosto</t>
  </si>
  <si>
    <t>Septiembre</t>
  </si>
  <si>
    <t>Octubre</t>
  </si>
  <si>
    <t>Noviembre</t>
  </si>
  <si>
    <t>Diciembre</t>
  </si>
  <si>
    <t>En adelante</t>
  </si>
  <si>
    <t>Artículo 96 LISR</t>
  </si>
  <si>
    <t>Percepción gravada para aplicar el artículo 96 LISR sin considerar las tarifas del anexo 8 RMF</t>
  </si>
  <si>
    <t>Viene de la hoja ART_96 LISR</t>
  </si>
  <si>
    <t>(+) Otros ingresos gravados del periodo</t>
  </si>
  <si>
    <t>(-) Erogaciones del periodo</t>
  </si>
  <si>
    <t>(=) Ingreso base para ISR</t>
  </si>
  <si>
    <t>Capture otros ingresos que percibe el trabajador en el periodo para el cálculo</t>
  </si>
  <si>
    <t>Capture descuentos que se efectuan a la parte gravada para ISR</t>
  </si>
  <si>
    <t>Días a que corresponden los ingreso</t>
  </si>
  <si>
    <t>Ingreso base para ISR</t>
  </si>
  <si>
    <t>Ingreso pagado en el mes para determinar el subsidio al empleo</t>
  </si>
  <si>
    <t>Capture el importe gravado del mes para determinar si se tienen derecho al subsido al empleo o no</t>
  </si>
  <si>
    <t>Mes de cálculo</t>
  </si>
  <si>
    <t>Seleccione el mes de cálculo del ISR</t>
  </si>
  <si>
    <t>(-) Subsidio al empleo causado</t>
  </si>
  <si>
    <t>CÁLCULO DEL SBC - ART. 27 LSS</t>
  </si>
  <si>
    <t>Datos base</t>
  </si>
  <si>
    <t>Valor</t>
  </si>
  <si>
    <t>Salario diario fijo</t>
  </si>
  <si>
    <t>Importe diario</t>
  </si>
  <si>
    <t>Cuota diaria / sueldo</t>
  </si>
  <si>
    <t>Art. 27 primer párrafo</t>
  </si>
  <si>
    <t>Integra por ser pago en efectivo por cuota diaria.</t>
  </si>
  <si>
    <t>Fondo de ahorro patrón</t>
  </si>
  <si>
    <t>Art. 27 fracc. II</t>
  </si>
  <si>
    <t>Alimentación</t>
  </si>
  <si>
    <t>Art. 27 fracc. V</t>
  </si>
  <si>
    <t>No integra si el trabajador paga al menos 20% del SMG diario.</t>
  </si>
  <si>
    <t>Despensa</t>
  </si>
  <si>
    <t>Art. 27 fracc. VI</t>
  </si>
  <si>
    <t>No integra hasta 40% del SMG diario; sólo integra excedente.</t>
  </si>
  <si>
    <t>Premio asistencia</t>
  </si>
  <si>
    <t>Art. 27 fracc. VII</t>
  </si>
  <si>
    <t>No integra hasta 10% del SBC; sólo integra excedente.</t>
  </si>
  <si>
    <t>Premio puntualidad</t>
  </si>
  <si>
    <t>Art. 27 fracc. IX último párrafo</t>
  </si>
  <si>
    <t>Integra el excedente fuera de márgenes LFT.</t>
  </si>
  <si>
    <t>Otros pagos por trabajo</t>
  </si>
  <si>
    <t>Integra cualquier otro pago entregado por el trabajo.</t>
  </si>
  <si>
    <t>Tabla de vacaciones</t>
  </si>
  <si>
    <t>Mínimo</t>
  </si>
  <si>
    <t>Máximo</t>
  </si>
  <si>
    <t>Días</t>
  </si>
  <si>
    <t>Fecha de ingreso</t>
  </si>
  <si>
    <t>Fecha de cálculo</t>
  </si>
  <si>
    <t>Días del bimestre</t>
  </si>
  <si>
    <t>Días de vacaciones correspondientes</t>
  </si>
  <si>
    <t>Datos</t>
  </si>
  <si>
    <t>Factor de integración</t>
  </si>
  <si>
    <t>Se suma la unidad</t>
  </si>
  <si>
    <t>Días de aguinaldo / 365</t>
  </si>
  <si>
    <t>Días de vacaciones / 365 * % prima vacacional</t>
  </si>
  <si>
    <t>Salario base de cotización</t>
  </si>
  <si>
    <t>Elementos fijos del salario</t>
  </si>
  <si>
    <t>Otras retribuciones periodicas previmante conocidad</t>
  </si>
  <si>
    <t>% Patrón</t>
  </si>
  <si>
    <t>% Trabajador</t>
  </si>
  <si>
    <t>No. de alimentos</t>
  </si>
  <si>
    <t>Parte que integra</t>
  </si>
  <si>
    <t>Parte que no integra</t>
  </si>
  <si>
    <t>% / Importe cobrado / importe prestación</t>
  </si>
  <si>
    <t>Elementos variables</t>
  </si>
  <si>
    <t>Importe primer mes</t>
  </si>
  <si>
    <t>Importe segundo mes</t>
  </si>
  <si>
    <t>Tiempo extra excedente LFT</t>
  </si>
  <si>
    <t>Tope máximo SBC</t>
  </si>
  <si>
    <t>Seguro y concepto</t>
  </si>
  <si>
    <t>Prestaciones</t>
  </si>
  <si>
    <t>Salario Base de Cotización</t>
  </si>
  <si>
    <t>(-) 3 umas</t>
  </si>
  <si>
    <t>(=) Excedente 3 umas</t>
  </si>
  <si>
    <t>(x) Cuota obrera</t>
  </si>
  <si>
    <t>(=) Cuota diaria</t>
  </si>
  <si>
    <t>(x) días del periodo</t>
  </si>
  <si>
    <t xml:space="preserve">(=) Cuota obrera </t>
  </si>
  <si>
    <t>Enfermedades y Maternidad</t>
  </si>
  <si>
    <t>En especie</t>
  </si>
  <si>
    <t>En dinero</t>
  </si>
  <si>
    <t>Gastos médicos para pensionados y beneficiarios</t>
  </si>
  <si>
    <t xml:space="preserve">Invalidez y Vida </t>
  </si>
  <si>
    <t xml:space="preserve">En especie y dinero </t>
  </si>
  <si>
    <t xml:space="preserve">Cesantía en Edad Avanzada y Vejez (CEAV) </t>
  </si>
  <si>
    <t>Total</t>
  </si>
  <si>
    <r>
      <rPr>
        <b/>
        <sz val="11"/>
        <color theme="1"/>
        <rFont val="Calibri"/>
        <family val="2"/>
        <scheme val="minor"/>
      </rPr>
      <t>Artículo 36 LSS</t>
    </r>
    <r>
      <rPr>
        <sz val="11"/>
        <color theme="1"/>
        <rFont val="Calibri"/>
        <family val="2"/>
        <charset val="1"/>
      </rPr>
      <t>. Corresponde al patrón pagar íntegramente la cuota señalada para los trabajadores, en los casos en que éstos perciban como cuota diaria el salario mínimo.</t>
    </r>
  </si>
  <si>
    <t>Importe a retener</t>
  </si>
  <si>
    <t>Si el importe que aporta el patrón y trabajador son iguales, no integra</t>
  </si>
  <si>
    <t>Unidad de obra</t>
  </si>
  <si>
    <t>Período de Trabajo</t>
  </si>
  <si>
    <t>Días Trabajados</t>
  </si>
  <si>
    <t>Metros Cuadrados Instalados</t>
  </si>
  <si>
    <t>Cuota por metro cuadrado</t>
  </si>
  <si>
    <t>Percepción Total</t>
  </si>
  <si>
    <t>Totales</t>
  </si>
  <si>
    <t>Salario diario promedio</t>
  </si>
  <si>
    <t>Determinción cuando la retribución es variable</t>
  </si>
  <si>
    <t>Fecha inicial cálculo</t>
  </si>
  <si>
    <t>Fecha de aumento (en su caso)</t>
  </si>
  <si>
    <t>Periodo trabajado</t>
  </si>
  <si>
    <t>Percepciones pagadas</t>
  </si>
  <si>
    <t>Retención de ISR asimilados a salarios</t>
  </si>
  <si>
    <t>c_TipoRegimen</t>
  </si>
  <si>
    <t>Descripción</t>
  </si>
  <si>
    <t>Gravado</t>
  </si>
  <si>
    <t>Exento</t>
  </si>
  <si>
    <t>Asimilados Miembros Sociedades Cooperativas Produccion</t>
  </si>
  <si>
    <t>Asimilados Integrantes Sociedades Asociaciones Civiles</t>
  </si>
  <si>
    <t>Asimilados Miembros consejos</t>
  </si>
  <si>
    <t>¿Tiene relación laboral?</t>
  </si>
  <si>
    <t>Asimilados comisionistas</t>
  </si>
  <si>
    <t>Asimilados Honorarios</t>
  </si>
  <si>
    <t>Asimilados acciones</t>
  </si>
  <si>
    <t>(=) ISR A RETENER</t>
  </si>
  <si>
    <t>Descripción / Alcance</t>
  </si>
  <si>
    <t>Ejemplos o Casos incluidos</t>
  </si>
  <si>
    <t>Fundamento legal (LISR)</t>
  </si>
  <si>
    <t>Sujeto</t>
  </si>
  <si>
    <t>Personas físicas que obtienen ingresos por salarios o asimilados a salarios.</t>
  </si>
  <si>
    <t>Trabajadores, funcionarios públicos, socios cooperativistas, consejeros, prestadores de servicios preponderantes, etc.</t>
  </si>
  <si>
    <t>Art. 94, primer párrafo</t>
  </si>
  <si>
    <t>Objeto</t>
  </si>
  <si>
    <t>Ingresos derivados de una relación laboral o asimilados a salarios.</t>
  </si>
  <si>
    <t>Salarios, prestaciones, PTU, liquidaciones, honorarios asimilados.</t>
  </si>
  <si>
    <t>Art. 94</t>
  </si>
  <si>
    <t>Se asimilan a salarios</t>
  </si>
  <si>
    <t>I. Funcionarios y trabajadores públicos</t>
  </si>
  <si>
    <t>Se incluyen las remuneraciones, prestaciones y gastos no comprobables obtenidos por funcionarios o trabajadores de los tres niveles de gobierno y fuerzas armadas.</t>
  </si>
  <si>
    <t>Sueldos de funcionarios, compensaciones, viáticos no comprobados.</t>
  </si>
  <si>
    <t>Fracc. I</t>
  </si>
  <si>
    <t>II. Sociedades cooperativas o civiles</t>
  </si>
  <si>
    <t>Rendimientos y anticipos obtenidos por miembros de sociedades cooperativas o asociaciones civiles.</t>
  </si>
  <si>
    <t>Anticipos de socios cooperativistas.</t>
  </si>
  <si>
    <t>III. Consejos y administración</t>
  </si>
  <si>
    <t>Honorarios a miembros de consejos, administradores, comisarios o gerentes generales.</t>
  </si>
  <si>
    <t>Consejeros independientes o gerentes externos.</t>
  </si>
  <si>
    <t>IV. Servicios preponderantes a un prestatario</t>
  </si>
  <si>
    <t>Honorarios prestados predominantemente a un solo cliente (&gt;50% de ingresos del año anterior).</t>
  </si>
  <si>
    <t>Consultores, técnicos o profesionistas que laboran principalmente para una empresa.</t>
  </si>
  <si>
    <t>V. Honorarios asimilados por opción</t>
  </si>
  <si>
    <t>Personas físicas que reciben honorarios de personas morales o físicas con actividades empresariales y optan por tributar en este capítulo.</t>
  </si>
  <si>
    <t>Profesionistas que prefieren retención en lugar de pagos provisionales.</t>
  </si>
  <si>
    <t>VI. Actividades empresariales asimiladas</t>
  </si>
  <si>
    <t>Personas físicas con actividades empresariales que optan por tributar como asimilados.</t>
  </si>
  <si>
    <t>Comerciantes o prestadores de servicios que eligen régimen asimilado.</t>
  </si>
  <si>
    <t>Fracc. VI</t>
  </si>
  <si>
    <t>VII. Opciones sobre acciones</t>
  </si>
  <si>
    <t>Ingresos por ejercer opciones para adquirir acciones a precio menor o igual al de mercado.</t>
  </si>
  <si>
    <t>Empleados con planes de acciones o stock options.</t>
  </si>
  <si>
    <t>Fracc. VII</t>
  </si>
  <si>
    <t>Asignación de automóviles a funcionarios</t>
  </si>
  <si>
    <t>Cuando no cumplen requisitos del art. 36 fr. II, se consideran ingresos en servicios.</t>
  </si>
  <si>
    <t>Uso personal de automóviles oficiales.</t>
  </si>
  <si>
    <t>Párrafo posterior a fracc. VII</t>
  </si>
  <si>
    <t>Cálculo de ingresos por automóvil</t>
  </si>
  <si>
    <t>Se determina la doceava parte de la deducción no permitida y gastos de mantenimiento.</t>
  </si>
  <si>
    <t>Automóvil asignado sin control de uso.</t>
  </si>
  <si>
    <t>Idem</t>
  </si>
  <si>
    <t>Forma de pago del impuesto</t>
  </si>
  <si>
    <t>Retención a cargo de la persona moral o pagadora.</t>
  </si>
  <si>
    <t>El patrón o prestatario retiene y entera el ISR.</t>
  </si>
  <si>
    <t>Párrafo: “El pago del impuesto…”</t>
  </si>
  <si>
    <t>Ingreso en crédito</t>
  </si>
  <si>
    <t>Se acumulan hasta que se cobren efectivamente.</t>
  </si>
  <si>
    <t>Pagos diferidos o pendientes de cobro.</t>
  </si>
  <si>
    <t>Ingresos no considerados</t>
  </si>
  <si>
    <t>No se consideran ingresos: comedor, comida y uso de bienes necesarios para el trabajo.</t>
  </si>
  <si>
    <t>Comedor industrial, herramientas, equipo de seguridad.</t>
  </si>
  <si>
    <t>Límite de ingresos asimilados (75 millones)</t>
  </si>
  <si>
    <t>Si se excede ese monto, se tributa como actividades empresariales a partir del siguiente año.</t>
  </si>
  <si>
    <t>Asimilados con ingresos altos deben cambiar de régimen.</t>
  </si>
  <si>
    <t>Último párrafo</t>
  </si>
  <si>
    <t>Obligación adicional</t>
  </si>
  <si>
    <t>Comunicar por escrito al pagador si se excede el monto y SAT podrá actualizar régimen fiscal.</t>
  </si>
  <si>
    <t>SAT puede reclasificar al contribuyente.</t>
  </si>
  <si>
    <t>Idem final</t>
  </si>
  <si>
    <t>Precio Establecido al Otorgarse la Opción</t>
  </si>
  <si>
    <t>No. de acciones</t>
  </si>
  <si>
    <t>Valor de mercado por acción</t>
  </si>
  <si>
    <t>Nodo comprobante</t>
  </si>
  <si>
    <t>Nodo emisor</t>
  </si>
  <si>
    <t>Nodo receptor</t>
  </si>
  <si>
    <t>Fecha de expedición *</t>
  </si>
  <si>
    <t>RFC *</t>
  </si>
  <si>
    <t>Serie</t>
  </si>
  <si>
    <t>Nombre o razón social *</t>
  </si>
  <si>
    <t>Folio</t>
  </si>
  <si>
    <t>Domicilio fiscal *</t>
  </si>
  <si>
    <t>Método de pago **</t>
  </si>
  <si>
    <t>PUE</t>
  </si>
  <si>
    <t>Régimen fiscal *</t>
  </si>
  <si>
    <t>Forma de pago **</t>
  </si>
  <si>
    <t>Este campo no debe de existir</t>
  </si>
  <si>
    <t>FacAtrAdquirente **</t>
  </si>
  <si>
    <t>País de residencia **</t>
  </si>
  <si>
    <t>Moneda *</t>
  </si>
  <si>
    <t>MXN</t>
  </si>
  <si>
    <t>Registro tributario **</t>
  </si>
  <si>
    <t>Tipo de cambio **</t>
  </si>
  <si>
    <t>Uso del CFDI *</t>
  </si>
  <si>
    <t>CN01</t>
  </si>
  <si>
    <t>Condiciones de pago</t>
  </si>
  <si>
    <t>Lugar de expedición *</t>
  </si>
  <si>
    <t>Exportación*</t>
  </si>
  <si>
    <t>01</t>
  </si>
  <si>
    <t>Tipo de comprobante *</t>
  </si>
  <si>
    <t>N</t>
  </si>
  <si>
    <t>Nodo tipo de relación</t>
  </si>
  <si>
    <t>Tipo de relación **</t>
  </si>
  <si>
    <t>UUID **</t>
  </si>
  <si>
    <t>Nodo conceptos</t>
  </si>
  <si>
    <t>ClaveProdServ *</t>
  </si>
  <si>
    <t>No. De identificación **</t>
  </si>
  <si>
    <t>Clave de unidad de medida *</t>
  </si>
  <si>
    <t>ACT</t>
  </si>
  <si>
    <t>Unidad **</t>
  </si>
  <si>
    <t>Cantidad *</t>
  </si>
  <si>
    <t>Valor unitario *</t>
  </si>
  <si>
    <t>Descripción *</t>
  </si>
  <si>
    <t>Pago de nómina</t>
  </si>
  <si>
    <t>Importe *</t>
  </si>
  <si>
    <t>Descuento **</t>
  </si>
  <si>
    <t>Objeto impuestos *</t>
  </si>
  <si>
    <t>No. de pedimento **</t>
  </si>
  <si>
    <t>No. de la cuenta predial **</t>
  </si>
  <si>
    <t>Complemento de nómina</t>
  </si>
  <si>
    <t>Tipo de nómina</t>
  </si>
  <si>
    <t>Fecha de pago</t>
  </si>
  <si>
    <t>Fecha inicial de pago</t>
  </si>
  <si>
    <t>Fecha final de pago</t>
  </si>
  <si>
    <t>Número de días pagados</t>
  </si>
  <si>
    <t>Fecha inicio relación laboral</t>
  </si>
  <si>
    <t>Antigüedad</t>
  </si>
  <si>
    <r>
      <t xml:space="preserve">Se puede registrar el número de semanas o el periodo de años, meses y días (año calendario) en que el empleado ha mantenido relación laboral con el empleador. 
Se debe registrar cuando se esté obligado conforme a las disposiciones aplicables.  
El valor de este campo deber ser menor o igual que el tiempo transcurrido entre la fecha de inicio de relación laboral y la fecha final de pago. 
Por excepción, este dato no aplica cuando el empleador realice el pago a contribuyentes asimilados a salarios, no se sitúe en los supuestos contemplados 
en los artículos 12 y 13 de la Ley del Seguro Social, o bien no tenga la obligación de registrar este dato en términos de las disposiciones aplicables.
</t>
    </r>
    <r>
      <rPr>
        <b/>
        <sz val="11"/>
        <color theme="1"/>
        <rFont val="Calibri"/>
        <family val="2"/>
        <scheme val="minor"/>
      </rPr>
      <t>Fuente</t>
    </r>
    <r>
      <rPr>
        <sz val="11"/>
        <color theme="1"/>
        <rFont val="Calibri"/>
        <family val="2"/>
        <charset val="1"/>
      </rPr>
      <t>: Guía de llenado del CFDI de nómina (página 34)</t>
    </r>
  </si>
  <si>
    <t>Fecha inicial</t>
  </si>
  <si>
    <t>Fecha final</t>
  </si>
  <si>
    <t>Años</t>
  </si>
  <si>
    <t>Meses</t>
  </si>
  <si>
    <t>Presentación en el CFDI</t>
  </si>
  <si>
    <t>Años, meses y días</t>
  </si>
  <si>
    <t>Semanas</t>
  </si>
  <si>
    <t>Tipo de contrato</t>
  </si>
  <si>
    <t>c_TipoContrato</t>
  </si>
  <si>
    <t>Fundamento legal</t>
  </si>
  <si>
    <t>Contrato de trabajo por tiempo indeterminado</t>
  </si>
  <si>
    <t>Art. 35 y 39 LFT</t>
  </si>
  <si>
    <r>
      <rPr>
        <b/>
        <sz val="11"/>
        <color theme="1"/>
        <rFont val="Arial"/>
        <family val="2"/>
      </rPr>
      <t>Artículo 35 LFT</t>
    </r>
    <r>
      <rPr>
        <sz val="11"/>
        <color theme="1"/>
        <rFont val="Arial"/>
        <family val="2"/>
      </rPr>
      <t>. Las relaciones de trabajo pueden ser para obra o tiempo determinado, por temporada o por tiempo indeterminado y en su caso podrá estar sujeto a prueba o a capacitación inicial. A falta de estipulaciones expresas, la relación será por tiempo indeterminado.</t>
    </r>
  </si>
  <si>
    <t>Contrato de trabajo para obra determinada</t>
  </si>
  <si>
    <t>Art. 36 LFT</t>
  </si>
  <si>
    <r>
      <rPr>
        <b/>
        <sz val="11"/>
        <color theme="1"/>
        <rFont val="Arial"/>
        <family val="2"/>
      </rPr>
      <t>Artículo 36 LFT</t>
    </r>
    <r>
      <rPr>
        <sz val="11"/>
        <color theme="1"/>
        <rFont val="Arial"/>
        <family val="2"/>
      </rPr>
      <t>.- El señalamiento de un obra determinada puede únicamente estipularse cuando lo exija su naturaleza.</t>
    </r>
  </si>
  <si>
    <t>Contrato de trabajo por tiempo determinado</t>
  </si>
  <si>
    <t>Art. 37 LFT</t>
  </si>
  <si>
    <r>
      <rPr>
        <b/>
        <sz val="11"/>
        <color theme="1"/>
        <rFont val="Arial"/>
        <family val="2"/>
      </rPr>
      <t>Artículo 37 LFT</t>
    </r>
    <r>
      <rPr>
        <sz val="11"/>
        <color theme="1"/>
        <rFont val="Arial"/>
        <family val="2"/>
      </rPr>
      <t>.- El señalamiento de un tiempo determinado puede únicamente estipularse en los caso siguientes:
I. 	Cuando lo exija la naturaleza del trabajo que se va a prestar;
II. 	Cuando tenga por objeto substituir temporalmente a otro trabajador; y
III. 	En los demás casos previstos por esta Ley.</t>
    </r>
  </si>
  <si>
    <t>Contrato de trabajo por temporada</t>
  </si>
  <si>
    <t>Art. 39-F LFT</t>
  </si>
  <si>
    <r>
      <rPr>
        <b/>
        <sz val="11"/>
        <color theme="1"/>
        <rFont val="Arial"/>
        <family val="2"/>
      </rPr>
      <t>Artículo 39-F LFT</t>
    </r>
    <r>
      <rPr>
        <sz val="11"/>
        <color theme="1"/>
        <rFont val="Arial"/>
        <family val="2"/>
      </rPr>
      <t>. Las relaciones de trabajo por tiempo indeterminado serán continuas por regla general, pero podrán pactarse para labores discontinuas cuando los servicios requeridos sean para labores fijas y periódicas de carácter discontinuo, en los casos de actividades de temporada o que no exijan la prestación de servicios toda la semana, el mes o el año.
Los trabajadores que presten servicios bajo esta modalidad tienen los mismos derechos y obligaciones que los trabajadores por tiempo indeterminado, en proporción al tiempo trabajado en cada periodo.</t>
    </r>
  </si>
  <si>
    <t>Contrato de trabajo sujeto a prueba</t>
  </si>
  <si>
    <t>Art. 39-A LFT</t>
  </si>
  <si>
    <r>
      <rPr>
        <b/>
        <sz val="11"/>
        <color theme="1"/>
        <rFont val="Arial"/>
        <family val="2"/>
      </rPr>
      <t>Artículo 39-A LFT</t>
    </r>
    <r>
      <rPr>
        <sz val="11"/>
        <color theme="1"/>
        <rFont val="Arial"/>
        <family val="2"/>
      </rPr>
      <t>. En las relaciones de trabajo por tiempo indeterminado o cuando excedan de ciento ochenta días, podrá establecerse un periodo a prueba, el cual no podrá exceder de treinta días, con el único fin de verificar que el trabajador cumple con los requisitos y conocimientos necesarios para desarrollar el trabajo que se solicita.
El periodo de prueba a que se refiere el párrafo anterior, podrá extenderse hasta ciento ochenta días, sólo cuando se trate de trabajadores para puestos de dirección, gerenciales y demás personas que ejerzan funciones de dirección o administración en la empresa o establecimiento de carácter general o para desempeñar labores técnicas o profesionales especializadas.
Durante el período de prueba el trabajador disfrutará del salario, la garantía de la seguridad social y de las prestaciones de la categoría o puesto que desempeñe. Al término del periodo de prueba, de no acreditar el trabajador que satisface los requisitos y conocimientos necesarios para desarrollar las labores, a juicio del patrón, tomando en cuenta la opinión de la Comisión Mixta de Productividad, Capacitación y Adiestramiento en los términos de esta Ley, así como la naturaleza de la categoría o puesto, se dará por terminada la relación de trabajo, sin responsabilidad para el patrón.</t>
    </r>
  </si>
  <si>
    <t>Contrato de trabajo con capacitación inicial</t>
  </si>
  <si>
    <t>Art. 39-B LFT</t>
  </si>
  <si>
    <r>
      <rPr>
        <b/>
        <sz val="11"/>
        <color theme="1"/>
        <rFont val="Arial"/>
        <family val="2"/>
      </rPr>
      <t>Artículo 39-B LFT</t>
    </r>
    <r>
      <rPr>
        <sz val="11"/>
        <color theme="1"/>
        <rFont val="Arial"/>
        <family val="2"/>
      </rPr>
      <t>. Se entiende por relación de trabajo para capacitación inicial, aquella por virtud de la cual un trabajador se obliga a prestar sus servicios subordinados, bajo la dirección y mando del patrón, con el fin de que adquiera los conocimientos o habilidades necesarios para la actividad para la que vaya a ser contratado.
La vigencia de la relación de trabajo a que se refiere el párrafo anterior, tendrá una duración máxima de tres meses o en su caso, hasta de seis meses sólo cuando se trate de trabajadores para puestos de dirección, gerenciales y demás personas que ejerzan funciones de dirección o administración en la empresa o establecimiento de carácter general o para desempeñar labores que requieran conocimientos profesionales especializados. Durante ese tiempo el trabajador disfrutará del salario, la garantía de la seguridad social y de las prestaciones de la categoría o puesto que desempeñe. Al término de la capacitación inicial, de no acreditar competencia el trabajador, a juicio del patrón, tomando en cuenta la opinión de la Comisión Mixta de Productividad, Capacitación y Adiestramiento en los términos de esta Ley, así como a la naturaleza de la categoría o puesto, se dará por terminada la relación de trabajo, sin responsabilidad para el patrón.</t>
    </r>
  </si>
  <si>
    <t>Modalidad de contratación por pago de hora laborada</t>
  </si>
  <si>
    <t>Art. 83 LFT</t>
  </si>
  <si>
    <r>
      <rPr>
        <b/>
        <sz val="11"/>
        <color theme="1"/>
        <rFont val="Arial"/>
        <family val="2"/>
      </rPr>
      <t>Artículo 83 LFT</t>
    </r>
    <r>
      <rPr>
        <sz val="11"/>
        <color theme="1"/>
        <rFont val="Arial"/>
        <family val="2"/>
      </rPr>
      <t>.- El salario puede fijarse por unidad de tiempo, por unidad de obra, por comisión, a precio alzado o de cualquier otra manera.
Tratándose de salario por unidad de tiempo, se establecerá específicamente esa naturaleza. El trabajador y el patrón podrán convenir el monto, siempre que se trate de un salario remunerador, así como el pago por cada hora de prestación de servicio, siempre y cuando no se exceda la jornada máxima legal y se respeten los derechos laborales y de seguridad social que correspondan a la plaza de que se trate. El ingreso que perciban los trabajadores por esta modalidad, en ningún caso será inferior al que corresponda a una jornada diaria.
Cuando el salario se fije por unidad de obra, además de especificarse la naturaleza de ésta, se hará constar la cantidad y calidad del material, el estado de la herramienta y útiles que el patrón, en su caso, proporcione para ejecutar la obra, y el tiempo por el que los pondrá a disposición del trabajador, sin que pueda exigir cantidad alguna por concepto del desgaste natural que sufra la herramienta como consecuencia del trabajo.</t>
    </r>
  </si>
  <si>
    <t>Modalidad de trabajo por comisión laboral</t>
  </si>
  <si>
    <r>
      <rPr>
        <b/>
        <sz val="11"/>
        <color theme="1"/>
        <rFont val="Arial"/>
        <family val="2"/>
      </rPr>
      <t>Artículo 285 LFT</t>
    </r>
    <r>
      <rPr>
        <sz val="11"/>
        <color theme="1"/>
        <rFont val="Arial"/>
        <family val="2"/>
      </rPr>
      <t xml:space="preserve">.- Los agentes de comercio, de seguros, los vendedores, viajantes, propagandistas o impulsores de ventas y otros semejantes, son trabajadores de la empresa o empresas a las que presten sus servicios, cuando su actividad sea permanente, salvo que no ejecuten personalmente el trabajo o que únicamente intervengan en operaciones aisladas.
</t>
    </r>
    <r>
      <rPr>
        <b/>
        <sz val="11"/>
        <color theme="1"/>
        <rFont val="Arial"/>
        <family val="2"/>
      </rPr>
      <t>Artículo 286 LFT</t>
    </r>
    <r>
      <rPr>
        <sz val="11"/>
        <color theme="1"/>
        <rFont val="Arial"/>
        <family val="2"/>
      </rPr>
      <t>.- El salario a comisión puede comprender una prima sobre el valor de la mercancía vendida o colocada, sobre el pago inicial o sobre los pagos periódicos, o dos o las tres de dichas primas.</t>
    </r>
  </si>
  <si>
    <t>Modalidades de contratación donde no existe relación de trabajo</t>
  </si>
  <si>
    <t>Jubilación, pensión, retiro.</t>
  </si>
  <si>
    <t>Otro contrato</t>
  </si>
  <si>
    <t>Sindicalizado</t>
  </si>
  <si>
    <t>Tipo de jornada</t>
  </si>
  <si>
    <t>c_TipoJornada</t>
  </si>
  <si>
    <t>Diurna</t>
  </si>
  <si>
    <t>Art. 60 y 61 LFT</t>
  </si>
  <si>
    <t>Nocturna</t>
  </si>
  <si>
    <t>Mixta</t>
  </si>
  <si>
    <t>Por hora</t>
  </si>
  <si>
    <t>Reducida</t>
  </si>
  <si>
    <t>Art. 58 y 59 LFT</t>
  </si>
  <si>
    <t>Continuada</t>
  </si>
  <si>
    <t>Art. 63 LFT</t>
  </si>
  <si>
    <t>Partida</t>
  </si>
  <si>
    <t>Art. 64 LFT</t>
  </si>
  <si>
    <t>Por turnos</t>
  </si>
  <si>
    <t>Art. 65 y 66 LFT</t>
  </si>
  <si>
    <t>Otra Jornada</t>
  </si>
  <si>
    <r>
      <rPr>
        <b/>
        <sz val="11"/>
        <color theme="1"/>
        <rFont val="Calibri"/>
        <family val="2"/>
        <scheme val="minor"/>
      </rPr>
      <t>Artículo 58 LFT.</t>
    </r>
    <r>
      <rPr>
        <sz val="11"/>
        <color theme="1"/>
        <rFont val="Calibri"/>
        <family val="2"/>
        <charset val="1"/>
      </rPr>
      <t xml:space="preserve">- Jornada de trabajo es el tiempo durante el cual el trabajador está a disposición del patrón para prestar su trabajo.
</t>
    </r>
    <r>
      <rPr>
        <b/>
        <sz val="11"/>
        <color theme="1"/>
        <rFont val="Calibri"/>
        <family val="2"/>
        <scheme val="minor"/>
      </rPr>
      <t>Artículo 59 LFT.</t>
    </r>
    <r>
      <rPr>
        <sz val="11"/>
        <color theme="1"/>
        <rFont val="Calibri"/>
        <family val="2"/>
        <charset val="1"/>
      </rPr>
      <t xml:space="preserve">- El trabajador y el patrón fijarán la duración de la jornada de trabajo, sin que pueda exceder los máximos legales.
Los trabajadores y el patrón podrán repartir las horas de trabajo, a fin de permitir a los primeros el reposo del sábado en la tarde o cualquier modalidad equivalente.
</t>
    </r>
    <r>
      <rPr>
        <b/>
        <sz val="11"/>
        <color theme="1"/>
        <rFont val="Calibri"/>
        <family val="2"/>
        <scheme val="minor"/>
      </rPr>
      <t>Artículo 60 LFT</t>
    </r>
    <r>
      <rPr>
        <sz val="11"/>
        <color theme="1"/>
        <rFont val="Calibri"/>
        <family val="2"/>
        <charset val="1"/>
      </rPr>
      <t xml:space="preserve">.- Jornada diurna es la comprendida entre las seis y las veinte horas.
Jornada nocturna es la comprendida entre las veinte y las seis horas.
Jornada mixta es la que comprende períodos de tiempo de las jornadas diurna y nocturna, siempre que el período nocturno sea menor de tres horas y media, pues si comprende tres y media o más, se reputará jornada nocturna.
</t>
    </r>
    <r>
      <rPr>
        <b/>
        <sz val="11"/>
        <color theme="1"/>
        <rFont val="Calibri"/>
        <family val="2"/>
        <scheme val="minor"/>
      </rPr>
      <t>Artículo 61 LFT</t>
    </r>
    <r>
      <rPr>
        <sz val="11"/>
        <color theme="1"/>
        <rFont val="Calibri"/>
        <family val="2"/>
        <charset val="1"/>
      </rPr>
      <t xml:space="preserve">.- La duración máxima de la jornada será: ocho horas la diurna, siete la nocturna y siete horas y media la mixta.
</t>
    </r>
    <r>
      <rPr>
        <b/>
        <sz val="11"/>
        <color theme="1"/>
        <rFont val="Calibri"/>
        <family val="2"/>
        <scheme val="minor"/>
      </rPr>
      <t>Artículo 63 LFT</t>
    </r>
    <r>
      <rPr>
        <sz val="11"/>
        <color theme="1"/>
        <rFont val="Calibri"/>
        <family val="2"/>
        <charset val="1"/>
      </rPr>
      <t xml:space="preserve">.- Durante la jornada continua de trabajo se concederá al trabajador un descanso de media hora, por lo menos.
</t>
    </r>
    <r>
      <rPr>
        <b/>
        <sz val="11"/>
        <color theme="1"/>
        <rFont val="Calibri"/>
        <family val="2"/>
        <scheme val="minor"/>
      </rPr>
      <t>Artículo 64 LFT.</t>
    </r>
    <r>
      <rPr>
        <sz val="11"/>
        <color theme="1"/>
        <rFont val="Calibri"/>
        <family val="2"/>
        <charset val="1"/>
      </rPr>
      <t>- Cuando el trabajador no pueda salir del lugar donde presta sus servicios durante las horas de reposo o de comidas, el tiempo correspondiente le será computado como tiempo efectivo de la jornada de trabajo.</t>
    </r>
  </si>
  <si>
    <t>Tipo de régimen</t>
  </si>
  <si>
    <r>
      <t xml:space="preserve">Se debe registrar la clave del régimen por la cual el empleador tiene contratado al trabajador. 
Los distintos tipos de régimen se encuentran incluidos en el catálogo c_TipoRegimen publicado en el Portal del SAT. 
 Ejemplo:   
TipoRegimen= 02
</t>
    </r>
    <r>
      <rPr>
        <b/>
        <sz val="11"/>
        <color theme="1"/>
        <rFont val="Calibri"/>
        <family val="2"/>
        <scheme val="minor"/>
      </rPr>
      <t>Fuente</t>
    </r>
    <r>
      <rPr>
        <sz val="11"/>
        <color theme="1"/>
        <rFont val="Calibri"/>
        <family val="2"/>
        <charset val="1"/>
      </rPr>
      <t xml:space="preserve">: Guía de llenado del CFDI de nómina (página 38) </t>
    </r>
  </si>
  <si>
    <t>Sueldos (Incluye ingresos señalados en la fracción I del artículo 94 de LISR)</t>
  </si>
  <si>
    <t xml:space="preserve">Si el campo TipoContrato tiene una clave entre los valores 01 y 08 del catálogo TipoContrato publicado en el Portal del SAT, entonces este campo 
deber ser 02, 03 o 04. </t>
  </si>
  <si>
    <t>Jubilados</t>
  </si>
  <si>
    <t>Pensionados</t>
  </si>
  <si>
    <t>Si el campo TipoContrato tiene un valor 09 o superior, entonces este campo debe contener algún valor del 05 hasta el 99.</t>
  </si>
  <si>
    <t>Asimilados otros</t>
  </si>
  <si>
    <t>Jubilados o Pensionados</t>
  </si>
  <si>
    <t>Indemnización o Separación</t>
  </si>
  <si>
    <t>Otro Regimen</t>
  </si>
  <si>
    <r>
      <t xml:space="preserve">Los pagos realizados por indemnizaciones o separaciones deberán identificarse con la clave tipo régimen 13 (Indemnización o Separación), esto con la finalidad 
de distinguir correctamente este tipo de pago de aquellos pagos ordinarios de salarios. 
En caso de que un trabajador se separe de su empleo y en un mismo periodo se efectúe tanto el pago por indemnización o separación y el último pago de sueldos ordinarios, se podrá emitir el o los CFDI conforme a lo siguiente:  
i) Dos CFDI, uno por el pago por indemnización o separación y otro por pago de sueldos, o bien,  
ii) Un sólo CFDI al que se incorporen dos complementos, uno por el pago por separación y otro por el pago de sueldos y salarios, señalando en 
cada caso la clave que corresponda conforme a este catálogo. 
</t>
    </r>
    <r>
      <rPr>
        <b/>
        <sz val="11"/>
        <color theme="1"/>
        <rFont val="Calibri"/>
        <family val="2"/>
        <scheme val="minor"/>
      </rPr>
      <t>Fundamento Legal:</t>
    </r>
    <r>
      <rPr>
        <sz val="11"/>
        <color theme="1"/>
        <rFont val="Calibri"/>
        <family val="2"/>
        <charset val="1"/>
      </rPr>
      <t xml:space="preserve"> Artículo 94 de la Ley del Impuesto sobre la Renta.
</t>
    </r>
    <r>
      <rPr>
        <b/>
        <sz val="11"/>
        <color theme="1"/>
        <rFont val="Calibri"/>
        <family val="2"/>
        <scheme val="minor"/>
      </rPr>
      <t>Fuente</t>
    </r>
    <r>
      <rPr>
        <sz val="11"/>
        <color theme="1"/>
        <rFont val="Calibri"/>
        <family val="2"/>
        <charset val="1"/>
      </rPr>
      <t xml:space="preserve">: Guía de llenado del CFDI de nómina (página 35) </t>
    </r>
  </si>
  <si>
    <t>Número de empleado</t>
  </si>
  <si>
    <r>
      <t xml:space="preserve">Se debe registrar el número interno que le asigna el empleador a cada uno de sus empleados para su pronta identificación, puede conformarse desde 1 hasta 
15 caracteres. 
Ejemplo:   
NumEmpleado= 120
</t>
    </r>
    <r>
      <rPr>
        <b/>
        <sz val="11"/>
        <color theme="1"/>
        <rFont val="Calibri"/>
        <family val="2"/>
        <scheme val="minor"/>
      </rPr>
      <t>Fuente:</t>
    </r>
    <r>
      <rPr>
        <sz val="11"/>
        <color theme="1"/>
        <rFont val="Calibri"/>
        <family val="2"/>
        <charset val="1"/>
      </rPr>
      <t xml:space="preserve"> Guía de llenado del CFDI de nómina (página 39) </t>
    </r>
  </si>
  <si>
    <t>Departamento</t>
  </si>
  <si>
    <r>
      <t xml:space="preserve">Se puede registrar el nombre del departamento o área a la que pertenece el trabajador a la que está asignado, es decir, en donde desarrolla sus funciones.  
En caso de laborar en distintos departamentos se registrará aquel en que haya desarrollado su labor por más tiempo en el periodo que ampara el comprobante, 
en caso de no ser posible determinar esto, se registrará el último departamento en que laboró en el periodo que ampara el comprobante. 
</t>
    </r>
    <r>
      <rPr>
        <b/>
        <sz val="11"/>
        <color theme="1"/>
        <rFont val="Calibri"/>
        <family val="2"/>
        <scheme val="minor"/>
      </rPr>
      <t>Fuente</t>
    </r>
    <r>
      <rPr>
        <sz val="11"/>
        <color theme="1"/>
        <rFont val="Calibri"/>
        <family val="2"/>
        <charset val="1"/>
      </rPr>
      <t xml:space="preserve">: Guía de llenado del CFDI de nómina (página 40)  </t>
    </r>
  </si>
  <si>
    <t>Puesto</t>
  </si>
  <si>
    <r>
      <t xml:space="preserve">Se puede registrar el nombre del puesto asignado al empleado o el nombre de la actividad que realiza. 
En caso de que durante el periodo que ampara el comprobante el trabajador haya cambiado de puesto se deberá consignar el último puesto ocupado. 
Ejemplo: 
Puesto= Velador
</t>
    </r>
    <r>
      <rPr>
        <b/>
        <sz val="11"/>
        <color theme="1"/>
        <rFont val="Calibri"/>
        <family val="2"/>
        <scheme val="minor"/>
      </rPr>
      <t>Fuente</t>
    </r>
    <r>
      <rPr>
        <sz val="11"/>
        <color theme="1"/>
        <rFont val="Calibri"/>
        <family val="2"/>
        <charset val="1"/>
      </rPr>
      <t xml:space="preserve">: Guía de llenado del CFDI de nómina (página 40)  </t>
    </r>
  </si>
  <si>
    <t>Riesgo de puesto</t>
  </si>
  <si>
    <t>Periodicidad de pago</t>
  </si>
  <si>
    <r>
      <t xml:space="preserve">Se debe registrar la clave de periodicidad de pago en que se realiza el pago del  salario al empleado o trabajador asimilado.
En el caso de que en un mismo comprobante se incluya nómina ordinaria y un  concepto extraordinario, por ejemplo, para la última quincena se realiza el pago del sueldo más el finiquito, con periodicidad de pago como ordinaria, entonces en campo PeriodicidadPago se debe ingresar la clave “04” quincenal correspondiente al pago de nómina ordinaria.
Las claves de periodicidad de pago se encuentran incluidas en el catálogo c_PeriodicidadPago publicado en el Portal del SAT.
</t>
    </r>
    <r>
      <rPr>
        <b/>
        <sz val="11"/>
        <color theme="1"/>
        <rFont val="Calibri"/>
        <family val="2"/>
        <scheme val="minor"/>
      </rPr>
      <t xml:space="preserve">Fuente: </t>
    </r>
    <r>
      <rPr>
        <sz val="11"/>
        <color theme="1"/>
        <rFont val="Calibri"/>
        <family val="2"/>
        <charset val="1"/>
      </rPr>
      <t>Guía de llenado del CFDI de nómina (página 41-42)</t>
    </r>
  </si>
  <si>
    <t>c_PeriodicidadPago</t>
  </si>
  <si>
    <t>Diario</t>
  </si>
  <si>
    <r>
      <rPr>
        <b/>
        <sz val="11"/>
        <color theme="1"/>
        <rFont val="Calibri"/>
        <family val="2"/>
        <scheme val="minor"/>
      </rPr>
      <t>Artículo 88 LFT</t>
    </r>
    <r>
      <rPr>
        <sz val="11"/>
        <color theme="1"/>
        <rFont val="Calibri"/>
        <family val="2"/>
        <charset val="1"/>
      </rPr>
      <t>.- Los plazos para el pago del salario nunca podrán ser mayores de una semana para las personas que desempeñan un trabajo material y de quince días para los demás trabajadores.</t>
    </r>
  </si>
  <si>
    <t>Semanal</t>
  </si>
  <si>
    <t>Catorcenal</t>
  </si>
  <si>
    <t>Quincenal</t>
  </si>
  <si>
    <t>Mensual</t>
  </si>
  <si>
    <t>Bimestral</t>
  </si>
  <si>
    <t>Unidad obra</t>
  </si>
  <si>
    <t>Comisión</t>
  </si>
  <si>
    <t>Precio alzado</t>
  </si>
  <si>
    <t>Decenal</t>
  </si>
  <si>
    <t>Otra Periodicidad</t>
  </si>
  <si>
    <t>Banco</t>
  </si>
  <si>
    <r>
      <t xml:space="preserve">Se puede registrar la clave del banco en donde el empleador realiza el depósito de la nómina al trabajador o asimilado a salarios.  
Las claves de los distintos bancos se encuentran incluidas en el catálogo c_Banco publicado en el Portal del SAT. 
Ejemplo:  
Banco= 002
</t>
    </r>
    <r>
      <rPr>
        <b/>
        <sz val="11"/>
        <color theme="1"/>
        <rFont val="Calibri"/>
        <family val="2"/>
        <scheme val="minor"/>
      </rPr>
      <t xml:space="preserve">Fuente: </t>
    </r>
    <r>
      <rPr>
        <sz val="11"/>
        <color theme="1"/>
        <rFont val="Calibri"/>
        <family val="2"/>
        <charset val="1"/>
      </rPr>
      <t xml:space="preserve">Guía de llenado del CFDI de nómina (página 43)
</t>
    </r>
    <r>
      <rPr>
        <b/>
        <sz val="11"/>
        <color theme="1"/>
        <rFont val="Calibri"/>
        <family val="2"/>
        <scheme val="minor"/>
      </rPr>
      <t>Artículo 101 LFT</t>
    </r>
    <r>
      <rPr>
        <sz val="11"/>
        <color theme="1"/>
        <rFont val="Calibri"/>
        <family val="2"/>
        <charset val="1"/>
      </rPr>
      <t>.- El salario en efectivo deberá pagarse precisamente en moneda de curso legal, no siendo permitido hacerlo en mercancías, vales, fichas o cualquier otro signo representativo con que se pretenda substituir la moneda.
Previo consentimiento del trabajador, el pago del salario podrá efectuarse por medio de depósito en cuenta bancaria, tarjeta de débito, transferencias o cualquier otro medio electrónico. Los gastos o costos que originen estos medios alternativos de pago serán cubiertos por el patrón.
En todos los casos, el trabajador deberá tener acceso a la información detallada de los conceptos y deducciones de pago. Los recibos de pago deberán entregarse al trabajador en forma impresa o por cualquier otro medio, sin perjuicio de que el patrón lo deba entregar en documento impreso cuando el trabajador así lo requiera.
Los recibos impresos deberán contener firma autógrafa del trabajador para su validez; los recibos de pago contenidos en comprobantes fiscales digitales por Internet (CFDI) pueden sustituir a los recibos impresos; el contenido de un CFDI hará prueba si se verifica en el portal de Internet del Servicio de Administración Tributaria, en caso de ser validado se estará a lo dispuesto en la fracción I del artículo 836-D de esta Ley.</t>
    </r>
  </si>
  <si>
    <t>Cuenta bancaria</t>
  </si>
  <si>
    <r>
      <t xml:space="preserve">Se puede registrar el número de cuenta bancaria (11 posiciones), número de teléfono celular (10 posiciones), número de tarjeta de crédito, débito o de servicios (15 o 16 posiciones), la CLABE (18 posiciones), o número de monedero electrónico, en donde el empleador realiza el depósito de la nómina al trabajador.
</t>
    </r>
    <r>
      <rPr>
        <b/>
        <sz val="11"/>
        <color theme="1"/>
        <rFont val="Calibri"/>
        <family val="2"/>
        <scheme val="minor"/>
      </rPr>
      <t>Fuente:</t>
    </r>
    <r>
      <rPr>
        <sz val="11"/>
        <color theme="1"/>
        <rFont val="Calibri"/>
        <family val="2"/>
        <charset val="1"/>
      </rPr>
      <t xml:space="preserve"> Guía de llenado del CFDI de nómina (página 43-44)</t>
    </r>
  </si>
  <si>
    <t>Salario base cuota aportación</t>
  </si>
  <si>
    <t>Salario diario integrado</t>
  </si>
  <si>
    <r>
      <t xml:space="preserve">Se puede registrar el importe del salario que se integra con los pagos hechos en efectivo por cuota diaria, gratificaciones, percepciones, habitación, primas, comisiones, prestaciones en especie y cualquier otra cantidad o prestación que se entregue al trabajador por su trabajo, de conformidad con el Art. 84 de la Ley Federal del Trabajo. (Se utiliza para el cálculo de las indemnizaciones).  
Si se trata de relaciones laborales no sujetas a la Ley Federal del Trabajo, aquí se asentará el salario que sirva de base de cotización para el cálculo de indemnizaciones. 
Se debe registrar cuando se esté obligado conforme a las disposiciones aplicables. 
Ejemplo:  
SalarioDiarioIntegrado= 146.47 
Por excepción, este dato no aplica cuando el empleador realice el pago a contribuyentes asimilados a salarios, no se sitúe en los supuestos contemplados en los artículos 12 y 13 de la Ley del Seguro Social, o bien, no tenga la obligación de registrar este dato en términos de las disposiciones aplicables. 
</t>
    </r>
    <r>
      <rPr>
        <b/>
        <sz val="11"/>
        <color theme="1"/>
        <rFont val="Calibri"/>
        <family val="2"/>
        <scheme val="minor"/>
      </rPr>
      <t>Fundamento Legal</t>
    </r>
    <r>
      <rPr>
        <sz val="11"/>
        <color theme="1"/>
        <rFont val="Calibri"/>
        <family val="2"/>
        <charset val="1"/>
      </rPr>
      <t xml:space="preserve">: Artículo 84 de la Ley Federal del Trabajo. 
</t>
    </r>
    <r>
      <rPr>
        <b/>
        <sz val="11"/>
        <color theme="1"/>
        <rFont val="Calibri"/>
        <family val="2"/>
        <scheme val="minor"/>
      </rPr>
      <t>Fuente</t>
    </r>
    <r>
      <rPr>
        <sz val="11"/>
        <color theme="1"/>
        <rFont val="Calibri"/>
        <family val="2"/>
        <charset val="1"/>
      </rPr>
      <t>: Guía de llenado del CFDI de nómina (página  45)</t>
    </r>
  </si>
  <si>
    <t>Clave entidad federativa</t>
  </si>
  <si>
    <r>
      <t xml:space="preserve">Se debe registrar la clave con la que se identifica el tipo de nómina.
Las claves de los tipos de nóminas se encuentran incluidas en el catálogo  c_TipoNomina publicado en el Portal del SAT.
Ejemplo:
TipoNomina= O
</t>
    </r>
    <r>
      <rPr>
        <b/>
        <sz val="11"/>
        <color theme="1"/>
        <rFont val="Calibri"/>
        <family val="2"/>
        <scheme val="minor"/>
      </rPr>
      <t>El tipo de nómina puede ser:</t>
    </r>
    <r>
      <rPr>
        <sz val="11"/>
        <color theme="1"/>
        <rFont val="Calibri"/>
        <family val="2"/>
        <scheme val="minor"/>
      </rPr>
      <t xml:space="preserve">
Ordinaria o Extraordinaria, esta clasificación la realiza el patrón al emitir el comprobante, comúnmente se suele clasificar como ordinaria a la nómina que paga conceptos de manera periódica y, por ende, a la que le corresponde una periodicidad determinada, por ejemplo: Diaria, Semanal, Catorcenal, Quincenal, Mensual, Bimestral, Decenal o incluso por unidad de obra, comisión o precio alzado.
Como extraordinaria se clasifica a aquella nómina que incluye conceptos que no son objeto de pago de manera periódica o habitual, por ejemplo, pagos porseparación, aguinaldos o bonos.
</t>
    </r>
    <r>
      <rPr>
        <b/>
        <sz val="11"/>
        <color theme="1"/>
        <rFont val="Calibri"/>
        <family val="2"/>
        <scheme val="minor"/>
      </rPr>
      <t>Fuente</t>
    </r>
    <r>
      <rPr>
        <sz val="11"/>
        <color theme="1"/>
        <rFont val="Calibri"/>
        <family val="2"/>
        <scheme val="minor"/>
      </rPr>
      <t>: Guía de llenado del CFDI de nómina (página 22)</t>
    </r>
  </si>
  <si>
    <r>
      <t xml:space="preserve">Se debe registrar la fecha en que efectivamente el empleador realizó el pago (erogación) de la nómina al trabajador
</t>
    </r>
    <r>
      <rPr>
        <b/>
        <sz val="11"/>
        <color theme="1"/>
        <rFont val="Calibri"/>
        <family val="2"/>
        <scheme val="minor"/>
      </rPr>
      <t>Fuente:</t>
    </r>
    <r>
      <rPr>
        <sz val="11"/>
        <color theme="1"/>
        <rFont val="Calibri"/>
        <family val="2"/>
        <scheme val="minor"/>
      </rPr>
      <t xml:space="preserve"> Guía de llenado del CFDI nómina (página 23)
</t>
    </r>
    <r>
      <rPr>
        <b/>
        <sz val="11"/>
        <color theme="1"/>
        <rFont val="Calibri"/>
        <family val="2"/>
        <scheme val="minor"/>
      </rPr>
      <t>Artículo 109 LFT</t>
    </r>
    <r>
      <rPr>
        <sz val="11"/>
        <color theme="1"/>
        <rFont val="Calibri"/>
        <family val="2"/>
        <scheme val="minor"/>
      </rPr>
      <t xml:space="preserve">.- El pago deberá efectuarse en día laborable, fijado por convenio entre el trabajador y el patrón, durante las horas de trabajo o inmediatamente después de su terminación
</t>
    </r>
    <r>
      <rPr>
        <b/>
        <sz val="11"/>
        <color theme="1"/>
        <rFont val="Calibri"/>
        <family val="2"/>
        <scheme val="minor"/>
      </rPr>
      <t>Artículo 1000 LFT</t>
    </r>
    <r>
      <rPr>
        <sz val="11"/>
        <color theme="1"/>
        <rFont val="Calibri"/>
        <family val="2"/>
        <scheme val="minor"/>
      </rPr>
      <t xml:space="preserve">.- El incumplimiento de las normas relativas a la remuneración de los trabajos, duración de la jornada y descansos, contenidas en un contrato Ley, o en un contrato colectivo de trabajo, se sancionará con multa por el equivalente de 250 a 5000 veces la Unidad de Medida y Actualización.
</t>
    </r>
    <r>
      <rPr>
        <b/>
        <sz val="11"/>
        <color theme="1"/>
        <rFont val="Calibri"/>
        <family val="2"/>
        <scheme val="minor"/>
      </rPr>
      <t>Artículo 1002 LFT</t>
    </r>
    <r>
      <rPr>
        <sz val="11"/>
        <color theme="1"/>
        <rFont val="Calibri"/>
        <family val="2"/>
        <scheme val="minor"/>
      </rPr>
      <t>.- Por violaciones a las normas de trabajo no sancionadas en este Título o en alguna otra disposición de esta Ley, se impondrá al infractor multa por el equivalente de 50 a 5000 veces la Unidad de Medida y Actualización.</t>
    </r>
  </si>
  <si>
    <r>
      <t xml:space="preserve">Se debe registrar la fecha inicial del periodo de pago, debe de ser menor o igual a la FechaFinalPago.
Para el caso de nóminas extraordinarias, se puede señalar como FechaInicialPago y FechaFinalPago la misma, es decir, la del día en que se realice el pago al trabajador.
Se expresa en la forma AAAA-MM-DD de acuerdo con la especificación ISO 8601
</t>
    </r>
    <r>
      <rPr>
        <b/>
        <sz val="11"/>
        <color theme="1"/>
        <rFont val="Calibri"/>
        <family val="2"/>
        <scheme val="minor"/>
      </rPr>
      <t>Fuente</t>
    </r>
    <r>
      <rPr>
        <sz val="11"/>
        <color theme="1"/>
        <rFont val="Calibri"/>
        <family val="2"/>
        <scheme val="minor"/>
      </rPr>
      <t>: Guía de llenado del CFDI de nómina (página 24)</t>
    </r>
  </si>
  <si>
    <r>
      <t xml:space="preserve">Se debe registrar la fecha final del periodo de pago, debe ser mayor o igual a la FechaInicialPago.
Para el caso de nóminas extraordinarias como aquella en la que se paga la PTU, el aguinaldo, indemnización o pagos como resultado de la ejecución de un laudo, se puede señalar como FechaInicialPago y FechaFinalPago, la misma fecha, es decir del día en que se realice el pago al trabajador. 
Se expresa en la forma AAAA-MM-DD de acuerdo con la especificación ISO 8601.
</t>
    </r>
    <r>
      <rPr>
        <b/>
        <sz val="11"/>
        <color theme="1"/>
        <rFont val="Calibri"/>
        <family val="2"/>
        <scheme val="minor"/>
      </rPr>
      <t>Fuente:</t>
    </r>
    <r>
      <rPr>
        <sz val="11"/>
        <color theme="1"/>
        <rFont val="Calibri"/>
        <family val="2"/>
        <scheme val="minor"/>
      </rPr>
      <t xml:space="preserve"> Guía de llenado del CFDI de nómina (página 24)</t>
    </r>
  </si>
  <si>
    <r>
      <t xml:space="preserve">Se debe registrar el número de días y/o la fracción de días pagados al trabajador. El valor debe ser mayor que cero, se pueden registrar hasta 36,160 días y no se incluyen los ceros a la izquierda. 
Para el número de días pagados también se deben registrar en los casos en que se realicen pagos por ejemplo por PTU, indemnización o pagos como resultado de la ejecución de un laudo. 
Para el caso de los días pagados en los supuestos en dónde no se cuente con la posibilidad de incluir el detalle de los días que ampara el pago, se debe registrar el  valor “1”.
</t>
    </r>
    <r>
      <rPr>
        <b/>
        <sz val="11"/>
        <color theme="1"/>
        <rFont val="Calibri"/>
        <family val="2"/>
        <scheme val="minor"/>
      </rPr>
      <t>Fuente:</t>
    </r>
    <r>
      <rPr>
        <sz val="11"/>
        <color theme="1"/>
        <rFont val="Calibri"/>
        <family val="2"/>
        <scheme val="minor"/>
      </rPr>
      <t xml:space="preserve"> Guía de llenado del CFDI de nómina (página 25)</t>
    </r>
  </si>
  <si>
    <r>
      <t xml:space="preserve">Se puede registrar la fecha de inicio de la relación laboral entre el empleador y el empleado. Se deben señalar los datos de la relación laboral y patrón vigente, es decir, contrato vigente. 
Se debe registrar cuando se esté obligado conforme a las disposiciones aplicables. 
Se expresa en la forma AAAA-MM-DD de acuerdo con la especificación ISO 8601. 
</t>
    </r>
    <r>
      <rPr>
        <b/>
        <sz val="11"/>
        <color theme="1"/>
        <rFont val="Calibri"/>
        <family val="2"/>
        <scheme val="minor"/>
      </rPr>
      <t xml:space="preserve">Ejemplo: </t>
    </r>
    <r>
      <rPr>
        <sz val="11"/>
        <color theme="1"/>
        <rFont val="Calibri"/>
        <family val="2"/>
        <scheme val="minor"/>
      </rPr>
      <t xml:space="preserve"> 
FechaInicioRelLaboral= 2022-01-01 
Por excepción, este dato no aplica cuando el empleador realice el pago a contribuyentes asimilados a salarios, no se sitúe en los supuestos contemplados en los artículos 12 y 13 de la Ley del Seguro Social, o bien no tenga la obligación 
de registrar este dato en términos de las disposiciones aplicables. 
El valor de este dato deberá ser menor o igual que el campo FechaFinalPago. 
 </t>
    </r>
    <r>
      <rPr>
        <b/>
        <sz val="11"/>
        <color theme="1"/>
        <rFont val="Calibri"/>
        <family val="2"/>
        <scheme val="minor"/>
      </rPr>
      <t>Fuente</t>
    </r>
    <r>
      <rPr>
        <sz val="11"/>
        <color theme="1"/>
        <rFont val="Calibri"/>
        <family val="2"/>
        <scheme val="minor"/>
      </rPr>
      <t>: Guía de llenado del CFDI de nómina (página 34)</t>
    </r>
  </si>
  <si>
    <r>
      <t xml:space="preserve">Se debe registrar el valor “Sí”, únicamente cuando el trabajador este asociado a un sindicato dentro de la organización en la cual presta sus servicios. 
Se debe registrar el valor “No”, cuando el empleador realice el pago a contribuyentes asimilados a salarios, o a asalariados no sindicalizados.  
Ejemplo: 
Sindicalizado= Sí 
Fundamento Legal: Artículo 154 de la Ley Federal del Trabajo.
</t>
    </r>
    <r>
      <rPr>
        <b/>
        <sz val="11"/>
        <color theme="1"/>
        <rFont val="Calibri"/>
        <family val="2"/>
        <scheme val="minor"/>
      </rPr>
      <t>Fuente</t>
    </r>
    <r>
      <rPr>
        <sz val="11"/>
        <color theme="1"/>
        <rFont val="Calibri"/>
        <family val="2"/>
        <scheme val="minor"/>
      </rPr>
      <t xml:space="preserve">: Guía de llenado del CFDI de nómina (página 37)
</t>
    </r>
    <r>
      <rPr>
        <b/>
        <sz val="11"/>
        <color theme="1"/>
        <rFont val="Calibri"/>
        <family val="2"/>
        <scheme val="minor"/>
      </rPr>
      <t>Trabajador sindicalizado</t>
    </r>
    <r>
      <rPr>
        <sz val="11"/>
        <color theme="1"/>
        <rFont val="Calibri"/>
        <family val="2"/>
        <scheme val="minor"/>
      </rPr>
      <t xml:space="preserve">
Se entiende por sindicalizado a todo trabajador que se encuentre agremiado a cualquier organización sindical legalmente constituida.
</t>
    </r>
    <r>
      <rPr>
        <b/>
        <sz val="11"/>
        <color theme="1"/>
        <rFont val="Calibri"/>
        <family val="2"/>
        <scheme val="minor"/>
      </rPr>
      <t>Fundamento</t>
    </r>
    <r>
      <rPr>
        <sz val="11"/>
        <color theme="1"/>
        <rFont val="Calibri"/>
        <family val="2"/>
        <scheme val="minor"/>
      </rPr>
      <t>: Artículo 154 tercer párrafo LFT</t>
    </r>
  </si>
  <si>
    <r>
      <t xml:space="preserve">Se puede registrar la clave correspondiente al tipo de jornada que cubre el trabajador durante el desempeño de las actividades encomendadas por su 
empleador. Se debe registrar cuando se esté obligado conforme a las disposiciones aplicables.  
Las distintas claves de tipos de jornada se encuentran incluidas en el catálogo c_TipoJornada publicado en el Portal del SAT.
Por excepción, este dato no aplica cuando el empleador realice el pago a contribuyentes asimilados a salarios, no se sitúe en los supuestos contemplados 
en los artículos 12 y 13 de la Ley del Seguro Social, o bien no tenga la obligación de registrar este dato en términos de las disposiciones aplicables. 
Fundamento Legal: Artículos 60 y 61 de la Ley Federal del Trabajo y 123, Apartado B), Fracción I de Ia Constitución Política de los Estados Unidos Mexicanos. 
</t>
    </r>
    <r>
      <rPr>
        <b/>
        <sz val="11"/>
        <color theme="1"/>
        <rFont val="Calibri"/>
        <family val="2"/>
        <scheme val="minor"/>
      </rPr>
      <t>Fuente</t>
    </r>
    <r>
      <rPr>
        <sz val="11"/>
        <color theme="1"/>
        <rFont val="Calibri"/>
        <family val="2"/>
        <scheme val="minor"/>
      </rPr>
      <t>: Guía de llenado del CFDI de nómina (página 37)</t>
    </r>
  </si>
  <si>
    <r>
      <t xml:space="preserve">Se puede registrar la clave conforme a la clase en que está inscrito el empleador, de acuerdo con las actividades que desempeñan sus trabajadores, según lo previsto en el artículo 196 del Reglamento en Materia de Afiliación Clasificación de Empresas, Recaudación y Fiscalización, o conforme con la Normatividad del Instituto de Seguridad Social del trabajador.  
Se debe registrar cuando se esté obligado conforme a las disposiciones aplicables. 
Las claves de las distintas clases de riesgos de puestos, se encuentran incluidas en el catálogo c_RiesgoPuesto publicado en el Portal del SAT. 
En caso de trabajadores que no se encuentren afiliados al IMSS, en este campo se deberá registrar la clave 99 “No aplica” del catálogo c_RiesgoPuesto.
</t>
    </r>
    <r>
      <rPr>
        <b/>
        <sz val="11"/>
        <color theme="1"/>
        <rFont val="Calibri"/>
        <family val="2"/>
        <scheme val="minor"/>
      </rPr>
      <t>Fuente:</t>
    </r>
    <r>
      <rPr>
        <sz val="11"/>
        <color theme="1"/>
        <rFont val="Calibri"/>
        <family val="2"/>
        <charset val="1"/>
      </rPr>
      <t xml:space="preserve"> Guía de llenado del CFDI de nómina (página 40)  </t>
    </r>
  </si>
  <si>
    <r>
      <t xml:space="preserve">Se puede registrar el importe de la retribución otorgada al trabajador, que se integra por los pagos hechos en efectivo por cuota diaria, gratificaciones, percepciones, alimentación, habitación, primas, comisiones, prestaciones en especie y cualquiera otra cantidad o prestación que se entregue al trabajador por su trabajo, sin considerar los conceptos que se excluyen de conformidad con el artículo 27 de la Ley del Seguro Social, o la integración de los pagos conforme la normatividad del Instituto de Seguridad Social del trabajador. (Se emplea para pagar las cuotas y aportaciones de Seguridad Social).  
Se debe registrar cuando se esté obligado conforme a las disposiciones aplicables. 
Ejemplo:  
SalarioBaseCotApor= 490.22 
Por excepción, este dato no aplica cuando el empleador realice el pago a contribuyentes asimilados a salarios, no se sitúe en los supuestos contemplados en los artículos 12 y 13 de la Ley del Seguro Social, o bien no tenga la obligación 
de registrar este dato en términos de las disposiciones aplicables. 
</t>
    </r>
    <r>
      <rPr>
        <b/>
        <sz val="11"/>
        <color theme="1"/>
        <rFont val="Calibri"/>
        <family val="2"/>
        <scheme val="minor"/>
      </rPr>
      <t>Fundamento Legal</t>
    </r>
    <r>
      <rPr>
        <sz val="11"/>
        <color theme="1"/>
        <rFont val="Calibri"/>
        <family val="2"/>
        <charset val="1"/>
      </rPr>
      <t xml:space="preserve">: Artículo 27 de la Ley del Seguro Social.
</t>
    </r>
    <r>
      <rPr>
        <b/>
        <sz val="11"/>
        <color theme="1"/>
        <rFont val="Calibri"/>
        <family val="2"/>
        <scheme val="minor"/>
      </rPr>
      <t>Fuente</t>
    </r>
    <r>
      <rPr>
        <sz val="11"/>
        <color theme="1"/>
        <rFont val="Calibri"/>
        <family val="2"/>
        <charset val="1"/>
      </rPr>
      <t>: Guía de llenado del CFDI de nómina (página 44)</t>
    </r>
  </si>
  <si>
    <r>
      <t xml:space="preserve">Se debe registrar la clave de la entidad federativa en donde el trabajador prestó sus servicios al empleador.  
Si el trabajador prestó servicio en distintas entidades federativas durante el período que ampara el comprobante, se deberá incluir la clave de aquella entidad en dónde prestó la mayor parte del servicio. En caso de no ser posible identificar la entidad en que prestó la mayor cantidad del servicio, se podrá poner la clave de la última entidad en que los prestó.  
Las claves de las distintas entidades federativas se encuentran incluidas en el catálogo c_Estado publicado en el Portal del SAT. 
Ejemplo:  
ClaveEntFed= AGU
</t>
    </r>
    <r>
      <rPr>
        <b/>
        <sz val="11"/>
        <color theme="1"/>
        <rFont val="Calibri"/>
        <family val="2"/>
        <scheme val="minor"/>
      </rPr>
      <t xml:space="preserve">Fuente: </t>
    </r>
    <r>
      <rPr>
        <sz val="11"/>
        <color theme="1"/>
        <rFont val="Calibri"/>
        <family val="2"/>
        <charset val="1"/>
      </rPr>
      <t>Guía de llenado del CFDI de nómina (página  41)</t>
    </r>
  </si>
  <si>
    <r>
      <t xml:space="preserve">Se debe registrar la clave del tipo de contrato laboral que tiene el trabajador con su empleador, en virtud del cual el trabajador se compromete a prestar sus servicios a cambio de una remuneración.  
Las claves de los distintos tipos de contrato se encuentran incluidas en el catálogo c_TipoContrato publicado en el Portal del SAT. 
Ejemplo:  
 TipoContrato= 01
</t>
    </r>
    <r>
      <rPr>
        <b/>
        <sz val="11"/>
        <color theme="1"/>
        <rFont val="Calibri"/>
        <family val="2"/>
        <scheme val="minor"/>
      </rPr>
      <t>Fuente</t>
    </r>
    <r>
      <rPr>
        <sz val="11"/>
        <color theme="1"/>
        <rFont val="Calibri"/>
        <family val="2"/>
        <charset val="1"/>
      </rPr>
      <t>: Guía de llenado del CFDI de nómina (página 36)</t>
    </r>
  </si>
  <si>
    <t>Percepción CFDI Nómina</t>
  </si>
  <si>
    <t>Fundamento / Relación LFT</t>
  </si>
  <si>
    <t>Ingreso exento LISR Art. 93</t>
  </si>
  <si>
    <t>Tratamiento nómina</t>
  </si>
  <si>
    <t>Ejemplo práctico</t>
  </si>
  <si>
    <t>001</t>
  </si>
  <si>
    <t>Sueldos, Salarios Rayas y Jornales</t>
  </si>
  <si>
    <t>Arts. 82, 83, 84, 85 y 88 LFT</t>
  </si>
  <si>
    <t>No exento</t>
  </si>
  <si>
    <t>Gravado para ISR; base principal de nómina</t>
  </si>
  <si>
    <t>Sueldo quincenal ordinario pagado al trabajador.</t>
  </si>
  <si>
    <t>002</t>
  </si>
  <si>
    <t>Art. 87 LFT</t>
  </si>
  <si>
    <t>Fracc. XIV: exento hasta 30 UMA/SMG</t>
  </si>
  <si>
    <t>Parcialmente exento; excedente gravado</t>
  </si>
  <si>
    <t>Aguinaldo anual de 15 días mínimo.</t>
  </si>
  <si>
    <t>003</t>
  </si>
  <si>
    <t>Arts. 117 a 131 LFT</t>
  </si>
  <si>
    <t>Fracc. XIV: exento hasta 15 UMA/SMG</t>
  </si>
  <si>
    <t>PTU pagada en mayo o junio, según tipo de patrón.</t>
  </si>
  <si>
    <t>004</t>
  </si>
  <si>
    <t>Prestación de previsión social / contrato de trabajo</t>
  </si>
  <si>
    <t>Fracc. VI: exento si se concede de manera general</t>
  </si>
  <si>
    <t>Exento si cumple generalidad y documentación</t>
  </si>
  <si>
    <t>Reembolso de factura hospitalaria autorizada por política interna.</t>
  </si>
  <si>
    <t>005</t>
  </si>
  <si>
    <t>Prestación contractual de previsión social</t>
  </si>
  <si>
    <t>Fracc. XI: exento si reúne requisitos de deducibilidad</t>
  </si>
  <si>
    <t>Exento si cumple requisitos fiscales; excedentes pueden ser gravados</t>
  </si>
  <si>
    <t>Aportación trabajador-patrón a fondo de ahorro.</t>
  </si>
  <si>
    <t>006</t>
  </si>
  <si>
    <t>Prestación laboral / previsión social</t>
  </si>
  <si>
    <t>Fracc. XI: exento si cumple requisitos</t>
  </si>
  <si>
    <t>Exento bajo requisitos</t>
  </si>
  <si>
    <t>Ahorro administrado por trabajadores.</t>
  </si>
  <si>
    <t>009</t>
  </si>
  <si>
    <t>Prestación otorgada por patrón</t>
  </si>
  <si>
    <t>Fracc. XII: exenta la cuota de seguridad social del trabajador pagada por patrón</t>
  </si>
  <si>
    <t>Patrón absorbe cuotas obreras IMSS.</t>
  </si>
  <si>
    <t>010</t>
  </si>
  <si>
    <t>Prestación contractual / política interna</t>
  </si>
  <si>
    <t>Sin exención específica</t>
  </si>
  <si>
    <t>Generalmente gravado para ISR</t>
  </si>
  <si>
    <t>Bono por llegar puntualmente todo el periodo.</t>
  </si>
  <si>
    <t>011</t>
  </si>
  <si>
    <t>Prestación de previsión social</t>
  </si>
  <si>
    <t>Fracc. XXI: puede estar exento cumpliendo requisitos</t>
  </si>
  <si>
    <t>Exento si cumple requisitos del seguro de vida</t>
  </si>
  <si>
    <t>Prima pagada por patrón por póliza colectiva.</t>
  </si>
  <si>
    <t>012</t>
  </si>
  <si>
    <t>Fracc. VI y XXI: tratamiento de seguros/gastos médicos</t>
  </si>
  <si>
    <t>Exento si cumple requisitos</t>
  </si>
  <si>
    <t>Prima de SGMM pagada por el patrón.</t>
  </si>
  <si>
    <t>013</t>
  </si>
  <si>
    <t>Relación sindical / contrato colectivo</t>
  </si>
  <si>
    <t>Sin exención específica expresa</t>
  </si>
  <si>
    <t>Revisar si es prestación contractual; normalmente gravado salvo soporte específico</t>
  </si>
  <si>
    <t>Patrón cubre cuota sindical del trabajador.</t>
  </si>
  <si>
    <t>014</t>
  </si>
  <si>
    <t>LSS / incapacidad del trabajador</t>
  </si>
  <si>
    <t>Fracc. VIII: subsidios por incapacidad exentos</t>
  </si>
  <si>
    <t>Pago por incapacidad general, maternidad o riesgo.</t>
  </si>
  <si>
    <t>015</t>
  </si>
  <si>
    <t>Previsión social / contrato de trabajo</t>
  </si>
  <si>
    <t>Fracc. VIII: becas educacionales exentas si son generales</t>
  </si>
  <si>
    <t>Exento con generalidad</t>
  </si>
  <si>
    <t>Beca escolar para hijos de trabajadores.</t>
  </si>
  <si>
    <t>019</t>
  </si>
  <si>
    <t>Arts. 66, 67 y 68 LFT</t>
  </si>
  <si>
    <t>Fracc. I: exención total/parcial según salario y límites legales</t>
  </si>
  <si>
    <t>3 horas extra dobles en una semana.</t>
  </si>
  <si>
    <t>020</t>
  </si>
  <si>
    <t>Art. 71 LFT</t>
  </si>
  <si>
    <t>Fracc. XIV: exenta hasta 1 UMA/SMG por domingo laborado</t>
  </si>
  <si>
    <t>Parcialmente exento</t>
  </si>
  <si>
    <t>Trabajador labora domingo y recibe prima del 25%.</t>
  </si>
  <si>
    <t>021</t>
  </si>
  <si>
    <t>Art. 80 LFT</t>
  </si>
  <si>
    <t>Fracc. XIV: exenta hasta 15 UMA/SMG</t>
  </si>
  <si>
    <t>Prima vacacional del 25% sobre días de vacaciones.</t>
  </si>
  <si>
    <t>022</t>
  </si>
  <si>
    <t>Art. 162 LFT</t>
  </si>
  <si>
    <t>Fracc. XIII: exenta hasta 90 UMA/SMG por año de servicio</t>
  </si>
  <si>
    <t>Parcialmente exento en separación</t>
  </si>
  <si>
    <t>Pago por antigüedad al terminar la relación.</t>
  </si>
  <si>
    <t>023</t>
  </si>
  <si>
    <t>Arts. 48, 49, 50, 51, 52 y 89 LFT</t>
  </si>
  <si>
    <t>Fracc. XIII: exento hasta 90 UMA/SMG por año de servicio</t>
  </si>
  <si>
    <t>Indemnización constitucional o pagos por terminación.</t>
  </si>
  <si>
    <t>024</t>
  </si>
  <si>
    <t>Prestación de retiro / seguridad social</t>
  </si>
  <si>
    <t>Fracc. IV, XIII y reglas de retiro, según origen</t>
  </si>
  <si>
    <t>Puede tener parte exenta o no acumulable</t>
  </si>
  <si>
    <t>Pago de seguro relacionado con retiro.</t>
  </si>
  <si>
    <t>025</t>
  </si>
  <si>
    <t>Arts. 48, 50 y 89 LFT</t>
  </si>
  <si>
    <t>Fracc. III si riesgo/enfermedad; Fracc. XIII si separación</t>
  </si>
  <si>
    <t>Parcialmente exento según origen</t>
  </si>
  <si>
    <t>Indemnización por despido o riesgo de trabajo.</t>
  </si>
  <si>
    <t>026</t>
  </si>
  <si>
    <t>Fracc. VI: gastos de funeral exentos si son generales</t>
  </si>
  <si>
    <t>Exento si cumple generalidad</t>
  </si>
  <si>
    <t>Reembolso por gastos funerarios del trabajador o familiar.</t>
  </si>
  <si>
    <t>027</t>
  </si>
  <si>
    <t>LSS / obligación de seguridad social</t>
  </si>
  <si>
    <t>Fracc. XII: exento</t>
  </si>
  <si>
    <t>Patrón paga cuotas obreras del trabajador.</t>
  </si>
  <si>
    <t>028</t>
  </si>
  <si>
    <t>Arts. 83 y 84 LFT</t>
  </si>
  <si>
    <t>Gravado; integra salario</t>
  </si>
  <si>
    <t>Comisión por ventas.</t>
  </si>
  <si>
    <t>029</t>
  </si>
  <si>
    <t>Previsión social / política de prestaciones</t>
  </si>
  <si>
    <t>Fracc. VIII y IX; sujeto a limitante de previsión social</t>
  </si>
  <si>
    <t>Puede ser exento con requisitos y límites</t>
  </si>
  <si>
    <t>Vales electrónicos de despensa.</t>
  </si>
  <si>
    <t>030</t>
  </si>
  <si>
    <t>Previsión social / prestación contractual</t>
  </si>
  <si>
    <t>Puede ser exento si cumple generalidad y límites</t>
  </si>
  <si>
    <t>Vales para consumo de alimentos.</t>
  </si>
  <si>
    <t>031</t>
  </si>
  <si>
    <t>Prestación contractual</t>
  </si>
  <si>
    <t>Sin exención específica clara; revisar si es herramienta de trabajo o prestación</t>
  </si>
  <si>
    <t>Generalmente gravado si es beneficio personal</t>
  </si>
  <si>
    <t>Vale de gasolina para trabajador.</t>
  </si>
  <si>
    <t>032</t>
  </si>
  <si>
    <t>Prestación contractual / herramienta de trabajo si uniforme</t>
  </si>
  <si>
    <t>Fracc. VIII y IX si previsión social; si uniforme de trabajo no es ingreso</t>
  </si>
  <si>
    <t>Depende naturaleza y soporte</t>
  </si>
  <si>
    <t>Vales para ropa o uniforme.</t>
  </si>
  <si>
    <t>033</t>
  </si>
  <si>
    <t>Sin exención específica; posible previsión social sujeta a límites</t>
  </si>
  <si>
    <t>Generalmente gravado salvo estructura válida de previsión social</t>
  </si>
  <si>
    <t>Ayuda mensual para vivienda.</t>
  </si>
  <si>
    <t>034</t>
  </si>
  <si>
    <t>Previsión social</t>
  </si>
  <si>
    <t>Fracc. VIII y IX: becas/ayudas educacionales análogas</t>
  </si>
  <si>
    <t>Apoyo para útiles escolares.</t>
  </si>
  <si>
    <t>035</t>
  </si>
  <si>
    <t>Previsión social / salud</t>
  </si>
  <si>
    <t>Fracc. VI o VIII, según esquema</t>
  </si>
  <si>
    <t>Puede ser exento con comprobación y generalidad</t>
  </si>
  <si>
    <t>Reembolso o ayuda para lentes.</t>
  </si>
  <si>
    <t>036</t>
  </si>
  <si>
    <t>Generalmente gravado salvo que sea herramienta o reembolso comprobado</t>
  </si>
  <si>
    <t>Apoyo fijo de transporte.</t>
  </si>
  <si>
    <t>037</t>
  </si>
  <si>
    <t>Fracc. VI: gastos funerarios exentos si son generales</t>
  </si>
  <si>
    <t>Ayuda funeraria otorgada por política general.</t>
  </si>
  <si>
    <t>038</t>
  </si>
  <si>
    <t>Art. 84 LFT si deriva del trabajo</t>
  </si>
  <si>
    <t>Depende del concepto que se pague</t>
  </si>
  <si>
    <t>Depende naturaleza: gravado/exento según caso</t>
  </si>
  <si>
    <t>Pago extraordinario no clasificado en otra clave.</t>
  </si>
  <si>
    <t>039</t>
  </si>
  <si>
    <t>Seguridad social / retiro</t>
  </si>
  <si>
    <t>Fracc. IV: exento hasta 15 UMA/SMG diarios</t>
  </si>
  <si>
    <t>Pago único de jubilación o pensión.</t>
  </si>
  <si>
    <t>044</t>
  </si>
  <si>
    <t>Pensión mensual pagada en parcialidades.</t>
  </si>
  <si>
    <t>045</t>
  </si>
  <si>
    <t>Art. 94 fracc. VII LISR; no es prestación mínima LFT</t>
  </si>
  <si>
    <t>Gravado conforme LISR</t>
  </si>
  <si>
    <t>Opción de compra de acciones otorgada al trabajador.</t>
  </si>
  <si>
    <t>Art. 94 LISR; no necesariamente relación laboral LFT</t>
  </si>
  <si>
    <t>Sin exención específica general</t>
  </si>
  <si>
    <t>Gravado como asimilado</t>
  </si>
  <si>
    <t>Honorarios asimilados a salarios.</t>
  </si>
  <si>
    <t>Alimentación diferentes a los establecidos en el Art. 94 penúltimo párrafo LISR</t>
  </si>
  <si>
    <t>Art. 84 LFT si se entrega por trabajo</t>
  </si>
  <si>
    <t>Puede tratarse como previsión social Fracc. VIII y IX; revisar requisitos</t>
  </si>
  <si>
    <t>Depende naturaleza; puede integrar salario/ISR</t>
  </si>
  <si>
    <t>Alimentación otorgada al trabajador.</t>
  </si>
  <si>
    <t>048</t>
  </si>
  <si>
    <t>Art. 84 LFT</t>
  </si>
  <si>
    <t>Fracc. X: casas habitación proporcionadas a trabajadores bajo requisitos</t>
  </si>
  <si>
    <t>Puede ser exento si cumple requisitos</t>
  </si>
  <si>
    <t>Vivienda proporcionada por la empresa.</t>
  </si>
  <si>
    <t>049</t>
  </si>
  <si>
    <t>Generalmente gravado</t>
  </si>
  <si>
    <t>Bono por asistencia perfecta.</t>
  </si>
  <si>
    <t>050</t>
  </si>
  <si>
    <t>Gastos en servicio del patrón</t>
  </si>
  <si>
    <t>Fracc. XVII: exentos si son efectivamente erogados y comprobados</t>
  </si>
  <si>
    <t>Exento con CFDI/comprobación; no comprobado puede gravar</t>
  </si>
  <si>
    <t>Viáticos de viaje de trabajo comprobados.</t>
  </si>
  <si>
    <t>051</t>
  </si>
  <si>
    <t>Derivado de jubilación/retiro; relación laboral concluida</t>
  </si>
  <si>
    <t>Fracc. IV, según naturaleza del pago</t>
  </si>
  <si>
    <t>Parcialmente exento o acumulable según cálculo</t>
  </si>
  <si>
    <t>Pago adicional a extrabajador pensionado.</t>
  </si>
  <si>
    <t>052</t>
  </si>
  <si>
    <t>Pagos a extrabajadores con jubilación en parcialidades derivados de resolución judicial o laudo</t>
  </si>
  <si>
    <t>Resolución judicial / laudo laboral</t>
  </si>
  <si>
    <t>Pago ordenado por laudo a pensionado.</t>
  </si>
  <si>
    <t>053</t>
  </si>
  <si>
    <t>Pagos a extrabajadores con jubilación en una sola exhibición derivados de resolución judicial o laudo</t>
  </si>
  <si>
    <t>Pago único por laudo de jubilación.</t>
  </si>
  <si>
    <t>054</t>
  </si>
  <si>
    <t>Arts. 69, 70, 72 y 73 LFT</t>
  </si>
  <si>
    <t>Fracc. I: servicio en días de descanso sin sustitución</t>
  </si>
  <si>
    <t>Parcialmente exento según límites</t>
  </si>
  <si>
    <t>Trabajador labora su día de descanso semanal.</t>
  </si>
  <si>
    <t>055</t>
  </si>
  <si>
    <t>Arts. 74 y 75 LFT</t>
  </si>
  <si>
    <t>Fracc. I: prestación de servicios en descanso obligatorio</t>
  </si>
  <si>
    <t>Trabajador labora 16 de septiembre.</t>
  </si>
  <si>
    <t>056</t>
  </si>
  <si>
    <t>Previsión social, Art. 93 fracciones VIII y IX LISR</t>
  </si>
  <si>
    <t>Prestaciones contractuales otorgadas de manera general</t>
  </si>
  <si>
    <t>Fracc. VIII y IX; sujeta a limitantes de previsión social</t>
  </si>
  <si>
    <t>Exento con generalidad, requisitos y límites</t>
  </si>
  <si>
    <t>Ayudas culturales, deportivas, guardería, becas, etc.</t>
  </si>
  <si>
    <t>c_TipoDeduccion</t>
  </si>
  <si>
    <t>Fundamento / Referencia</t>
  </si>
  <si>
    <t>Observación nómina</t>
  </si>
  <si>
    <t>Referencia LISR</t>
  </si>
  <si>
    <t>Seguridad social</t>
  </si>
  <si>
    <t>Catálogo SAT CFDI Nómina 1.2</t>
  </si>
  <si>
    <t>Cap. I Tít. IV LISR (Salarios y retenciones)</t>
  </si>
  <si>
    <t>ISR</t>
  </si>
  <si>
    <t>Art. 96 LISR</t>
  </si>
  <si>
    <t>Arts. 94, 96 y 97 LISR</t>
  </si>
  <si>
    <t>Aportaciones a retiro, cesantía en edad avanzada y vejez.</t>
  </si>
  <si>
    <t>Otros</t>
  </si>
  <si>
    <t>Aportaciones a Fondo de vivienda</t>
  </si>
  <si>
    <t>Descuento por incapacidad</t>
  </si>
  <si>
    <t>Pensión alimenticia</t>
  </si>
  <si>
    <t>Arts. 97 y 110 LFT</t>
  </si>
  <si>
    <t>Disposiciones salariales Tít. IV LISR</t>
  </si>
  <si>
    <t>Renta</t>
  </si>
  <si>
    <t>Préstamos provenientes del Fondo Nacional de la Vivienda para los Trabajadores</t>
  </si>
  <si>
    <t>Pago por crédito de vivienda</t>
  </si>
  <si>
    <t>Pago de abonos INFONACOT</t>
  </si>
  <si>
    <t>LINFONACOT</t>
  </si>
  <si>
    <t>Anticipo de salarios</t>
  </si>
  <si>
    <t>Pagos hechos con exceso al trabajador</t>
  </si>
  <si>
    <t>Errores</t>
  </si>
  <si>
    <t>Pérdidas</t>
  </si>
  <si>
    <t>Averías</t>
  </si>
  <si>
    <t>Adquisición de artículos producidos por la empresa o establecimiento</t>
  </si>
  <si>
    <t>Cuotas para la constitución y fomento de sociedades cooperativas y de cajas de ahorro</t>
  </si>
  <si>
    <t>Cuotas sindicales</t>
  </si>
  <si>
    <t>Ausencia (Ausentismo)</t>
  </si>
  <si>
    <t>LFT asistencia / incidencias</t>
  </si>
  <si>
    <t>Cuotas obrero patronales</t>
  </si>
  <si>
    <t>LSS cuotas obrero patronales</t>
  </si>
  <si>
    <t>Impuestos Locales</t>
  </si>
  <si>
    <t>Impuestos locales nómina</t>
  </si>
  <si>
    <t>Aportaciones voluntarias</t>
  </si>
  <si>
    <t>Ajuste en Gratificación Anual (Aguinaldo) Exento</t>
  </si>
  <si>
    <t>Art. 87 LFT / Art. 93 LISR</t>
  </si>
  <si>
    <t>Ajuste en Gratificación Anual (Aguinaldo) Gravado</t>
  </si>
  <si>
    <t>Ajuste en Participación de los Trabajadores en las Utilidades PTU Exento</t>
  </si>
  <si>
    <t>Arts.117-131 LFT / Art.93 LISR</t>
  </si>
  <si>
    <t>Ajuste en Participación de los Trabajadores en las Utilidades PTU Gravado</t>
  </si>
  <si>
    <t>Ajuste en Reembolso de Gastos Médicos Dentales y Hospitalarios Exento</t>
  </si>
  <si>
    <t>Ajuste en Fondo de ahorro Exento</t>
  </si>
  <si>
    <t>Ajuste en Caja de ahorro Exento</t>
  </si>
  <si>
    <t>Ajuste en Contribuciones a Cargo del Trabajador Pagadas por el Patrón Exento</t>
  </si>
  <si>
    <t>Ajuste en Premios por puntualidad Gravado</t>
  </si>
  <si>
    <t>Ajuste en Prima de Seguro de vida Exento</t>
  </si>
  <si>
    <t>Ajuste en Seguro de Gastos Médicos Mayores Exento</t>
  </si>
  <si>
    <t>Ajuste en Cuotas Sindicales Pagadas por el Patrón Gravado</t>
  </si>
  <si>
    <t>Ajuste en Subsidios por incapacidad Exento</t>
  </si>
  <si>
    <t>Art. 96 y Décimos Transitorios Subsidio Empleo</t>
  </si>
  <si>
    <t>Ajuste en Becas para trabajadores y/o hijos Exento</t>
  </si>
  <si>
    <t>Ajuste en Horas extra Exento</t>
  </si>
  <si>
    <t>Ajuste en Horas extra Gravado</t>
  </si>
  <si>
    <t>Ajuste en Prima dominical Exento</t>
  </si>
  <si>
    <t>Art.71 LFT / Art.93 LISR</t>
  </si>
  <si>
    <t>Ajuste en Prima dominical Gravado</t>
  </si>
  <si>
    <t>Ajuste en Prima vacacional Exento</t>
  </si>
  <si>
    <t>Art.80 LFT / Art.93 LISR</t>
  </si>
  <si>
    <t>Ajuste en Prima vacacional Gravado</t>
  </si>
  <si>
    <t>Ajuste en Prima por antigüedad Exento</t>
  </si>
  <si>
    <t>Ajuste en Prima por antigüedad Gravado</t>
  </si>
  <si>
    <t>Ajuste en Pagos por separación Exento</t>
  </si>
  <si>
    <t>Ajuste en Pagos por separación Gravado</t>
  </si>
  <si>
    <t>Ajuste en Seguro de retiro Exento</t>
  </si>
  <si>
    <t>Ajuste en Indemnizaciones Exento</t>
  </si>
  <si>
    <t>Ajuste en Indemnizaciones Gravado</t>
  </si>
  <si>
    <t>Ajuste en Reembolso por funeral Exento</t>
  </si>
  <si>
    <t>Ajuste en Cuotas de seguridad social pagadas por el patrón Exento</t>
  </si>
  <si>
    <t>Ajuste en Comisiones Gravado</t>
  </si>
  <si>
    <t>Ajuste en Vales de despensa Exento</t>
  </si>
  <si>
    <t>Ajuste en Vales de restaurante Exento</t>
  </si>
  <si>
    <t>Ajuste en Vales de gasolina Exento</t>
  </si>
  <si>
    <t>Ajuste en Vales de ropa Exento</t>
  </si>
  <si>
    <t>Ajuste en Ayuda para renta Exento</t>
  </si>
  <si>
    <t>Ajuste en Ayuda para artículos escolares Exento</t>
  </si>
  <si>
    <t>Ajuste en Ayuda para anteojos Exento</t>
  </si>
  <si>
    <t>Ajuste en Ayuda para transporte Exento</t>
  </si>
  <si>
    <t>Ajuste en Ayuda para gastos de funeral Exento</t>
  </si>
  <si>
    <t>Ajuste en Otros ingresos por salarios Exento</t>
  </si>
  <si>
    <t>Ajuste en Otros ingresos por salarios Gravado</t>
  </si>
  <si>
    <t>Ajuste en Jubilaciones, pensiones o haberes de retiro en una sola exhibición Exento</t>
  </si>
  <si>
    <t>Ajuste en Jubilaciones, pensiones o haberes de retiro en una sola exhibición Gravado</t>
  </si>
  <si>
    <t>Ajuste en Pagos por separación Acumulable</t>
  </si>
  <si>
    <t>Ajuste en Pagos por separación No acumulable</t>
  </si>
  <si>
    <t>Ajuste en Jubilaciones, pensiones o haberes de retiro en parcialidades Exento</t>
  </si>
  <si>
    <t>Ajuste en Jubilaciones, pensiones o haberes de retiro en parcialidades Gravado</t>
  </si>
  <si>
    <t>Ajuste en Subsidio para el empleo (efectivamente entregado al trabajador)</t>
  </si>
  <si>
    <t>Ajuste en Ingresos en acciones o títulos valor que representan bienes Exento</t>
  </si>
  <si>
    <t>Ajuste en Ingresos en acciones o títulos valor que representan bienes Gravado</t>
  </si>
  <si>
    <t>Ajuste en Alimentación Exento</t>
  </si>
  <si>
    <t>Ajuste en Alimentación Gravado</t>
  </si>
  <si>
    <t>Ajuste en Habitación Exento</t>
  </si>
  <si>
    <t>Ajuste en Habitación Gravado</t>
  </si>
  <si>
    <t>Ajuste en Premios por asistencia</t>
  </si>
  <si>
    <t>Ajuste en Pagos distintos a los listados y que no deben considerarse como ingreso por sueldos, salarios o ingresos asimilados.</t>
  </si>
  <si>
    <t>Ajuste en Viáticos gravados</t>
  </si>
  <si>
    <t>Ajuste en Viáticos (entregados al trabajador)</t>
  </si>
  <si>
    <t>Ajuste en Fondo de ahorro Gravado</t>
  </si>
  <si>
    <t>Ajuste en Caja de ahorro Gravado</t>
  </si>
  <si>
    <t>Ajuste en Prima de Seguro de vida Gravado</t>
  </si>
  <si>
    <t>Ajuste en Seguro de Gastos Médicos Mayores Gravado</t>
  </si>
  <si>
    <t>Ajuste en Subsidios por incapacidad Gravado</t>
  </si>
  <si>
    <t>Ajuste en Becas para trabajadores y/o hijos Gravado</t>
  </si>
  <si>
    <t>Ajuste en Seguro de retiro Gravado</t>
  </si>
  <si>
    <t>Ajuste en Vales de despensa Gravado</t>
  </si>
  <si>
    <t>Ajuste en Vales de restaurante Gravado</t>
  </si>
  <si>
    <t>Ajuste en Vales de gasolina Gravado</t>
  </si>
  <si>
    <t>Ajuste en Vales de ropa Gravado</t>
  </si>
  <si>
    <t>Ajuste en Ayuda para renta Gravado</t>
  </si>
  <si>
    <t>Ajuste en Ayuda para artículos escolares Gravado</t>
  </si>
  <si>
    <t>Ajuste en Ayuda para anteojos Gravado</t>
  </si>
  <si>
    <t>Ajuste en Ayuda para transporte Gravado</t>
  </si>
  <si>
    <t>Ajuste en Ayuda para gastos de funeral Gravado</t>
  </si>
  <si>
    <t>Ajuste a ingresos asimilados a salarios gravados</t>
  </si>
  <si>
    <t>Ajuste a ingresos por sueldos y salarios gravados</t>
  </si>
  <si>
    <t>Ajuste en Viáticos exentos</t>
  </si>
  <si>
    <t>ISR Retenido de ejercicio anterior</t>
  </si>
  <si>
    <t>Art. 97 LISR ajuste anual</t>
  </si>
  <si>
    <t>Ajuste a pagos por gratificaciones, primas, compensaciones, recompensas u otros a extrabajadores derivados de jubilación en parcialidades, gravados</t>
  </si>
  <si>
    <t>Ajuste a pagos que se realicen a extrabajadores que obtengan una jubilación en parcialidades derivados de la ejecución de una resolución judicial o de un laudo gravados</t>
  </si>
  <si>
    <t>Ajuste a pagos que se realicen a extrabajadores que obtengan una jubilación en parcialidades derivados de la ejecución de una resolución judicial o de un laudo exentos</t>
  </si>
  <si>
    <t>Ajuste a pagos que se realicen a extrabajadores que obtengan una jubilación en una sola exhibición derivados de la ejecución de una resolución judicial o de un laudo gravados</t>
  </si>
  <si>
    <t>Ajuste a pagos que se realicen a extrabajadores que obtengan una jubilación en una sola exhibición derivados de la ejecución de una resolución judicial o de un laudo exentos</t>
  </si>
  <si>
    <t>Ajuste al Subsidio Causado</t>
  </si>
  <si>
    <t>Ajuste a días de descanso laborados gravados</t>
  </si>
  <si>
    <t>Ajuste a días de descanso laborados exentos</t>
  </si>
  <si>
    <t>Ajuste a días de descanso obligatorios laborados gravados</t>
  </si>
  <si>
    <t>Ajuste a días de descanso obligatorios laborados exentos</t>
  </si>
  <si>
    <t>Ajuste previsión social Art 93 fracciones VIII y IX LISR gravados</t>
  </si>
  <si>
    <t>Ajuste previsión social Art 93 fracciones VIII y IX LISR exentos</t>
  </si>
  <si>
    <t>Vigente hasta el 30/04/2026</t>
  </si>
  <si>
    <t>Apartir del 01/05/2026</t>
  </si>
  <si>
    <r>
      <rPr>
        <b/>
        <sz val="11"/>
        <color theme="1"/>
        <rFont val="Calibri"/>
        <family val="2"/>
        <scheme val="minor"/>
      </rPr>
      <t>Artículo 58 LFT-</t>
    </r>
    <r>
      <rPr>
        <sz val="11"/>
        <color theme="1"/>
        <rFont val="Calibri"/>
        <family val="2"/>
        <charset val="1"/>
      </rPr>
      <t xml:space="preserve"> Jornada de trabajo es el tiempo durante el cual el trabajador está a disposición del patrón para prestar su trabajo.</t>
    </r>
  </si>
  <si>
    <r>
      <rPr>
        <b/>
        <sz val="11"/>
        <color theme="1"/>
        <rFont val="Calibri"/>
        <family val="2"/>
        <scheme val="minor"/>
      </rPr>
      <t>Artículo 58 LFT</t>
    </r>
    <r>
      <rPr>
        <sz val="11"/>
        <color theme="1"/>
        <rFont val="Calibri"/>
        <family val="2"/>
        <charset val="1"/>
      </rPr>
      <t>.- ...
Esta podrá ser distribuida de común acuerdo por las personas empleadoras y trabajadoras.</t>
    </r>
  </si>
  <si>
    <r>
      <rPr>
        <b/>
        <sz val="11"/>
        <color theme="1"/>
        <rFont val="Calibri"/>
        <family val="2"/>
        <scheme val="minor"/>
      </rPr>
      <t>Artículo 59 LFT.</t>
    </r>
    <r>
      <rPr>
        <sz val="11"/>
        <color theme="1"/>
        <rFont val="Calibri"/>
        <family val="2"/>
        <charset val="1"/>
      </rPr>
      <t>- El trabajador y el patrón fijarán la duración de la jornada de trabajo, sin que pueda exceder los máximos legales.
Los trabajadores y el patrón podrán repartir las horas de trabajo, a fin de permitir a los primeros el reposo del sábado en la tarde o cualquier modalidad equivalente.</t>
    </r>
  </si>
  <si>
    <r>
      <rPr>
        <b/>
        <sz val="11"/>
        <color theme="1"/>
        <rFont val="Calibri"/>
        <family val="2"/>
        <scheme val="minor"/>
      </rPr>
      <t>Artículo 59 LFT</t>
    </r>
    <r>
      <rPr>
        <sz val="11"/>
        <color theme="1"/>
        <rFont val="Calibri"/>
        <family val="2"/>
        <charset val="1"/>
      </rPr>
      <t xml:space="preserve">.- La duración máxima de la jornada ordinaria de trabajo será de cuarenta horas semanales.
</t>
    </r>
    <r>
      <rPr>
        <b/>
        <sz val="11"/>
        <color theme="1"/>
        <rFont val="Calibri"/>
        <family val="2"/>
        <scheme val="minor"/>
      </rPr>
      <t>Transitorios</t>
    </r>
    <r>
      <rPr>
        <sz val="11"/>
        <color theme="1"/>
        <rFont val="Calibri"/>
        <family val="2"/>
        <charset val="1"/>
      </rPr>
      <t xml:space="preserve">
</t>
    </r>
    <r>
      <rPr>
        <b/>
        <sz val="11"/>
        <color theme="1"/>
        <rFont val="Calibri"/>
        <family val="2"/>
        <scheme val="minor"/>
      </rPr>
      <t>Segundo</t>
    </r>
    <r>
      <rPr>
        <sz val="11"/>
        <color theme="1"/>
        <rFont val="Calibri"/>
        <family val="2"/>
        <charset val="1"/>
      </rPr>
      <t>. La duración de la jornada laboral a que se refiere el artículo 59 de la Ley Federal del Trabajo se alcanzará de manera gradual, a partir del 1 de enero del año que corresponda, conforme a lo siguiente:</t>
    </r>
  </si>
  <si>
    <t>Año</t>
  </si>
  <si>
    <t>Jornada Laboral</t>
  </si>
  <si>
    <r>
      <rPr>
        <b/>
        <sz val="11"/>
        <color theme="1"/>
        <rFont val="Calibri"/>
        <family val="2"/>
        <scheme val="minor"/>
      </rPr>
      <t>Artículo 61 LFT</t>
    </r>
    <r>
      <rPr>
        <sz val="11"/>
        <color theme="1"/>
        <rFont val="Calibri"/>
        <family val="2"/>
        <charset val="1"/>
      </rPr>
      <t>.- La duración máxima de la jornada será: ocho horas la diurna, siete la nocturna y siete horas y media la mixta.</t>
    </r>
  </si>
  <si>
    <r>
      <rPr>
        <b/>
        <sz val="11"/>
        <color theme="1"/>
        <rFont val="Calibri"/>
        <family val="2"/>
        <scheme val="minor"/>
      </rPr>
      <t>Artículo 61 LFT</t>
    </r>
    <r>
      <rPr>
        <sz val="11"/>
        <color theme="1"/>
        <rFont val="Calibri"/>
        <family val="2"/>
        <charset val="1"/>
      </rPr>
      <t>.- La duración de la jornada diaria será de ocho horas la diurna, siete la nocturna y siete horas y media la mixta.</t>
    </r>
  </si>
  <si>
    <r>
      <rPr>
        <b/>
        <sz val="11"/>
        <color theme="1"/>
        <rFont val="Calibri"/>
        <family val="2"/>
        <scheme val="minor"/>
      </rPr>
      <t>Artículo 66 LFT</t>
    </r>
    <r>
      <rPr>
        <sz val="11"/>
        <color theme="1"/>
        <rFont val="Calibri"/>
        <family val="2"/>
        <charset val="1"/>
      </rPr>
      <t>.- Podrá también prolongarse la jornada de trabajo por circunstancias extraordinarias, sin exceder nunca de tres horas diarias ni de tres veces en una semana.</t>
    </r>
  </si>
  <si>
    <r>
      <rPr>
        <b/>
        <sz val="11"/>
        <color theme="1"/>
        <rFont val="Calibri"/>
        <family val="2"/>
        <scheme val="minor"/>
      </rPr>
      <t>Artículo 66 LFT</t>
    </r>
    <r>
      <rPr>
        <sz val="11"/>
        <color theme="1"/>
        <rFont val="Calibri"/>
        <family val="2"/>
        <charset val="1"/>
      </rPr>
      <t>.- La jornada de trabajo podrá prolongarse por circunstancias extraordinarias.
En estos casos, se abonará como salario por este tiempo un cien por ciento más de lo fijado para las horas ordinarias. El trabajo extraordinario no excederá de doce horas en una semana, las cuales podrán distribuirse en hasta cuatro horas diarias, en un máximo de cuatro días en ese periodo.</t>
    </r>
  </si>
  <si>
    <r>
      <rPr>
        <b/>
        <sz val="11"/>
        <color theme="1"/>
        <rFont val="Calibri"/>
        <family val="2"/>
        <scheme val="minor"/>
      </rPr>
      <t>Transitorio</t>
    </r>
    <r>
      <rPr>
        <sz val="11"/>
        <color theme="1"/>
        <rFont val="Calibri"/>
        <family val="2"/>
        <charset val="1"/>
      </rPr>
      <t xml:space="preserve">
</t>
    </r>
    <r>
      <rPr>
        <b/>
        <sz val="11"/>
        <color theme="1"/>
        <rFont val="Calibri"/>
        <family val="2"/>
        <scheme val="minor"/>
      </rPr>
      <t>Cuarto.</t>
    </r>
    <r>
      <rPr>
        <sz val="11"/>
        <color theme="1"/>
        <rFont val="Calibri"/>
        <family val="2"/>
        <charset val="1"/>
      </rPr>
      <t xml:space="preserve"> La duración de la jornada extraordinaria a que se refiere el artículo 66 de la Ley Federal del Trabajo se alcanzará de manera gradual, a partir del 1 de enero del año correspondiente, conforme a lo siguiente:</t>
    </r>
  </si>
  <si>
    <t>Horas Extras</t>
  </si>
  <si>
    <r>
      <rPr>
        <b/>
        <sz val="11"/>
        <color theme="1"/>
        <rFont val="Calibri"/>
        <family val="2"/>
        <scheme val="minor"/>
      </rPr>
      <t>Artículo 68 LFT.</t>
    </r>
    <r>
      <rPr>
        <sz val="11"/>
        <color theme="1"/>
        <rFont val="Calibri"/>
        <family val="2"/>
        <charset val="1"/>
      </rPr>
      <t>- Los trabajadores no están obligados a prestar sus servicios por un tiempo mayor del permitido de este capítulo.
La prolongación del tiempo extraordinario que exceda de nueve horas a la semana, obliga al patrón a pagar al trabajador el tiempo excedente con un doscientos por ciento más del salario que corresponda a las horas de la jornada, sin perjuicio de las sanciones establecidas en esta Ley.</t>
    </r>
  </si>
  <si>
    <r>
      <rPr>
        <b/>
        <sz val="11"/>
        <color theme="1"/>
        <rFont val="Calibri"/>
        <family val="2"/>
        <scheme val="minor"/>
      </rPr>
      <t>Artículo 68 LFT</t>
    </r>
    <r>
      <rPr>
        <sz val="11"/>
        <color theme="1"/>
        <rFont val="Calibri"/>
        <family val="2"/>
        <charset val="1"/>
      </rPr>
      <t>.- Las personas trabajadoras no están obligadas a prestar sus servicios por un tiempo mayor del permitido en este capítulo.
La prolongación del tiempo extraordinario que supere lo establecido en el artículo 66 de esta Ley, no podrá ser mayor de cuatro horas a la semana y obliga a la persona empleadora a pagar un doscientos por ciento más del salario que corresponda a las horas de la jornada ordinaria.
La suma de las jornadas ordinaria y extraordinaria, en ningún caso podrá ser mayor a doce horas diarias.</t>
    </r>
  </si>
  <si>
    <t>Jornada ordinaria</t>
  </si>
  <si>
    <t>Tiempo</t>
  </si>
  <si>
    <t>Máximo H.E.</t>
  </si>
  <si>
    <t>Lunes</t>
  </si>
  <si>
    <t>Martes</t>
  </si>
  <si>
    <t>Miércoles</t>
  </si>
  <si>
    <t>Jueves</t>
  </si>
  <si>
    <t>Viernes</t>
  </si>
  <si>
    <t>Sábado</t>
  </si>
  <si>
    <t>Domingo</t>
  </si>
  <si>
    <t>Horas extras</t>
  </si>
  <si>
    <t>Tiempo de jornada</t>
  </si>
  <si>
    <t>Total jornada y T.E.</t>
  </si>
  <si>
    <t>Tope máximo artículo 68 LFT</t>
  </si>
  <si>
    <t>Excedente con posibles consecuencias laborales</t>
  </si>
  <si>
    <r>
      <rPr>
        <b/>
        <sz val="11"/>
        <color theme="1"/>
        <rFont val="Calibri"/>
        <family val="2"/>
        <scheme val="minor"/>
      </rPr>
      <t>Artículo 132 LFT</t>
    </r>
    <r>
      <rPr>
        <sz val="11"/>
        <color theme="1"/>
        <rFont val="Calibri"/>
        <family val="2"/>
        <scheme val="minor"/>
      </rPr>
      <t>.- ...
I. a XXXI.	...
XXXIV. 	Registrar de manera electrónica la jornada laboral de cada persona trabajadora, incluyendo el horario de inicio y finalización; así como proporcionarlo a la autoridad cuando se le requiera.
	La Secretaría del Trabajo y Previsión Social expedirá las disposiciones de carácter general que determinen el ámbito de aplicación y excepción a la obligación establecida en el párrafo que antecede.
	El contenido del registro electrónico hará prueba plena si se acredita que fue acordado entre la persona trabajadora y empleadora.</t>
    </r>
  </si>
  <si>
    <r>
      <rPr>
        <b/>
        <sz val="11"/>
        <color theme="1"/>
        <rFont val="Calibri"/>
        <family val="2"/>
        <scheme val="minor"/>
      </rPr>
      <t>Artículo 994 LFT</t>
    </r>
    <r>
      <rPr>
        <sz val="11"/>
        <color theme="1"/>
        <rFont val="Calibri"/>
        <family val="2"/>
        <scheme val="minor"/>
      </rPr>
      <t>.- ...
I. a IV.	...
IV Bis.	De 250 a 5000 Unidades de Medida y Actualización, a la persona empleadora obligada que incumpla con lo dispuesto por la fracción XXXIV del artículo 132 de esta Ley.</t>
    </r>
  </si>
  <si>
    <r>
      <rPr>
        <b/>
        <sz val="11"/>
        <color theme="1"/>
        <rFont val="Calibri"/>
        <family val="2"/>
        <scheme val="minor"/>
      </rPr>
      <t>Transitorios</t>
    </r>
    <r>
      <rPr>
        <sz val="11"/>
        <color theme="1"/>
        <rFont val="Calibri"/>
        <family val="2"/>
        <scheme val="minor"/>
      </rPr>
      <t xml:space="preserve">
</t>
    </r>
    <r>
      <rPr>
        <b/>
        <sz val="11"/>
        <color theme="1"/>
        <rFont val="Calibri"/>
        <family val="2"/>
        <scheme val="minor"/>
      </rPr>
      <t>Primero</t>
    </r>
    <r>
      <rPr>
        <sz val="11"/>
        <color theme="1"/>
        <rFont val="Calibri"/>
        <family val="2"/>
        <scheme val="minor"/>
      </rPr>
      <t xml:space="preserve">. El presente Decreto entrará en vigor el día 1 de mayo de 2026.
</t>
    </r>
    <r>
      <rPr>
        <b/>
        <sz val="11"/>
        <color theme="1"/>
        <rFont val="Calibri"/>
        <family val="2"/>
        <scheme val="minor"/>
      </rPr>
      <t>Quinto</t>
    </r>
    <r>
      <rPr>
        <sz val="11"/>
        <color theme="1"/>
        <rFont val="Calibri"/>
        <family val="2"/>
        <scheme val="minor"/>
      </rPr>
      <t>. Las disposiciones de carácter general a que se refiere la fracción XXXIV del artículo 132 de la Ley Federal del Trabajo, entrarán en vigor a partir del 1 de enero de 2027.</t>
    </r>
  </si>
  <si>
    <t>Ajustes a exentos</t>
  </si>
  <si>
    <t>Ajustes a gravados</t>
  </si>
  <si>
    <t>c_TipoPercepcion</t>
  </si>
  <si>
    <t>Tipo deducción</t>
  </si>
  <si>
    <t>Sueldos, Salarios  Rayas y Jornales</t>
  </si>
  <si>
    <t>Ajuste en Pagos por separación Gravado / Acumulable / No acumulable</t>
  </si>
  <si>
    <t>Ajuste en Otros ingresos por salarios Gravado / Pagos distintos a los listados</t>
  </si>
  <si>
    <t> 046</t>
  </si>
  <si>
    <t> 047</t>
  </si>
  <si>
    <t>Alimentación diferentes a los establecidos en el Art 94 penúltimo párrafo LISR</t>
  </si>
  <si>
    <t>100 / 081</t>
  </si>
  <si>
    <t>Ajuste en Viáticos exentos / Viáticos entregados al trabajador</t>
  </si>
  <si>
    <t>Pagos que se realicen a extrabajadores que obtengan una jubilación en parcialidades derivados de la ejecución de resoluciones judicial o de un laudo</t>
  </si>
  <si>
    <t>Ajuste a pagos a extrabajadores por jubilación en parcialidades derivados de resolución judicial o laudo exentos</t>
  </si>
  <si>
    <t>Ajuste a pagos a extrabajadores por jubilación en parcialidades derivados de resolución judicial o laudo gravados</t>
  </si>
  <si>
    <t>Pagos que se realicen a extrabajadores que obtengan una jubilación en una sola exhibición derivados de la ejecución de resoluciones judicial o de un laudo</t>
  </si>
  <si>
    <t>Ajuste a pagos a extrabajadores por jubilación en una sola exhibición derivados de resolución judicial o laudo exentos</t>
  </si>
  <si>
    <t>Ajuste a pagos a extrabajadores por jubilación en una sola exhibición derivados de resolución judicial o laudo gravados</t>
  </si>
  <si>
    <t>Previsión social, Art 93 fracciones VIII y IX LISR</t>
  </si>
  <si>
    <t>Nota: Las claves se relacionaron contra el catálogo de deducciones del mismo archivo, considerando claves de ajuste exentas y gravadas aplicables a cada tipo de percepción. Cuando existen ajustes especiales, se muestran concatenados con ' / '.</t>
  </si>
  <si>
    <t>Capture la contraseña de acceso &gt;&gt;&gt;</t>
  </si>
  <si>
    <t>Nombres de las hojas</t>
  </si>
  <si>
    <t>PARAMETRO</t>
  </si>
  <si>
    <t>ART_163</t>
  </si>
  <si>
    <t>ART_174</t>
  </si>
  <si>
    <t>ART_175</t>
  </si>
  <si>
    <t>ART_176</t>
  </si>
  <si>
    <t>ART_177</t>
  </si>
  <si>
    <t>ART_173</t>
  </si>
  <si>
    <t>ART_96 LISR</t>
  </si>
  <si>
    <t>ASIMILADOS</t>
  </si>
  <si>
    <t>SBC</t>
  </si>
  <si>
    <t>DSDI</t>
  </si>
  <si>
    <t>FCFDI</t>
  </si>
  <si>
    <t>PERCEP</t>
  </si>
  <si>
    <t>DEDUC</t>
  </si>
  <si>
    <t>PRELA</t>
  </si>
  <si>
    <t>REFORMA</t>
  </si>
  <si>
    <t>TARIFAS</t>
  </si>
  <si>
    <t>Hoja para captura de información para los calculos del libro</t>
  </si>
  <si>
    <t>ISR asimilado a salarios</t>
  </si>
  <si>
    <t>determinación del salario base de cotización</t>
  </si>
  <si>
    <t>Formato de CFDI complemento de nómina</t>
  </si>
  <si>
    <t>Determinación del salario diario integrado</t>
  </si>
  <si>
    <t>Catálogo de percepciones del complemento de nómina</t>
  </si>
  <si>
    <t>Catálogo de deducciones del complemento de nómina</t>
  </si>
  <si>
    <t>Catálogo de percepciones con relación a las claves de ajuste de deducciones</t>
  </si>
  <si>
    <t>Ejemplos de reforma laboral</t>
  </si>
  <si>
    <t>Tarifas anexo 8 RMF</t>
  </si>
  <si>
    <t>COFIDE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</si>
</sst>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Red]\-&quot;$&quot;#,##0.00"/>
    <numFmt numFmtId="164" formatCode="\$#,##0.00;[Red]&quot;($&quot;#,##0.00\);\-"/>
    <numFmt numFmtId="165" formatCode="#,##0.00;[Red]\(#,##0.00\);\-"/>
    <numFmt numFmtId="166" formatCode="\$#,##0.00"/>
    <numFmt numFmtId="167" formatCode="#,##0.000000"/>
    <numFmt numFmtId="168" formatCode="&quot;$&quot;#,##0.00"/>
    <numFmt numFmtId="169" formatCode="0.000%"/>
    <numFmt numFmtId="170" formatCode="00"/>
    <numFmt numFmtId="171" formatCode="000"/>
  </numFmts>
  <fonts count="62">
    <font>
      <sz val="11"/>
      <color theme="1"/>
      <name val="Calibri"/>
      <family val="2"/>
      <charset val="1"/>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1"/>
      <color rgb="FFFFFFFF"/>
      <name val="Calibri"/>
      <family val="2"/>
    </font>
    <font>
      <b/>
      <sz val="11"/>
      <color theme="1"/>
      <name val="Calibri"/>
      <family val="2"/>
      <scheme val="minor"/>
    </font>
    <font>
      <sz val="11"/>
      <color theme="0"/>
      <name val="Calibri"/>
      <family val="2"/>
      <scheme val="minor"/>
    </font>
    <font>
      <b/>
      <sz val="11"/>
      <color rgb="FFFFFFFF"/>
      <name val="Calibri"/>
      <family val="2"/>
    </font>
    <font>
      <sz val="11"/>
      <color theme="0" tint="-4.9989318521683403E-2"/>
      <name val="Calibri"/>
      <family val="2"/>
      <charset val="1"/>
    </font>
    <font>
      <b/>
      <sz val="11"/>
      <color theme="1"/>
      <name val="Cambria"/>
      <family val="1"/>
    </font>
    <font>
      <sz val="11"/>
      <color theme="0"/>
      <name val="Calibri"/>
      <family val="2"/>
    </font>
    <font>
      <sz val="11"/>
      <name val="Calibri"/>
      <family val="2"/>
    </font>
    <font>
      <b/>
      <sz val="11"/>
      <color theme="0"/>
      <name val="Calibri"/>
      <family val="2"/>
    </font>
    <font>
      <b/>
      <sz val="11"/>
      <name val="Cambria"/>
      <family val="1"/>
    </font>
    <font>
      <b/>
      <sz val="11"/>
      <color rgb="FF0000FF"/>
      <name val="Cambria"/>
      <family val="1"/>
    </font>
    <font>
      <sz val="11"/>
      <color rgb="FF000000"/>
      <name val="Cambria"/>
      <family val="1"/>
    </font>
    <font>
      <b/>
      <sz val="11"/>
      <color theme="1"/>
      <name val="Calibri"/>
      <family val="2"/>
    </font>
    <font>
      <sz val="8"/>
      <name val="Calibri"/>
      <family val="2"/>
      <charset val="1"/>
    </font>
    <font>
      <b/>
      <sz val="11"/>
      <color rgb="FF0000FF"/>
      <name val="Calibri"/>
      <family val="2"/>
    </font>
    <font>
      <sz val="11"/>
      <color theme="0" tint="-4.9989318521683403E-2"/>
      <name val="Calibri"/>
      <family val="2"/>
    </font>
    <font>
      <b/>
      <sz val="11"/>
      <name val="Calibri"/>
      <family val="2"/>
    </font>
    <font>
      <sz val="11"/>
      <name val="Carlito"/>
    </font>
    <font>
      <b/>
      <sz val="11"/>
      <color rgb="FFFFFFFF"/>
      <name val="Calibri"/>
      <family val="2"/>
      <scheme val="minor"/>
    </font>
    <font>
      <sz val="11"/>
      <name val="Calibri"/>
      <family val="2"/>
      <scheme val="minor"/>
    </font>
    <font>
      <b/>
      <sz val="11"/>
      <color rgb="FF1F4E78"/>
      <name val="Calibri"/>
      <family val="2"/>
      <scheme val="minor"/>
    </font>
    <font>
      <b/>
      <sz val="11"/>
      <name val="Calibri"/>
      <family val="2"/>
      <scheme val="minor"/>
    </font>
    <font>
      <b/>
      <sz val="11"/>
      <color rgb="FF000000"/>
      <name val="Calibri"/>
      <family val="2"/>
    </font>
    <font>
      <sz val="11"/>
      <color rgb="FF000000"/>
      <name val="Calibri"/>
      <family val="2"/>
    </font>
    <font>
      <b/>
      <sz val="11"/>
      <color rgb="FFC00000"/>
      <name val="Calibri"/>
      <family val="2"/>
      <scheme val="minor"/>
    </font>
    <font>
      <b/>
      <sz val="11"/>
      <color rgb="FF1F1F1F"/>
      <name val="Arial"/>
      <family val="2"/>
    </font>
    <font>
      <sz val="11"/>
      <color rgb="FF1F1F1F"/>
      <name val="Arial"/>
      <family val="2"/>
    </font>
    <font>
      <b/>
      <sz val="11"/>
      <color theme="1"/>
      <name val="Arial"/>
      <family val="2"/>
    </font>
    <font>
      <b/>
      <sz val="14"/>
      <color theme="1"/>
      <name val="Calibri"/>
      <family val="2"/>
      <scheme val="minor"/>
    </font>
    <font>
      <sz val="11"/>
      <color theme="1"/>
      <name val="Segoe UI"/>
      <family val="2"/>
    </font>
    <font>
      <sz val="12"/>
      <color theme="1"/>
      <name val="Calibri"/>
      <family val="2"/>
      <scheme val="minor"/>
    </font>
    <font>
      <sz val="12"/>
      <color rgb="FFFFFF00"/>
      <name val="Calibri"/>
      <family val="2"/>
      <scheme val="minor"/>
    </font>
    <font>
      <b/>
      <sz val="12"/>
      <color theme="1"/>
      <name val="Calibri"/>
      <family val="2"/>
      <scheme val="minor"/>
    </font>
    <font>
      <b/>
      <sz val="9"/>
      <color indexed="81"/>
      <name val="Tahoma"/>
      <family val="2"/>
    </font>
    <font>
      <sz val="11"/>
      <color rgb="FFFFFF00"/>
      <name val="Calibri"/>
      <family val="2"/>
      <scheme val="minor"/>
    </font>
    <font>
      <b/>
      <sz val="11"/>
      <color rgb="FFFFFF00"/>
      <name val="Calibri"/>
      <family val="2"/>
      <scheme val="minor"/>
    </font>
    <font>
      <u/>
      <sz val="11"/>
      <color theme="10"/>
      <name val="Calibri"/>
      <family val="2"/>
      <scheme val="minor"/>
    </font>
    <font>
      <b/>
      <u/>
      <sz val="11"/>
      <color theme="0"/>
      <name val="Calibri"/>
      <family val="2"/>
      <scheme val="minor"/>
    </font>
    <font>
      <b/>
      <sz val="11"/>
      <color rgb="FF0033CC"/>
      <name val="Calibri"/>
      <family val="2"/>
      <scheme val="minor"/>
    </font>
    <font>
      <sz val="11"/>
      <color theme="4" tint="-0.499984740745262"/>
      <name val="Calibri"/>
      <family val="2"/>
      <scheme val="minor"/>
    </font>
    <font>
      <b/>
      <sz val="11"/>
      <color theme="4" tint="-0.499984740745262"/>
      <name val="Calibri"/>
      <family val="2"/>
      <scheme val="minor"/>
    </font>
    <font>
      <b/>
      <u/>
      <sz val="11"/>
      <color rgb="FF0033CC"/>
      <name val="Calibri"/>
      <family val="2"/>
      <scheme val="minor"/>
    </font>
    <font>
      <b/>
      <sz val="9"/>
      <color indexed="10"/>
      <name val="Tahoma"/>
      <family val="2"/>
    </font>
    <font>
      <sz val="11"/>
      <color theme="1"/>
      <name val="Arial"/>
      <family val="2"/>
    </font>
    <font>
      <sz val="10"/>
      <name val="MS Sans Serif"/>
      <family val="2"/>
    </font>
    <font>
      <sz val="11"/>
      <name val="Arial"/>
      <family val="2"/>
    </font>
    <font>
      <sz val="9"/>
      <color rgb="FF000000"/>
      <name val="Arial"/>
      <family val="2"/>
    </font>
    <font>
      <sz val="9"/>
      <color theme="1"/>
      <name val="Arial"/>
      <family val="2"/>
    </font>
    <font>
      <u/>
      <sz val="11"/>
      <color theme="10"/>
      <name val="Calibri"/>
      <family val="2"/>
      <charset val="1"/>
    </font>
    <font>
      <b/>
      <sz val="11"/>
      <color rgb="FFFF0000"/>
      <name val="Calibri"/>
      <family val="2"/>
      <scheme val="minor"/>
    </font>
    <font>
      <sz val="11"/>
      <color theme="1"/>
      <name val="Calibri"/>
      <family val="2"/>
    </font>
    <font>
      <i/>
      <sz val="11"/>
      <color theme="1"/>
      <name val="Calibri"/>
      <family val="2"/>
    </font>
    <font>
      <b/>
      <sz val="11"/>
      <color theme="0"/>
      <name val="Arial"/>
      <family val="2"/>
    </font>
    <font>
      <b/>
      <sz val="11"/>
      <color rgb="FFC00000"/>
      <name val="Calibri"/>
      <family val="2"/>
    </font>
    <font>
      <sz val="14"/>
      <color theme="1"/>
      <name val="Calibri"/>
      <family val="2"/>
    </font>
    <font>
      <b/>
      <sz val="14"/>
      <color theme="0"/>
      <name val="Calibri"/>
      <family val="2"/>
    </font>
    <font>
      <b/>
      <u/>
      <sz val="14"/>
      <color theme="10"/>
      <name val="Calibri"/>
      <family val="2"/>
    </font>
  </fonts>
  <fills count="39">
    <fill>
      <patternFill patternType="none"/>
    </fill>
    <fill>
      <patternFill patternType="gray125"/>
    </fill>
    <fill>
      <patternFill patternType="solid">
        <fgColor rgb="FF1F4E78"/>
        <bgColor rgb="FF003366"/>
      </patternFill>
    </fill>
    <fill>
      <patternFill patternType="solid">
        <fgColor rgb="FFD9E1F2"/>
        <bgColor rgb="FFEAF4F4"/>
      </patternFill>
    </fill>
    <fill>
      <patternFill patternType="solid">
        <fgColor rgb="FFF2F2F2"/>
        <bgColor rgb="FFEAF4F4"/>
      </patternFill>
    </fill>
    <fill>
      <patternFill patternType="solid">
        <fgColor rgb="FFFFF2CC"/>
        <bgColor rgb="FFF2F2F2"/>
      </patternFill>
    </fill>
    <fill>
      <patternFill patternType="solid">
        <fgColor rgb="FF7030A0"/>
        <bgColor rgb="FF993366"/>
      </patternFill>
    </fill>
    <fill>
      <patternFill patternType="solid">
        <fgColor rgb="FFEAF4F4"/>
        <bgColor rgb="FFF2F2F2"/>
      </patternFill>
    </fill>
    <fill>
      <patternFill patternType="solid">
        <fgColor rgb="FFFFFFFF"/>
        <bgColor rgb="FFF2F2F2"/>
      </patternFill>
    </fill>
    <fill>
      <patternFill patternType="solid">
        <fgColor rgb="FF1F4E78"/>
      </patternFill>
    </fill>
    <fill>
      <patternFill patternType="solid">
        <fgColor theme="6" tint="0.79998168889431442"/>
        <bgColor rgb="FFF2F2F2"/>
      </patternFill>
    </fill>
    <fill>
      <patternFill patternType="solid">
        <fgColor theme="6" tint="0.79998168889431442"/>
        <bgColor indexed="64"/>
      </patternFill>
    </fill>
    <fill>
      <patternFill patternType="solid">
        <fgColor rgb="FFFFC000"/>
        <bgColor indexed="64"/>
      </patternFill>
    </fill>
    <fill>
      <patternFill patternType="solid">
        <fgColor rgb="FFD9EAF7"/>
      </patternFill>
    </fill>
    <fill>
      <patternFill patternType="solid">
        <fgColor rgb="FFFFF2CC"/>
      </patternFill>
    </fill>
    <fill>
      <patternFill patternType="solid">
        <fgColor theme="4"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rgb="FFCCFF33"/>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8" tint="-0.499984740745262"/>
        <bgColor indexed="64"/>
      </patternFill>
    </fill>
    <fill>
      <patternFill patternType="solid">
        <fgColor rgb="FFC00000"/>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rgb="FF0033CC"/>
        <bgColor indexed="64"/>
      </patternFill>
    </fill>
    <fill>
      <patternFill patternType="solid">
        <fgColor theme="6" tint="-0.499984740745262"/>
        <bgColor indexed="64"/>
      </patternFill>
    </fill>
    <fill>
      <patternFill patternType="solid">
        <fgColor rgb="FF66FFFF"/>
        <bgColor indexed="64"/>
      </patternFill>
    </fill>
    <fill>
      <patternFill patternType="solid">
        <fgColor theme="0" tint="-0.34998626667073579"/>
        <bgColor indexed="64"/>
      </patternFill>
    </fill>
    <fill>
      <patternFill patternType="solid">
        <fgColor rgb="FFC0C0C0"/>
        <bgColor indexed="64"/>
      </patternFill>
    </fill>
    <fill>
      <patternFill patternType="solid">
        <fgColor rgb="FFCCFF99"/>
        <bgColor indexed="64"/>
      </patternFill>
    </fill>
    <fill>
      <patternFill patternType="solid">
        <fgColor rgb="FFFFFF00"/>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rgb="FFBFBFBF"/>
      </left>
      <right style="thin">
        <color rgb="FFBFBFBF"/>
      </right>
      <top style="thin">
        <color rgb="FFBFBFBF"/>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thin">
        <color theme="6" tint="0.39997558519241921"/>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
      <left style="thin">
        <color theme="6" tint="0.39997558519241921"/>
      </left>
      <right/>
      <top style="thin">
        <color theme="6" tint="0.39997558519241921"/>
      </top>
      <bottom/>
      <diagonal/>
    </border>
    <border>
      <left/>
      <right style="thin">
        <color theme="6" tint="0.39997558519241921"/>
      </right>
      <top style="thin">
        <color theme="6" tint="0.39997558519241921"/>
      </top>
      <bottom/>
      <diagonal/>
    </border>
  </borders>
  <cellStyleXfs count="8">
    <xf numFmtId="0" fontId="0" fillId="0" borderId="0"/>
    <xf numFmtId="9" fontId="4" fillId="0" borderId="0"/>
    <xf numFmtId="0" fontId="22" fillId="0" borderId="0"/>
    <xf numFmtId="0" fontId="3" fillId="0" borderId="0"/>
    <xf numFmtId="0" fontId="41" fillId="0" borderId="0" applyNumberFormat="0" applyFill="0" applyBorder="0" applyAlignment="0" applyProtection="0"/>
    <xf numFmtId="0" fontId="49" fillId="0" borderId="0"/>
    <xf numFmtId="0" fontId="53" fillId="0" borderId="0" applyNumberFormat="0" applyFill="0" applyBorder="0" applyAlignment="0" applyProtection="0"/>
    <xf numFmtId="0" fontId="55" fillId="0" borderId="0"/>
  </cellStyleXfs>
  <cellXfs count="342">
    <xf numFmtId="0" fontId="0" fillId="0" borderId="0" xfId="0"/>
    <xf numFmtId="0" fontId="10" fillId="4" borderId="0" xfId="0" applyFont="1" applyFill="1" applyAlignment="1">
      <alignment vertical="top" wrapText="1"/>
    </xf>
    <xf numFmtId="0" fontId="11" fillId="2" borderId="0" xfId="0" applyFont="1" applyFill="1" applyAlignment="1">
      <alignment vertical="top" wrapText="1"/>
    </xf>
    <xf numFmtId="0" fontId="12" fillId="0" borderId="0" xfId="0" applyFont="1" applyAlignment="1">
      <alignment vertical="top" wrapText="1"/>
    </xf>
    <xf numFmtId="0" fontId="13" fillId="2" borderId="0" xfId="0" applyFont="1" applyFill="1" applyAlignment="1">
      <alignment vertical="top" wrapText="1"/>
    </xf>
    <xf numFmtId="0" fontId="14" fillId="4" borderId="0" xfId="0" applyFont="1" applyFill="1" applyAlignment="1">
      <alignment vertical="top" wrapText="1"/>
    </xf>
    <xf numFmtId="164" fontId="15" fillId="5" borderId="0" xfId="0" applyNumberFormat="1" applyFont="1" applyFill="1" applyAlignment="1">
      <alignment vertical="top" wrapText="1"/>
    </xf>
    <xf numFmtId="164" fontId="16" fillId="8" borderId="0" xfId="0" applyNumberFormat="1" applyFont="1" applyFill="1" applyAlignment="1">
      <alignment vertical="top" wrapText="1"/>
    </xf>
    <xf numFmtId="10" fontId="16" fillId="8" borderId="0" xfId="0" applyNumberFormat="1" applyFont="1" applyFill="1" applyAlignment="1">
      <alignment vertical="top" wrapText="1"/>
    </xf>
    <xf numFmtId="164" fontId="15" fillId="10" borderId="0" xfId="0" applyNumberFormat="1" applyFont="1" applyFill="1" applyAlignment="1">
      <alignment vertical="top" wrapText="1"/>
    </xf>
    <xf numFmtId="1" fontId="15" fillId="10" borderId="0" xfId="0" applyNumberFormat="1" applyFont="1" applyFill="1" applyAlignment="1">
      <alignment vertical="top" wrapText="1"/>
    </xf>
    <xf numFmtId="0" fontId="15" fillId="5" borderId="0" xfId="0" applyFont="1" applyFill="1" applyAlignment="1">
      <alignment vertical="top" wrapText="1"/>
    </xf>
    <xf numFmtId="164" fontId="16" fillId="0" borderId="0" xfId="0" applyNumberFormat="1" applyFont="1" applyAlignment="1">
      <alignment vertical="top" wrapText="1"/>
    </xf>
    <xf numFmtId="10" fontId="16" fillId="0" borderId="0" xfId="0" applyNumberFormat="1" applyFont="1" applyAlignment="1">
      <alignment vertical="top" wrapText="1"/>
    </xf>
    <xf numFmtId="0" fontId="15" fillId="10" borderId="0" xfId="0" applyFont="1" applyFill="1" applyAlignment="1">
      <alignment vertical="top" wrapText="1"/>
    </xf>
    <xf numFmtId="10" fontId="4" fillId="0" borderId="0" xfId="1" applyNumberFormat="1"/>
    <xf numFmtId="0" fontId="15" fillId="0" borderId="0" xfId="0" applyFont="1" applyAlignment="1">
      <alignment vertical="top" wrapText="1"/>
    </xf>
    <xf numFmtId="4" fontId="0" fillId="0" borderId="0" xfId="0" applyNumberFormat="1"/>
    <xf numFmtId="10" fontId="4" fillId="11" borderId="1" xfId="1" applyNumberFormat="1" applyFill="1" applyBorder="1"/>
    <xf numFmtId="0" fontId="17" fillId="12" borderId="1" xfId="0" applyFont="1" applyFill="1" applyBorder="1"/>
    <xf numFmtId="4" fontId="17" fillId="12" borderId="1" xfId="0" applyNumberFormat="1" applyFont="1" applyFill="1" applyBorder="1"/>
    <xf numFmtId="0" fontId="16" fillId="8" borderId="0" xfId="0" applyFont="1" applyFill="1" applyAlignment="1">
      <alignment vertical="top" wrapText="1"/>
    </xf>
    <xf numFmtId="165" fontId="16" fillId="0" borderId="0" xfId="0" applyNumberFormat="1" applyFont="1" applyAlignment="1">
      <alignment vertical="top" wrapText="1"/>
    </xf>
    <xf numFmtId="4" fontId="15" fillId="5" borderId="0" xfId="0" applyNumberFormat="1" applyFont="1" applyFill="1" applyAlignment="1">
      <alignment vertical="top" wrapText="1"/>
    </xf>
    <xf numFmtId="3" fontId="0" fillId="0" borderId="0" xfId="0" applyNumberFormat="1"/>
    <xf numFmtId="0" fontId="17" fillId="0" borderId="0" xfId="0" applyFont="1"/>
    <xf numFmtId="0" fontId="19" fillId="11" borderId="0" xfId="0" applyFont="1" applyFill="1"/>
    <xf numFmtId="164" fontId="15" fillId="0" borderId="0" xfId="0" applyNumberFormat="1" applyFont="1" applyAlignment="1">
      <alignment vertical="top" wrapText="1"/>
    </xf>
    <xf numFmtId="0" fontId="14" fillId="4" borderId="0" xfId="0" applyFont="1" applyFill="1" applyAlignment="1">
      <alignment vertical="center" wrapText="1"/>
    </xf>
    <xf numFmtId="0" fontId="20" fillId="2" borderId="0" xfId="0" applyFont="1" applyFill="1" applyAlignment="1">
      <alignment vertical="top" wrapText="1"/>
    </xf>
    <xf numFmtId="164" fontId="14" fillId="4" borderId="0" xfId="0" applyNumberFormat="1" applyFont="1" applyFill="1" applyAlignment="1">
      <alignment vertical="top" wrapText="1"/>
    </xf>
    <xf numFmtId="164" fontId="12" fillId="0" borderId="0" xfId="0" applyNumberFormat="1" applyFont="1" applyAlignment="1">
      <alignment vertical="top" wrapText="1"/>
    </xf>
    <xf numFmtId="10" fontId="12" fillId="0" borderId="0" xfId="0" applyNumberFormat="1" applyFont="1" applyAlignment="1">
      <alignment vertical="top" wrapText="1"/>
    </xf>
    <xf numFmtId="164" fontId="0" fillId="0" borderId="0" xfId="0" applyNumberFormat="1"/>
    <xf numFmtId="164" fontId="15" fillId="10" borderId="0" xfId="0" applyNumberFormat="1" applyFont="1" applyFill="1" applyAlignment="1">
      <alignment vertical="center" wrapText="1"/>
    </xf>
    <xf numFmtId="4" fontId="4" fillId="0" borderId="0" xfId="1" applyNumberFormat="1"/>
    <xf numFmtId="0" fontId="17" fillId="15" borderId="1" xfId="0" applyFont="1" applyFill="1" applyBorder="1" applyAlignment="1">
      <alignment horizontal="center"/>
    </xf>
    <xf numFmtId="3" fontId="17" fillId="15" borderId="1" xfId="0" applyNumberFormat="1" applyFont="1" applyFill="1" applyBorder="1" applyAlignment="1">
      <alignment horizontal="center"/>
    </xf>
    <xf numFmtId="0" fontId="0" fillId="0" borderId="1" xfId="0" applyBorder="1"/>
    <xf numFmtId="3" fontId="0" fillId="0" borderId="1" xfId="0" applyNumberFormat="1" applyBorder="1"/>
    <xf numFmtId="4" fontId="0" fillId="0" borderId="1" xfId="0" applyNumberFormat="1" applyBorder="1"/>
    <xf numFmtId="0" fontId="5" fillId="9" borderId="2" xfId="0" applyFont="1" applyFill="1" applyBorder="1" applyAlignment="1">
      <alignment vertical="top" wrapText="1"/>
    </xf>
    <xf numFmtId="0" fontId="0" fillId="0" borderId="1" xfId="0" applyBorder="1" applyAlignment="1">
      <alignment horizontal="left" vertical="center" wrapText="1"/>
    </xf>
    <xf numFmtId="0" fontId="0" fillId="11" borderId="1" xfId="0" applyFill="1" applyBorder="1" applyAlignment="1">
      <alignment vertical="top" wrapText="1"/>
    </xf>
    <xf numFmtId="0" fontId="0" fillId="0" borderId="1" xfId="0" applyBorder="1" applyAlignment="1">
      <alignment vertical="top" wrapText="1"/>
    </xf>
    <xf numFmtId="4" fontId="0" fillId="11" borderId="1" xfId="0" applyNumberFormat="1" applyFill="1" applyBorder="1" applyAlignment="1">
      <alignment vertical="top" wrapText="1"/>
    </xf>
    <xf numFmtId="4" fontId="0" fillId="11" borderId="1" xfId="0" applyNumberFormat="1" applyFill="1" applyBorder="1" applyAlignment="1">
      <alignment vertical="center"/>
    </xf>
    <xf numFmtId="10" fontId="0" fillId="11" borderId="1" xfId="0" applyNumberFormat="1" applyFill="1" applyBorder="1" applyAlignment="1">
      <alignment vertical="top" wrapText="1"/>
    </xf>
    <xf numFmtId="3" fontId="15" fillId="5" borderId="1" xfId="0" applyNumberFormat="1" applyFont="1" applyFill="1" applyBorder="1" applyAlignment="1">
      <alignment vertical="top" wrapText="1"/>
    </xf>
    <xf numFmtId="0" fontId="23" fillId="9" borderId="0" xfId="2" applyFont="1" applyFill="1" applyAlignment="1">
      <alignment horizontal="center" vertical="center" wrapText="1"/>
    </xf>
    <xf numFmtId="0" fontId="24" fillId="0" borderId="0" xfId="2" applyFont="1"/>
    <xf numFmtId="0" fontId="25" fillId="13" borderId="0" xfId="2" applyFont="1" applyFill="1" applyAlignment="1">
      <alignment wrapText="1"/>
    </xf>
    <xf numFmtId="0" fontId="3" fillId="0" borderId="0" xfId="0" applyFont="1"/>
    <xf numFmtId="14" fontId="3" fillId="11" borderId="1" xfId="0" applyNumberFormat="1" applyFont="1" applyFill="1" applyBorder="1"/>
    <xf numFmtId="166" fontId="24" fillId="11" borderId="1" xfId="2" applyNumberFormat="1" applyFont="1" applyFill="1" applyBorder="1"/>
    <xf numFmtId="3" fontId="24" fillId="11" borderId="1" xfId="2" applyNumberFormat="1" applyFont="1" applyFill="1" applyBorder="1"/>
    <xf numFmtId="166" fontId="24" fillId="0" borderId="0" xfId="2" applyNumberFormat="1" applyFont="1"/>
    <xf numFmtId="0" fontId="26" fillId="18" borderId="0" xfId="2" applyFont="1" applyFill="1"/>
    <xf numFmtId="166" fontId="26" fillId="18" borderId="0" xfId="2" applyNumberFormat="1" applyFont="1" applyFill="1"/>
    <xf numFmtId="0" fontId="6" fillId="18" borderId="0" xfId="0" applyFont="1" applyFill="1"/>
    <xf numFmtId="166" fontId="24" fillId="18" borderId="0" xfId="2" applyNumberFormat="1" applyFont="1" applyFill="1"/>
    <xf numFmtId="166" fontId="24" fillId="17" borderId="0" xfId="2" applyNumberFormat="1" applyFont="1" applyFill="1"/>
    <xf numFmtId="0" fontId="26" fillId="14" borderId="0" xfId="2" applyFont="1" applyFill="1" applyAlignment="1">
      <alignment wrapText="1"/>
    </xf>
    <xf numFmtId="166" fontId="26" fillId="14" borderId="0" xfId="2" applyNumberFormat="1" applyFont="1" applyFill="1" applyAlignment="1">
      <alignment wrapText="1"/>
    </xf>
    <xf numFmtId="0" fontId="24" fillId="16" borderId="1" xfId="2" applyFont="1" applyFill="1" applyBorder="1"/>
    <xf numFmtId="166" fontId="24" fillId="16" borderId="1" xfId="2" applyNumberFormat="1" applyFont="1" applyFill="1" applyBorder="1"/>
    <xf numFmtId="0" fontId="3" fillId="16" borderId="1" xfId="0" applyFont="1" applyFill="1" applyBorder="1"/>
    <xf numFmtId="167" fontId="24" fillId="16" borderId="1" xfId="2" applyNumberFormat="1" applyFont="1" applyFill="1" applyBorder="1"/>
    <xf numFmtId="3" fontId="24" fillId="16" borderId="1" xfId="2" applyNumberFormat="1" applyFont="1" applyFill="1" applyBorder="1"/>
    <xf numFmtId="166" fontId="26" fillId="0" borderId="1" xfId="2" applyNumberFormat="1" applyFont="1" applyBorder="1"/>
    <xf numFmtId="0" fontId="24" fillId="0" borderId="1" xfId="2" applyFont="1" applyBorder="1" applyAlignment="1">
      <alignment horizontal="left" indent="1"/>
    </xf>
    <xf numFmtId="0" fontId="24" fillId="17" borderId="1" xfId="2" applyFont="1" applyFill="1" applyBorder="1"/>
    <xf numFmtId="9" fontId="24" fillId="11" borderId="1" xfId="1" applyFont="1" applyFill="1" applyBorder="1"/>
    <xf numFmtId="166" fontId="24" fillId="0" borderId="1" xfId="2" applyNumberFormat="1" applyFont="1" applyBorder="1"/>
    <xf numFmtId="0" fontId="24" fillId="0" borderId="1" xfId="2" applyFont="1" applyBorder="1"/>
    <xf numFmtId="168" fontId="24" fillId="17" borderId="1" xfId="2" applyNumberFormat="1" applyFont="1" applyFill="1" applyBorder="1"/>
    <xf numFmtId="168" fontId="3" fillId="11" borderId="1" xfId="0" applyNumberFormat="1" applyFont="1" applyFill="1" applyBorder="1"/>
    <xf numFmtId="168" fontId="24" fillId="0" borderId="1" xfId="2" applyNumberFormat="1" applyFont="1" applyBorder="1"/>
    <xf numFmtId="0" fontId="24" fillId="0" borderId="3" xfId="2" applyFont="1" applyBorder="1"/>
    <xf numFmtId="0" fontId="24" fillId="17" borderId="4" xfId="2" applyFont="1" applyFill="1" applyBorder="1"/>
    <xf numFmtId="9" fontId="24" fillId="17" borderId="4" xfId="1" applyFont="1" applyFill="1" applyBorder="1"/>
    <xf numFmtId="166" fontId="26" fillId="14" borderId="1" xfId="2" applyNumberFormat="1" applyFont="1" applyFill="1" applyBorder="1" applyAlignment="1">
      <alignment wrapText="1"/>
    </xf>
    <xf numFmtId="166" fontId="26" fillId="14" borderId="1" xfId="2" applyNumberFormat="1" applyFont="1" applyFill="1" applyBorder="1" applyAlignment="1">
      <alignment horizontal="center" wrapText="1"/>
    </xf>
    <xf numFmtId="0" fontId="24" fillId="14" borderId="1" xfId="2" applyFont="1" applyFill="1" applyBorder="1" applyAlignment="1">
      <alignment wrapText="1"/>
    </xf>
    <xf numFmtId="166" fontId="24" fillId="14" borderId="1" xfId="2" applyNumberFormat="1" applyFont="1" applyFill="1" applyBorder="1" applyAlignment="1">
      <alignment wrapText="1"/>
    </xf>
    <xf numFmtId="166" fontId="24" fillId="14" borderId="1" xfId="2" applyNumberFormat="1" applyFont="1" applyFill="1" applyBorder="1" applyAlignment="1">
      <alignment vertical="center" wrapText="1"/>
    </xf>
    <xf numFmtId="0" fontId="28" fillId="0" borderId="1" xfId="0" applyFont="1" applyBorder="1" applyAlignment="1" applyProtection="1">
      <alignment horizontal="left" vertical="center" wrapText="1" readingOrder="1"/>
      <protection locked="0"/>
    </xf>
    <xf numFmtId="0" fontId="27" fillId="20" borderId="1" xfId="0" applyFont="1" applyFill="1" applyBorder="1" applyAlignment="1" applyProtection="1">
      <alignment horizontal="center" vertical="center" wrapText="1" readingOrder="1"/>
      <protection locked="0"/>
    </xf>
    <xf numFmtId="0" fontId="6" fillId="20" borderId="1" xfId="0" applyFont="1" applyFill="1" applyBorder="1" applyAlignment="1" applyProtection="1">
      <alignment horizontal="center" vertical="center" wrapText="1"/>
      <protection locked="0"/>
    </xf>
    <xf numFmtId="4" fontId="0" fillId="0" borderId="1" xfId="0" quotePrefix="1" applyNumberFormat="1" applyBorder="1" applyAlignment="1">
      <alignment vertical="center"/>
    </xf>
    <xf numFmtId="0" fontId="0" fillId="0" borderId="1" xfId="0" quotePrefix="1" applyBorder="1" applyAlignment="1">
      <alignment vertical="center"/>
    </xf>
    <xf numFmtId="10" fontId="0" fillId="0" borderId="1" xfId="0" quotePrefix="1" applyNumberFormat="1" applyBorder="1" applyAlignment="1">
      <alignment vertical="center"/>
    </xf>
    <xf numFmtId="0" fontId="0" fillId="19" borderId="1" xfId="0" applyFill="1" applyBorder="1"/>
    <xf numFmtId="10" fontId="0" fillId="0" borderId="1" xfId="0" quotePrefix="1" applyNumberFormat="1" applyBorder="1"/>
    <xf numFmtId="169" fontId="0" fillId="0" borderId="1" xfId="1" quotePrefix="1" applyNumberFormat="1" applyFont="1" applyBorder="1"/>
    <xf numFmtId="168" fontId="0" fillId="0" borderId="1" xfId="0" quotePrefix="1" applyNumberFormat="1" applyBorder="1" applyAlignment="1">
      <alignment vertical="center"/>
    </xf>
    <xf numFmtId="168" fontId="0" fillId="0" borderId="1" xfId="0" quotePrefix="1" applyNumberFormat="1" applyBorder="1"/>
    <xf numFmtId="169" fontId="0" fillId="0" borderId="1" xfId="1" quotePrefix="1" applyNumberFormat="1" applyFont="1" applyBorder="1" applyAlignment="1">
      <alignment vertical="center"/>
    </xf>
    <xf numFmtId="3" fontId="0" fillId="0" borderId="1" xfId="0" quotePrefix="1" applyNumberFormat="1" applyBorder="1" applyAlignment="1">
      <alignment vertical="center"/>
    </xf>
    <xf numFmtId="0" fontId="6" fillId="0" borderId="0" xfId="0" applyFont="1" applyAlignment="1">
      <alignment horizontal="right"/>
    </xf>
    <xf numFmtId="0" fontId="29" fillId="0" borderId="0" xfId="0" applyFont="1"/>
    <xf numFmtId="168" fontId="6" fillId="0" borderId="0" xfId="0" quotePrefix="1" applyNumberFormat="1" applyFont="1"/>
    <xf numFmtId="168" fontId="29" fillId="0" borderId="0" xfId="0" applyNumberFormat="1" applyFont="1"/>
    <xf numFmtId="168" fontId="24" fillId="11" borderId="1" xfId="2" applyNumberFormat="1" applyFont="1" applyFill="1" applyBorder="1"/>
    <xf numFmtId="168" fontId="0" fillId="11" borderId="1" xfId="0" applyNumberFormat="1" applyFill="1" applyBorder="1"/>
    <xf numFmtId="166" fontId="24" fillId="17" borderId="1" xfId="2" applyNumberFormat="1" applyFont="1" applyFill="1" applyBorder="1"/>
    <xf numFmtId="0" fontId="25" fillId="13" borderId="0" xfId="2" applyFont="1" applyFill="1" applyAlignment="1">
      <alignment horizontal="center" wrapText="1"/>
    </xf>
    <xf numFmtId="0" fontId="6" fillId="0" borderId="0" xfId="3" applyFont="1"/>
    <xf numFmtId="0" fontId="3" fillId="0" borderId="0" xfId="3"/>
    <xf numFmtId="0" fontId="30" fillId="22" borderId="8" xfId="3" applyFont="1" applyFill="1" applyBorder="1" applyAlignment="1">
      <alignment horizontal="center" vertical="center" wrapText="1" readingOrder="1"/>
    </xf>
    <xf numFmtId="0" fontId="31" fillId="0" borderId="8" xfId="3" applyFont="1" applyBorder="1" applyAlignment="1">
      <alignment horizontal="center" vertical="center" wrapText="1" readingOrder="1"/>
    </xf>
    <xf numFmtId="8" fontId="31" fillId="0" borderId="8" xfId="3" applyNumberFormat="1" applyFont="1" applyBorder="1" applyAlignment="1">
      <alignment horizontal="center" vertical="center" wrapText="1" readingOrder="1"/>
    </xf>
    <xf numFmtId="0" fontId="30" fillId="0" borderId="8" xfId="3" applyFont="1" applyBorder="1" applyAlignment="1">
      <alignment horizontal="left" vertical="center" wrapText="1" indent="1" readingOrder="1"/>
    </xf>
    <xf numFmtId="0" fontId="30" fillId="0" borderId="8" xfId="3" applyFont="1" applyBorder="1" applyAlignment="1">
      <alignment horizontal="center" vertical="center" wrapText="1" readingOrder="1"/>
    </xf>
    <xf numFmtId="8" fontId="30" fillId="0" borderId="8" xfId="3" applyNumberFormat="1" applyFont="1" applyBorder="1" applyAlignment="1">
      <alignment horizontal="center" vertical="center" wrapText="1" readingOrder="1"/>
    </xf>
    <xf numFmtId="8" fontId="3" fillId="0" borderId="9" xfId="3" applyNumberFormat="1" applyBorder="1" applyAlignment="1">
      <alignment horizontal="center"/>
    </xf>
    <xf numFmtId="0" fontId="3" fillId="0" borderId="0" xfId="3" applyAlignment="1">
      <alignment horizontal="center"/>
    </xf>
    <xf numFmtId="14" fontId="3" fillId="0" borderId="0" xfId="3" applyNumberFormat="1"/>
    <xf numFmtId="0" fontId="6" fillId="0" borderId="0" xfId="3" applyFont="1" applyAlignment="1">
      <alignment vertical="center" wrapText="1"/>
    </xf>
    <xf numFmtId="0" fontId="6" fillId="12" borderId="1" xfId="3" applyFont="1" applyFill="1" applyBorder="1" applyAlignment="1">
      <alignment horizontal="center" vertical="center"/>
    </xf>
    <xf numFmtId="0" fontId="6" fillId="12" borderId="1" xfId="3" applyFont="1" applyFill="1" applyBorder="1" applyAlignment="1">
      <alignment horizontal="center" wrapText="1"/>
    </xf>
    <xf numFmtId="14" fontId="3" fillId="0" borderId="1" xfId="3" applyNumberFormat="1" applyBorder="1" applyAlignment="1">
      <alignment horizontal="center"/>
    </xf>
    <xf numFmtId="0" fontId="34" fillId="0" borderId="0" xfId="3" applyFont="1" applyAlignment="1">
      <alignment vertical="center"/>
    </xf>
    <xf numFmtId="4" fontId="3" fillId="0" borderId="0" xfId="3" applyNumberFormat="1"/>
    <xf numFmtId="8" fontId="3" fillId="0" borderId="9" xfId="3" quotePrefix="1" applyNumberFormat="1" applyBorder="1" applyAlignment="1">
      <alignment horizontal="center"/>
    </xf>
    <xf numFmtId="14" fontId="31" fillId="11" borderId="8" xfId="3" applyNumberFormat="1" applyFont="1" applyFill="1" applyBorder="1" applyAlignment="1">
      <alignment horizontal="center" vertical="center" wrapText="1" readingOrder="1"/>
    </xf>
    <xf numFmtId="0" fontId="31" fillId="11" borderId="8" xfId="3" applyFont="1" applyFill="1" applyBorder="1" applyAlignment="1">
      <alignment horizontal="center" vertical="center" wrapText="1" readingOrder="1"/>
    </xf>
    <xf numFmtId="168" fontId="31" fillId="11" borderId="8" xfId="3" applyNumberFormat="1" applyFont="1" applyFill="1" applyBorder="1" applyAlignment="1">
      <alignment horizontal="center" vertical="center" wrapText="1" readingOrder="1"/>
    </xf>
    <xf numFmtId="14" fontId="3" fillId="11" borderId="1" xfId="3" applyNumberFormat="1" applyFill="1" applyBorder="1"/>
    <xf numFmtId="14" fontId="3" fillId="11" borderId="1" xfId="3" applyNumberFormat="1" applyFill="1" applyBorder="1" applyAlignment="1">
      <alignment vertical="center"/>
    </xf>
    <xf numFmtId="4" fontId="3" fillId="11" borderId="1" xfId="3" applyNumberFormat="1" applyFill="1" applyBorder="1"/>
    <xf numFmtId="0" fontId="35" fillId="17" borderId="10" xfId="3" applyFont="1" applyFill="1" applyBorder="1" applyAlignment="1">
      <alignment horizontal="center" vertical="center" wrapText="1"/>
    </xf>
    <xf numFmtId="0" fontId="35" fillId="17" borderId="11" xfId="3" applyFont="1" applyFill="1" applyBorder="1" applyAlignment="1">
      <alignment horizontal="center" vertical="center" wrapText="1"/>
    </xf>
    <xf numFmtId="0" fontId="36" fillId="24" borderId="1" xfId="3" applyFont="1" applyFill="1" applyBorder="1" applyAlignment="1">
      <alignment horizontal="center"/>
    </xf>
    <xf numFmtId="0" fontId="36" fillId="25" borderId="1" xfId="3" applyFont="1" applyFill="1" applyBorder="1" applyAlignment="1">
      <alignment horizontal="center"/>
    </xf>
    <xf numFmtId="0" fontId="7" fillId="0" borderId="0" xfId="3" applyFont="1"/>
    <xf numFmtId="170" fontId="35" fillId="0" borderId="1" xfId="3" applyNumberFormat="1" applyFont="1" applyBorder="1" applyAlignment="1">
      <alignment horizontal="center" vertical="center" wrapText="1"/>
    </xf>
    <xf numFmtId="0" fontId="35" fillId="0" borderId="3" xfId="3" applyFont="1" applyBorder="1" applyAlignment="1">
      <alignment vertical="center" wrapText="1"/>
    </xf>
    <xf numFmtId="0" fontId="35" fillId="26" borderId="1" xfId="3" applyFont="1" applyFill="1" applyBorder="1"/>
    <xf numFmtId="0" fontId="35" fillId="0" borderId="1" xfId="3" applyFont="1" applyBorder="1" applyAlignment="1">
      <alignment vertical="center" wrapText="1"/>
    </xf>
    <xf numFmtId="0" fontId="37" fillId="0" borderId="0" xfId="3" applyFont="1" applyAlignment="1">
      <alignment horizontal="right" vertical="center" wrapText="1" indent="1"/>
    </xf>
    <xf numFmtId="4" fontId="3" fillId="0" borderId="1" xfId="3" applyNumberFormat="1" applyBorder="1"/>
    <xf numFmtId="0" fontId="3" fillId="26" borderId="1" xfId="3" applyFill="1" applyBorder="1"/>
    <xf numFmtId="0" fontId="3" fillId="0" borderId="0" xfId="3" applyAlignment="1">
      <alignment horizontal="right" indent="1"/>
    </xf>
    <xf numFmtId="0" fontId="6" fillId="0" borderId="0" xfId="3" applyFont="1" applyAlignment="1">
      <alignment horizontal="right" indent="1"/>
    </xf>
    <xf numFmtId="4" fontId="6" fillId="0" borderId="0" xfId="3" applyNumberFormat="1" applyFont="1"/>
    <xf numFmtId="0" fontId="6" fillId="22" borderId="1" xfId="3" applyFont="1" applyFill="1" applyBorder="1" applyAlignment="1">
      <alignment horizontal="center" vertical="center" wrapText="1"/>
    </xf>
    <xf numFmtId="0" fontId="6" fillId="0" borderId="1" xfId="3" applyFont="1" applyBorder="1" applyAlignment="1">
      <alignment horizontal="justify" vertical="center" wrapText="1"/>
    </xf>
    <xf numFmtId="0" fontId="3" fillId="0" borderId="1" xfId="3" applyBorder="1" applyAlignment="1">
      <alignment horizontal="justify" vertical="center" wrapText="1"/>
    </xf>
    <xf numFmtId="4" fontId="35" fillId="11" borderId="1" xfId="3" applyNumberFormat="1" applyFont="1" applyFill="1" applyBorder="1"/>
    <xf numFmtId="0" fontId="3" fillId="11" borderId="1" xfId="3" applyFill="1" applyBorder="1"/>
    <xf numFmtId="0" fontId="3" fillId="0" borderId="1" xfId="3" applyBorder="1"/>
    <xf numFmtId="4" fontId="35" fillId="0" borderId="1" xfId="3" applyNumberFormat="1" applyFont="1" applyBorder="1"/>
    <xf numFmtId="0" fontId="39" fillId="28" borderId="0" xfId="3" applyFont="1" applyFill="1"/>
    <xf numFmtId="0" fontId="40" fillId="28" borderId="0" xfId="3" applyFont="1" applyFill="1"/>
    <xf numFmtId="0" fontId="42" fillId="28" borderId="0" xfId="4" applyFont="1" applyFill="1"/>
    <xf numFmtId="0" fontId="3" fillId="0" borderId="1" xfId="3" applyBorder="1" applyAlignment="1">
      <alignment shrinkToFit="1"/>
    </xf>
    <xf numFmtId="0" fontId="3" fillId="0" borderId="0" xfId="3" applyAlignment="1">
      <alignment shrinkToFit="1"/>
    </xf>
    <xf numFmtId="0" fontId="40" fillId="25" borderId="1" xfId="3" applyFont="1" applyFill="1" applyBorder="1" applyAlignment="1">
      <alignment horizontal="center" vertical="center" shrinkToFit="1"/>
    </xf>
    <xf numFmtId="0" fontId="3" fillId="0" borderId="1" xfId="3" quotePrefix="1" applyBorder="1" applyAlignment="1">
      <alignment shrinkToFit="1"/>
    </xf>
    <xf numFmtId="0" fontId="43" fillId="0" borderId="0" xfId="4" applyFont="1"/>
    <xf numFmtId="0" fontId="3" fillId="0" borderId="1" xfId="3" applyBorder="1" applyAlignment="1">
      <alignment wrapText="1"/>
    </xf>
    <xf numFmtId="0" fontId="43" fillId="0" borderId="0" xfId="3" applyFont="1"/>
    <xf numFmtId="0" fontId="44" fillId="0" borderId="0" xfId="3" applyFont="1"/>
    <xf numFmtId="0" fontId="45" fillId="0" borderId="0" xfId="3" applyFont="1"/>
    <xf numFmtId="0" fontId="46" fillId="0" borderId="0" xfId="4" applyFont="1"/>
    <xf numFmtId="0" fontId="3" fillId="0" borderId="1" xfId="3" applyBorder="1" applyAlignment="1">
      <alignment horizontal="justify" vertical="center"/>
    </xf>
    <xf numFmtId="0" fontId="3" fillId="0" borderId="14" xfId="3" applyBorder="1"/>
    <xf numFmtId="0" fontId="6" fillId="27" borderId="1" xfId="3" applyFont="1" applyFill="1" applyBorder="1" applyAlignment="1">
      <alignment horizontal="center"/>
    </xf>
    <xf numFmtId="0" fontId="6" fillId="0" borderId="1" xfId="3" applyFont="1" applyBorder="1" applyAlignment="1">
      <alignment horizontal="left"/>
    </xf>
    <xf numFmtId="0" fontId="3" fillId="0" borderId="1" xfId="3" applyBorder="1" applyAlignment="1">
      <alignment horizontal="right"/>
    </xf>
    <xf numFmtId="0" fontId="3" fillId="0" borderId="15" xfId="3" applyBorder="1" applyAlignment="1">
      <alignment horizontal="center"/>
    </xf>
    <xf numFmtId="14" fontId="3" fillId="23" borderId="1" xfId="3" applyNumberFormat="1" applyFill="1" applyBorder="1" applyAlignment="1">
      <alignment horizontal="center"/>
    </xf>
    <xf numFmtId="0" fontId="3" fillId="0" borderId="1" xfId="3" applyBorder="1" applyAlignment="1">
      <alignment horizontal="center"/>
    </xf>
    <xf numFmtId="0" fontId="3" fillId="0" borderId="16" xfId="3" applyBorder="1"/>
    <xf numFmtId="0" fontId="3" fillId="0" borderId="9" xfId="3" applyBorder="1" applyAlignment="1">
      <alignment horizontal="center"/>
    </xf>
    <xf numFmtId="0" fontId="3" fillId="0" borderId="17" xfId="3" applyBorder="1" applyAlignment="1">
      <alignment horizontal="center"/>
    </xf>
    <xf numFmtId="0" fontId="3" fillId="0" borderId="12" xfId="3" applyBorder="1" applyAlignment="1">
      <alignment horizontal="justify" wrapText="1"/>
    </xf>
    <xf numFmtId="0" fontId="3" fillId="0" borderId="18" xfId="3" applyBorder="1" applyAlignment="1">
      <alignment horizontal="justify"/>
    </xf>
    <xf numFmtId="0" fontId="3" fillId="0" borderId="13" xfId="3" applyBorder="1" applyAlignment="1">
      <alignment horizontal="justify"/>
    </xf>
    <xf numFmtId="0" fontId="3" fillId="0" borderId="14" xfId="3" applyBorder="1" applyAlignment="1">
      <alignment horizontal="justify" wrapText="1"/>
    </xf>
    <xf numFmtId="0" fontId="48" fillId="17" borderId="19" xfId="3" applyFont="1" applyFill="1" applyBorder="1" applyAlignment="1">
      <alignment horizontal="center" vertical="center" wrapText="1"/>
    </xf>
    <xf numFmtId="0" fontId="48" fillId="17" borderId="1" xfId="3" applyFont="1" applyFill="1" applyBorder="1" applyAlignment="1">
      <alignment horizontal="center" vertical="center" wrapText="1"/>
    </xf>
    <xf numFmtId="0" fontId="3" fillId="0" borderId="15" xfId="3" applyBorder="1"/>
    <xf numFmtId="170" fontId="48" fillId="0" borderId="3" xfId="3" applyNumberFormat="1" applyFont="1" applyBorder="1" applyAlignment="1">
      <alignment horizontal="center" vertical="center" wrapText="1"/>
    </xf>
    <xf numFmtId="0" fontId="3" fillId="0" borderId="15" xfId="3" applyBorder="1" applyAlignment="1">
      <alignment horizontal="justify"/>
    </xf>
    <xf numFmtId="170" fontId="48" fillId="0" borderId="14" xfId="3" applyNumberFormat="1" applyFont="1" applyBorder="1" applyAlignment="1">
      <alignment horizontal="center" vertical="center" wrapText="1"/>
    </xf>
    <xf numFmtId="170" fontId="48" fillId="0" borderId="16" xfId="3" applyNumberFormat="1" applyFont="1" applyBorder="1" applyAlignment="1">
      <alignment horizontal="center" vertical="center" wrapText="1"/>
    </xf>
    <xf numFmtId="0" fontId="48" fillId="0" borderId="12" xfId="3" applyFont="1" applyBorder="1" applyAlignment="1">
      <alignment horizontal="center" vertical="center" wrapText="1"/>
    </xf>
    <xf numFmtId="0" fontId="3" fillId="0" borderId="12" xfId="3" applyBorder="1" applyAlignment="1">
      <alignment horizontal="center"/>
    </xf>
    <xf numFmtId="0" fontId="3" fillId="0" borderId="18" xfId="3" applyBorder="1"/>
    <xf numFmtId="0" fontId="3" fillId="0" borderId="18" xfId="3" applyBorder="1" applyAlignment="1">
      <alignment horizontal="center"/>
    </xf>
    <xf numFmtId="0" fontId="3" fillId="0" borderId="13" xfId="3" applyBorder="1" applyAlignment="1">
      <alignment horizontal="center"/>
    </xf>
    <xf numFmtId="0" fontId="3" fillId="0" borderId="14" xfId="3" applyBorder="1" applyAlignment="1">
      <alignment horizontal="center"/>
    </xf>
    <xf numFmtId="170" fontId="48" fillId="0" borderId="1" xfId="3" applyNumberFormat="1" applyFont="1" applyBorder="1" applyAlignment="1">
      <alignment horizontal="center" vertical="center" wrapText="1"/>
    </xf>
    <xf numFmtId="0" fontId="48" fillId="0" borderId="1" xfId="3" applyFont="1" applyBorder="1" applyAlignment="1">
      <alignment vertical="center" wrapText="1"/>
    </xf>
    <xf numFmtId="170" fontId="48" fillId="0" borderId="21" xfId="3" applyNumberFormat="1" applyFont="1" applyBorder="1" applyAlignment="1">
      <alignment horizontal="center" vertical="center" wrapText="1"/>
    </xf>
    <xf numFmtId="0" fontId="48" fillId="0" borderId="21" xfId="3" applyFont="1" applyBorder="1" applyAlignment="1">
      <alignment vertical="center" wrapText="1"/>
    </xf>
    <xf numFmtId="0" fontId="3" fillId="0" borderId="16" xfId="3" applyBorder="1" applyAlignment="1">
      <alignment horizontal="center"/>
    </xf>
    <xf numFmtId="0" fontId="3" fillId="0" borderId="0" xfId="3" applyAlignment="1">
      <alignment horizontal="justify" vertical="center" wrapText="1"/>
    </xf>
    <xf numFmtId="0" fontId="3" fillId="0" borderId="0" xfId="3" applyAlignment="1">
      <alignment horizontal="justify" vertical="center"/>
    </xf>
    <xf numFmtId="170" fontId="48" fillId="0" borderId="0" xfId="3" applyNumberFormat="1" applyFont="1" applyAlignment="1">
      <alignment horizontal="center" vertical="center" wrapText="1"/>
    </xf>
    <xf numFmtId="0" fontId="48" fillId="0" borderId="0" xfId="3" applyFont="1" applyAlignment="1">
      <alignment horizontal="left" vertical="center" wrapText="1"/>
    </xf>
    <xf numFmtId="0" fontId="3" fillId="0" borderId="0" xfId="3" applyAlignment="1">
      <alignment horizontal="center" vertical="center"/>
    </xf>
    <xf numFmtId="0" fontId="3" fillId="0" borderId="12" xfId="3" applyBorder="1"/>
    <xf numFmtId="0" fontId="3" fillId="0" borderId="13" xfId="3" applyBorder="1"/>
    <xf numFmtId="0" fontId="50" fillId="17" borderId="23" xfId="5" applyFont="1" applyFill="1" applyBorder="1" applyAlignment="1">
      <alignment horizontal="center" vertical="center" wrapText="1"/>
    </xf>
    <xf numFmtId="0" fontId="48" fillId="17" borderId="23" xfId="3" applyFont="1" applyFill="1" applyBorder="1" applyAlignment="1">
      <alignment horizontal="center" vertical="center" wrapText="1"/>
    </xf>
    <xf numFmtId="170" fontId="48" fillId="0" borderId="1" xfId="3" quotePrefix="1" applyNumberFormat="1" applyFont="1" applyBorder="1" applyAlignment="1">
      <alignment horizontal="center" vertical="center" wrapText="1"/>
    </xf>
    <xf numFmtId="0" fontId="3" fillId="0" borderId="1" xfId="3" applyBorder="1" applyAlignment="1">
      <alignment horizontal="justify"/>
    </xf>
    <xf numFmtId="0" fontId="8" fillId="9" borderId="0" xfId="3" applyFont="1" applyFill="1" applyAlignment="1">
      <alignment horizontal="center" vertical="center" wrapText="1"/>
    </xf>
    <xf numFmtId="0" fontId="3" fillId="0" borderId="1" xfId="3" applyBorder="1" applyAlignment="1">
      <alignment vertical="top" wrapText="1"/>
    </xf>
    <xf numFmtId="0" fontId="8" fillId="9" borderId="1" xfId="3" applyFont="1" applyFill="1" applyBorder="1" applyAlignment="1">
      <alignment wrapText="1"/>
    </xf>
    <xf numFmtId="0" fontId="8" fillId="9" borderId="0" xfId="3" applyFont="1" applyFill="1"/>
    <xf numFmtId="0" fontId="0" fillId="11" borderId="1" xfId="0" applyFill="1" applyBorder="1" applyAlignment="1">
      <alignment vertical="center" wrapText="1"/>
    </xf>
    <xf numFmtId="4" fontId="15" fillId="0" borderId="0" xfId="0" applyNumberFormat="1" applyFont="1" applyAlignment="1">
      <alignment vertical="top" wrapText="1"/>
    </xf>
    <xf numFmtId="0" fontId="16" fillId="0" borderId="0" xfId="0" applyFont="1" applyAlignment="1">
      <alignment vertical="top" wrapText="1"/>
    </xf>
    <xf numFmtId="0" fontId="6" fillId="22" borderId="1" xfId="3" applyFont="1" applyFill="1" applyBorder="1"/>
    <xf numFmtId="0" fontId="51" fillId="32" borderId="25" xfId="3" applyFont="1" applyFill="1" applyBorder="1" applyAlignment="1">
      <alignment horizontal="center" vertical="center" wrapText="1"/>
    </xf>
    <xf numFmtId="0" fontId="51" fillId="32" borderId="26" xfId="3" applyFont="1" applyFill="1" applyBorder="1" applyAlignment="1">
      <alignment horizontal="center" vertical="center" wrapText="1"/>
    </xf>
    <xf numFmtId="0" fontId="52" fillId="0" borderId="25" xfId="3" applyFont="1" applyBorder="1" applyAlignment="1">
      <alignment horizontal="center" vertical="center" wrapText="1"/>
    </xf>
    <xf numFmtId="0" fontId="52" fillId="0" borderId="26" xfId="3" applyFont="1" applyBorder="1" applyAlignment="1">
      <alignment horizontal="center" vertical="center" wrapText="1"/>
    </xf>
    <xf numFmtId="0" fontId="52" fillId="0" borderId="28" xfId="3" applyFont="1" applyBorder="1" applyAlignment="1">
      <alignment horizontal="center" vertical="center" wrapText="1"/>
    </xf>
    <xf numFmtId="0" fontId="52" fillId="0" borderId="27" xfId="3" applyFont="1" applyBorder="1" applyAlignment="1">
      <alignment horizontal="center" vertical="center" wrapText="1"/>
    </xf>
    <xf numFmtId="0" fontId="3" fillId="23" borderId="1" xfId="3" applyFill="1" applyBorder="1"/>
    <xf numFmtId="0" fontId="6" fillId="22" borderId="1" xfId="3" applyFont="1" applyFill="1" applyBorder="1" applyAlignment="1">
      <alignment horizontal="center"/>
    </xf>
    <xf numFmtId="0" fontId="6" fillId="12" borderId="1" xfId="3" applyFont="1" applyFill="1" applyBorder="1" applyAlignment="1">
      <alignment horizontal="center"/>
    </xf>
    <xf numFmtId="0" fontId="2" fillId="0" borderId="0" xfId="3" applyFont="1"/>
    <xf numFmtId="0" fontId="6" fillId="33" borderId="1" xfId="3" applyFont="1" applyFill="1" applyBorder="1"/>
    <xf numFmtId="0" fontId="54" fillId="0" borderId="0" xfId="3" applyFont="1"/>
    <xf numFmtId="0" fontId="48" fillId="0" borderId="0" xfId="7" applyFont="1"/>
    <xf numFmtId="0" fontId="32" fillId="13" borderId="1" xfId="7" applyFont="1" applyFill="1" applyBorder="1" applyAlignment="1">
      <alignment horizontal="center" vertical="center" wrapText="1"/>
    </xf>
    <xf numFmtId="0" fontId="32" fillId="13" borderId="11" xfId="7" applyFont="1" applyFill="1" applyBorder="1" applyAlignment="1">
      <alignment horizontal="center" vertical="center" wrapText="1"/>
    </xf>
    <xf numFmtId="171" fontId="48" fillId="0" borderId="1" xfId="7" applyNumberFormat="1" applyFont="1" applyBorder="1" applyAlignment="1">
      <alignment horizontal="center" vertical="center" wrapText="1"/>
    </xf>
    <xf numFmtId="0" fontId="48" fillId="0" borderId="1" xfId="7" applyFont="1" applyBorder="1" applyAlignment="1">
      <alignment vertical="center" wrapText="1"/>
    </xf>
    <xf numFmtId="49" fontId="48" fillId="0" borderId="1" xfId="7" applyNumberFormat="1" applyFont="1" applyBorder="1" applyAlignment="1">
      <alignment vertical="center" wrapText="1"/>
    </xf>
    <xf numFmtId="0" fontId="55" fillId="0" borderId="1" xfId="7" applyBorder="1" applyAlignment="1">
      <alignment vertical="center" wrapText="1"/>
    </xf>
    <xf numFmtId="171" fontId="55" fillId="0" borderId="1" xfId="7" applyNumberFormat="1" applyBorder="1" applyAlignment="1">
      <alignment vertical="center" wrapText="1"/>
    </xf>
    <xf numFmtId="171" fontId="48" fillId="0" borderId="1" xfId="7" applyNumberFormat="1" applyFont="1" applyBorder="1" applyAlignment="1">
      <alignment vertical="center" wrapText="1"/>
    </xf>
    <xf numFmtId="171" fontId="50" fillId="0" borderId="1" xfId="7" applyNumberFormat="1" applyFont="1" applyBorder="1" applyAlignment="1">
      <alignment vertical="center" wrapText="1"/>
    </xf>
    <xf numFmtId="171" fontId="48" fillId="0" borderId="1" xfId="7" applyNumberFormat="1" applyFont="1" applyBorder="1" applyAlignment="1">
      <alignment horizontal="left" vertical="center" wrapText="1"/>
    </xf>
    <xf numFmtId="0" fontId="48" fillId="0" borderId="0" xfId="7" applyFont="1" applyAlignment="1">
      <alignment horizontal="center" vertical="center"/>
    </xf>
    <xf numFmtId="0" fontId="32" fillId="36" borderId="1" xfId="7" applyFont="1" applyFill="1" applyBorder="1" applyAlignment="1">
      <alignment horizontal="center" vertical="center" wrapText="1"/>
    </xf>
    <xf numFmtId="0" fontId="32" fillId="11" borderId="1" xfId="7" applyFont="1" applyFill="1" applyBorder="1" applyAlignment="1">
      <alignment horizontal="center" vertical="center" wrapText="1"/>
    </xf>
    <xf numFmtId="0" fontId="58" fillId="0" borderId="0" xfId="0" applyFont="1" applyAlignment="1">
      <alignment horizontal="center" vertical="center"/>
    </xf>
    <xf numFmtId="171" fontId="3" fillId="0" borderId="1" xfId="3" applyNumberFormat="1" applyBorder="1" applyAlignment="1">
      <alignment vertical="top" wrapText="1"/>
    </xf>
    <xf numFmtId="0" fontId="60" fillId="37" borderId="31" xfId="0" applyFont="1" applyFill="1" applyBorder="1"/>
    <xf numFmtId="0" fontId="60" fillId="37" borderId="32" xfId="0" applyFont="1" applyFill="1" applyBorder="1"/>
    <xf numFmtId="0" fontId="59" fillId="38" borderId="31" xfId="0" applyFont="1" applyFill="1" applyBorder="1"/>
    <xf numFmtId="0" fontId="59" fillId="0" borderId="31" xfId="0" applyFont="1" applyBorder="1"/>
    <xf numFmtId="0" fontId="59" fillId="38" borderId="29" xfId="0" applyFont="1" applyFill="1" applyBorder="1"/>
    <xf numFmtId="0" fontId="61" fillId="38" borderId="32" xfId="6" applyFont="1" applyFill="1" applyBorder="1" applyAlignment="1">
      <alignment horizontal="center"/>
    </xf>
    <xf numFmtId="0" fontId="61" fillId="0" borderId="32" xfId="6" applyFont="1" applyBorder="1" applyAlignment="1">
      <alignment horizontal="center"/>
    </xf>
    <xf numFmtId="0" fontId="61" fillId="38" borderId="30" xfId="6" applyFont="1" applyFill="1" applyBorder="1" applyAlignment="1">
      <alignment horizontal="center"/>
    </xf>
    <xf numFmtId="0" fontId="14" fillId="4" borderId="0" xfId="0" applyFont="1" applyFill="1" applyAlignment="1">
      <alignment vertical="top" wrapText="1"/>
    </xf>
    <xf numFmtId="0" fontId="0" fillId="0" borderId="0" xfId="0"/>
    <xf numFmtId="0" fontId="12" fillId="3" borderId="0" xfId="0" applyFont="1" applyFill="1" applyAlignment="1">
      <alignment vertical="top" wrapText="1"/>
    </xf>
    <xf numFmtId="0" fontId="11" fillId="2" borderId="0" xfId="0" applyFont="1" applyFill="1" applyAlignment="1">
      <alignment vertical="top" wrapText="1"/>
    </xf>
    <xf numFmtId="0" fontId="11" fillId="0" borderId="0" xfId="0" applyFont="1"/>
    <xf numFmtId="0" fontId="13" fillId="2" borderId="0" xfId="0" applyFont="1" applyFill="1" applyAlignment="1">
      <alignment vertical="top" wrapText="1"/>
    </xf>
    <xf numFmtId="0" fontId="13" fillId="0" borderId="0" xfId="0" applyFont="1"/>
    <xf numFmtId="0" fontId="3" fillId="0" borderId="1" xfId="3" applyBorder="1" applyAlignment="1">
      <alignment horizontal="justify" vertical="center" wrapText="1"/>
    </xf>
    <xf numFmtId="0" fontId="6" fillId="22" borderId="1" xfId="3" applyFont="1" applyFill="1" applyBorder="1" applyAlignment="1">
      <alignment horizontal="center" vertical="center" wrapText="1"/>
    </xf>
    <xf numFmtId="0" fontId="6" fillId="12" borderId="3" xfId="3" applyFont="1" applyFill="1" applyBorder="1" applyAlignment="1">
      <alignment horizontal="center" vertical="center" wrapText="1"/>
    </xf>
    <xf numFmtId="0" fontId="6" fillId="12" borderId="4" xfId="3" applyFont="1" applyFill="1" applyBorder="1" applyAlignment="1">
      <alignment horizontal="center" vertical="center" wrapText="1"/>
    </xf>
    <xf numFmtId="0" fontId="6" fillId="12" borderId="5" xfId="3" applyFont="1" applyFill="1" applyBorder="1" applyAlignment="1">
      <alignment horizontal="center" vertical="center" wrapText="1"/>
    </xf>
    <xf numFmtId="0" fontId="24" fillId="0" borderId="0" xfId="2" applyFont="1" applyAlignment="1">
      <alignment horizontal="left"/>
    </xf>
    <xf numFmtId="0" fontId="23" fillId="9" borderId="0" xfId="2" applyFont="1" applyFill="1" applyAlignment="1">
      <alignment horizontal="center" vertical="center" wrapText="1"/>
    </xf>
    <xf numFmtId="0" fontId="24" fillId="0" borderId="0" xfId="2" applyFont="1" applyAlignment="1">
      <alignment wrapText="1"/>
    </xf>
    <xf numFmtId="0" fontId="28" fillId="0" borderId="1" xfId="0" applyFont="1" applyBorder="1" applyAlignment="1" applyProtection="1">
      <alignment horizontal="left" vertical="center" wrapText="1" readingOrder="1"/>
      <protection locked="0"/>
    </xf>
    <xf numFmtId="0" fontId="0" fillId="21" borderId="1" xfId="0" applyFill="1" applyBorder="1" applyAlignment="1">
      <alignment horizontal="justify" vertical="center"/>
    </xf>
    <xf numFmtId="0" fontId="30" fillId="22" borderId="6" xfId="3" applyFont="1" applyFill="1" applyBorder="1" applyAlignment="1">
      <alignment horizontal="center" vertical="center" wrapText="1" readingOrder="1"/>
    </xf>
    <xf numFmtId="0" fontId="30" fillId="22" borderId="7" xfId="3" applyFont="1" applyFill="1" applyBorder="1" applyAlignment="1">
      <alignment horizontal="center" vertical="center" wrapText="1" readingOrder="1"/>
    </xf>
    <xf numFmtId="0" fontId="32" fillId="0" borderId="0" xfId="3" applyFont="1" applyAlignment="1">
      <alignment horizontal="center" vertical="center"/>
    </xf>
    <xf numFmtId="0" fontId="33" fillId="0" borderId="0" xfId="3" applyFont="1" applyAlignment="1">
      <alignment horizontal="center" vertical="center"/>
    </xf>
    <xf numFmtId="4" fontId="33" fillId="0" borderId="0" xfId="3" applyNumberFormat="1" applyFont="1" applyAlignment="1">
      <alignment horizontal="center" vertical="center"/>
    </xf>
    <xf numFmtId="0" fontId="6" fillId="30" borderId="3" xfId="3" applyFont="1" applyFill="1" applyBorder="1" applyAlignment="1">
      <alignment horizontal="left" vertical="center"/>
    </xf>
    <xf numFmtId="0" fontId="6" fillId="30" borderId="5" xfId="3" applyFont="1" applyFill="1" applyBorder="1" applyAlignment="1">
      <alignment horizontal="left" vertical="center"/>
    </xf>
    <xf numFmtId="0" fontId="3" fillId="0" borderId="3" xfId="3" applyBorder="1" applyAlignment="1">
      <alignment horizontal="justify" vertical="center" wrapText="1"/>
    </xf>
    <xf numFmtId="0" fontId="3" fillId="0" borderId="4" xfId="3" applyBorder="1" applyAlignment="1">
      <alignment horizontal="justify" vertical="center"/>
    </xf>
    <xf numFmtId="0" fontId="3" fillId="0" borderId="5" xfId="3" applyBorder="1" applyAlignment="1">
      <alignment horizontal="justify" vertical="center"/>
    </xf>
    <xf numFmtId="0" fontId="6" fillId="30" borderId="3" xfId="4" applyFont="1" applyFill="1" applyBorder="1" applyAlignment="1">
      <alignment horizontal="left" vertical="center"/>
    </xf>
    <xf numFmtId="0" fontId="6" fillId="30" borderId="5" xfId="4" applyFont="1" applyFill="1" applyBorder="1" applyAlignment="1">
      <alignment horizontal="left" vertical="center"/>
    </xf>
    <xf numFmtId="0" fontId="3" fillId="0" borderId="4" xfId="3" applyBorder="1" applyAlignment="1">
      <alignment horizontal="justify" vertical="center" wrapText="1"/>
    </xf>
    <xf numFmtId="0" fontId="3" fillId="0" borderId="3" xfId="3" applyBorder="1" applyAlignment="1">
      <alignment horizontal="justify" wrapText="1"/>
    </xf>
    <xf numFmtId="0" fontId="3" fillId="0" borderId="4" xfId="3" applyBorder="1" applyAlignment="1">
      <alignment horizontal="justify"/>
    </xf>
    <xf numFmtId="0" fontId="3" fillId="0" borderId="5" xfId="3" applyBorder="1" applyAlignment="1">
      <alignment horizontal="justify"/>
    </xf>
    <xf numFmtId="0" fontId="3" fillId="16" borderId="1" xfId="3" applyFill="1" applyBorder="1" applyAlignment="1">
      <alignment horizontal="justify" vertical="center" wrapText="1"/>
    </xf>
    <xf numFmtId="0" fontId="3" fillId="16" borderId="1" xfId="3" applyFill="1" applyBorder="1" applyAlignment="1">
      <alignment horizontal="justify" vertical="center"/>
    </xf>
    <xf numFmtId="0" fontId="6" fillId="30" borderId="1" xfId="3" applyFont="1" applyFill="1" applyBorder="1" applyAlignment="1">
      <alignment horizontal="left" vertical="center"/>
    </xf>
    <xf numFmtId="0" fontId="3" fillId="0" borderId="1" xfId="3" applyBorder="1" applyAlignment="1">
      <alignment horizontal="justify" vertical="center"/>
    </xf>
    <xf numFmtId="0" fontId="6" fillId="30" borderId="12" xfId="4" applyFont="1" applyFill="1" applyBorder="1" applyAlignment="1">
      <alignment horizontal="left" vertical="center"/>
    </xf>
    <xf numFmtId="0" fontId="6" fillId="30" borderId="13" xfId="4" applyFont="1" applyFill="1" applyBorder="1" applyAlignment="1">
      <alignment horizontal="left" vertical="center"/>
    </xf>
    <xf numFmtId="0" fontId="6" fillId="30" borderId="14" xfId="4" applyFont="1" applyFill="1" applyBorder="1" applyAlignment="1">
      <alignment horizontal="left" vertical="center"/>
    </xf>
    <xf numFmtId="0" fontId="6" fillId="30" borderId="15" xfId="4" applyFont="1" applyFill="1" applyBorder="1" applyAlignment="1">
      <alignment horizontal="left" vertical="center"/>
    </xf>
    <xf numFmtId="0" fontId="6" fillId="30" borderId="16" xfId="4" applyFont="1" applyFill="1" applyBorder="1" applyAlignment="1">
      <alignment horizontal="left" vertical="center"/>
    </xf>
    <xf numFmtId="0" fontId="6" fillId="30" borderId="17" xfId="4" applyFont="1" applyFill="1" applyBorder="1" applyAlignment="1">
      <alignment horizontal="left" vertical="center"/>
    </xf>
    <xf numFmtId="0" fontId="3" fillId="16" borderId="1" xfId="3" applyFill="1" applyBorder="1" applyAlignment="1">
      <alignment horizontal="center" vertical="center" wrapText="1"/>
    </xf>
    <xf numFmtId="0" fontId="3" fillId="0" borderId="1" xfId="3" applyBorder="1" applyAlignment="1">
      <alignment horizontal="center" vertical="center" wrapText="1"/>
    </xf>
    <xf numFmtId="0" fontId="3" fillId="0" borderId="1" xfId="3" applyBorder="1" applyAlignment="1">
      <alignment horizontal="center" vertical="center"/>
    </xf>
    <xf numFmtId="0" fontId="48" fillId="0" borderId="1" xfId="3" applyFont="1" applyBorder="1" applyAlignment="1">
      <alignment horizontal="left" vertical="center" wrapText="1"/>
    </xf>
    <xf numFmtId="0" fontId="3" fillId="0" borderId="1" xfId="3" applyBorder="1" applyAlignment="1">
      <alignment horizontal="left"/>
    </xf>
    <xf numFmtId="0" fontId="6" fillId="30" borderId="1" xfId="4" applyFont="1" applyFill="1" applyBorder="1" applyAlignment="1">
      <alignment horizontal="left" vertical="center"/>
    </xf>
    <xf numFmtId="0" fontId="48" fillId="17" borderId="1" xfId="3" applyFont="1" applyFill="1" applyBorder="1" applyAlignment="1">
      <alignment horizontal="center" vertical="center" wrapText="1"/>
    </xf>
    <xf numFmtId="170" fontId="48" fillId="16" borderId="1" xfId="3" applyNumberFormat="1" applyFont="1" applyFill="1" applyBorder="1" applyAlignment="1">
      <alignment horizontal="justify" vertical="center" wrapText="1"/>
    </xf>
    <xf numFmtId="0" fontId="48" fillId="0" borderId="21" xfId="3" applyFont="1" applyBorder="1" applyAlignment="1">
      <alignment horizontal="left" vertical="center" wrapText="1"/>
    </xf>
    <xf numFmtId="0" fontId="48" fillId="0" borderId="22" xfId="3" applyFont="1" applyBorder="1" applyAlignment="1">
      <alignment horizontal="left" vertical="center" wrapText="1"/>
    </xf>
    <xf numFmtId="0" fontId="3" fillId="0" borderId="5" xfId="3" applyBorder="1" applyAlignment="1">
      <alignment horizontal="justify" vertical="center" wrapText="1"/>
    </xf>
    <xf numFmtId="170" fontId="48" fillId="16" borderId="3" xfId="3" applyNumberFormat="1" applyFont="1" applyFill="1" applyBorder="1" applyAlignment="1">
      <alignment horizontal="justify" vertical="center" wrapText="1"/>
    </xf>
    <xf numFmtId="170" fontId="48" fillId="16" borderId="4" xfId="3" applyNumberFormat="1" applyFont="1" applyFill="1" applyBorder="1" applyAlignment="1">
      <alignment horizontal="justify" vertical="center" wrapText="1"/>
    </xf>
    <xf numFmtId="170" fontId="48" fillId="16" borderId="5" xfId="3" applyNumberFormat="1" applyFont="1" applyFill="1" applyBorder="1" applyAlignment="1">
      <alignment horizontal="justify" vertical="center" wrapText="1"/>
    </xf>
    <xf numFmtId="0" fontId="48" fillId="0" borderId="20" xfId="3" applyFont="1" applyBorder="1" applyAlignment="1">
      <alignment horizontal="left" vertical="center" wrapText="1"/>
    </xf>
    <xf numFmtId="0" fontId="6" fillId="30" borderId="12" xfId="3" applyFont="1" applyFill="1" applyBorder="1" applyAlignment="1">
      <alignment horizontal="left" vertical="center"/>
    </xf>
    <xf numFmtId="0" fontId="6" fillId="30" borderId="13" xfId="3" applyFont="1" applyFill="1" applyBorder="1" applyAlignment="1">
      <alignment horizontal="left" vertical="center"/>
    </xf>
    <xf numFmtId="0" fontId="6" fillId="30" borderId="14" xfId="3" applyFont="1" applyFill="1" applyBorder="1" applyAlignment="1">
      <alignment horizontal="left" vertical="center"/>
    </xf>
    <xf numFmtId="0" fontId="6" fillId="30" borderId="15" xfId="3" applyFont="1" applyFill="1" applyBorder="1" applyAlignment="1">
      <alignment horizontal="left" vertical="center"/>
    </xf>
    <xf numFmtId="0" fontId="6" fillId="30" borderId="16" xfId="3" applyFont="1" applyFill="1" applyBorder="1" applyAlignment="1">
      <alignment horizontal="left" vertical="center"/>
    </xf>
    <xf numFmtId="0" fontId="6" fillId="30" borderId="17" xfId="3" applyFont="1" applyFill="1" applyBorder="1" applyAlignment="1">
      <alignment horizontal="left" vertical="center"/>
    </xf>
    <xf numFmtId="0" fontId="3" fillId="0" borderId="1" xfId="3" applyBorder="1" applyAlignment="1">
      <alignment horizontal="justify" wrapText="1"/>
    </xf>
    <xf numFmtId="0" fontId="3" fillId="0" borderId="1" xfId="3" applyBorder="1" applyAlignment="1">
      <alignment horizontal="justify"/>
    </xf>
    <xf numFmtId="0" fontId="40" fillId="28" borderId="0" xfId="3" applyFont="1" applyFill="1" applyAlignment="1">
      <alignment horizontal="center"/>
    </xf>
    <xf numFmtId="0" fontId="40" fillId="29" borderId="0" xfId="3" applyFont="1" applyFill="1" applyAlignment="1">
      <alignment horizontal="center"/>
    </xf>
    <xf numFmtId="0" fontId="57" fillId="35" borderId="1" xfId="7" applyFont="1" applyFill="1" applyBorder="1" applyAlignment="1">
      <alignment horizontal="center" vertical="center" wrapText="1"/>
    </xf>
    <xf numFmtId="0" fontId="57" fillId="29" borderId="1" xfId="7" applyFont="1" applyFill="1" applyBorder="1" applyAlignment="1">
      <alignment horizontal="center" vertical="center" wrapText="1"/>
    </xf>
    <xf numFmtId="0" fontId="56" fillId="14" borderId="0" xfId="7" applyFont="1" applyFill="1" applyAlignment="1">
      <alignment wrapText="1"/>
    </xf>
    <xf numFmtId="0" fontId="48" fillId="0" borderId="0" xfId="7" applyFont="1"/>
    <xf numFmtId="0" fontId="54" fillId="0" borderId="0" xfId="3" applyFont="1" applyAlignment="1">
      <alignment horizontal="right"/>
    </xf>
    <xf numFmtId="0" fontId="6" fillId="34" borderId="1" xfId="3" applyFont="1" applyFill="1" applyBorder="1" applyAlignment="1">
      <alignment horizontal="center"/>
    </xf>
    <xf numFmtId="0" fontId="2" fillId="16" borderId="1" xfId="3" applyFont="1" applyFill="1" applyBorder="1" applyAlignment="1">
      <alignment horizontal="justify" vertical="center" wrapText="1"/>
    </xf>
    <xf numFmtId="0" fontId="2" fillId="16" borderId="1" xfId="3" applyFont="1" applyFill="1" applyBorder="1" applyAlignment="1">
      <alignment horizontal="justify" wrapText="1"/>
    </xf>
    <xf numFmtId="0" fontId="3" fillId="16" borderId="1" xfId="3" applyFill="1" applyBorder="1" applyAlignment="1">
      <alignment horizontal="justify"/>
    </xf>
    <xf numFmtId="0" fontId="2" fillId="16" borderId="18" xfId="3" applyFont="1" applyFill="1" applyBorder="1" applyAlignment="1">
      <alignment horizontal="justify" vertical="center" wrapText="1"/>
    </xf>
    <xf numFmtId="0" fontId="3" fillId="16" borderId="18" xfId="3" applyFill="1" applyBorder="1" applyAlignment="1">
      <alignment horizontal="justify" vertical="center"/>
    </xf>
    <xf numFmtId="0" fontId="3" fillId="31" borderId="24" xfId="3" applyFill="1" applyBorder="1" applyAlignment="1">
      <alignment horizontal="center"/>
    </xf>
    <xf numFmtId="0" fontId="3" fillId="31" borderId="27" xfId="3" applyFill="1" applyBorder="1" applyAlignment="1">
      <alignment horizontal="center"/>
    </xf>
    <xf numFmtId="0" fontId="3" fillId="31" borderId="18" xfId="3" applyFill="1" applyBorder="1" applyAlignment="1">
      <alignment horizontal="center"/>
    </xf>
    <xf numFmtId="0" fontId="3" fillId="31" borderId="0" xfId="3" applyFill="1" applyAlignment="1">
      <alignment horizontal="center"/>
    </xf>
    <xf numFmtId="0" fontId="6" fillId="33" borderId="1" xfId="3" applyFont="1" applyFill="1" applyBorder="1" applyAlignment="1">
      <alignment horizontal="right"/>
    </xf>
    <xf numFmtId="0" fontId="20" fillId="6" borderId="0" xfId="0" applyFont="1" applyFill="1" applyAlignment="1">
      <alignment vertical="top" wrapText="1"/>
    </xf>
    <xf numFmtId="0" fontId="9" fillId="0" borderId="0" xfId="0" applyFont="1"/>
    <xf numFmtId="0" fontId="21" fillId="7" borderId="0" xfId="0" applyFont="1" applyFill="1" applyAlignment="1">
      <alignment horizontal="center" vertical="top" wrapText="1"/>
    </xf>
    <xf numFmtId="0" fontId="0" fillId="23" borderId="0" xfId="0" applyFill="1" applyProtection="1">
      <protection locked="0"/>
    </xf>
  </cellXfs>
  <cellStyles count="8">
    <cellStyle name="Hipervínculo" xfId="6" builtinId="8"/>
    <cellStyle name="Hipervínculo 2" xfId="4" xr:uid="{0CC91296-DF05-47C9-B6FF-557B8B5AECEC}"/>
    <cellStyle name="Normal" xfId="0" builtinId="0"/>
    <cellStyle name="Normal 2" xfId="2" xr:uid="{A8A24FD1-40F4-4D6A-A1EC-A5F367800939}"/>
    <cellStyle name="Normal 2 2" xfId="5" xr:uid="{C2695308-ED06-4B9E-A40B-891252B17881}"/>
    <cellStyle name="Normal 3" xfId="3" xr:uid="{5AC055D7-5B5E-4F7B-8150-C8C64EC8071B}"/>
    <cellStyle name="Normal 4" xfId="7" xr:uid="{D30865DB-EEAB-4DBB-B666-85A0BE2970C6}"/>
    <cellStyle name="Porcentaje" xfId="1" builtinId="5"/>
  </cellStyles>
  <dxfs count="21">
    <dxf>
      <fill>
        <patternFill>
          <bgColor theme="6" tint="0.79998168889431442"/>
        </patternFill>
      </fill>
    </dxf>
    <dxf>
      <fill>
        <patternFill>
          <bgColor theme="9" tint="0.79998168889431442"/>
        </patternFill>
      </fill>
      <border>
        <left style="thin">
          <color auto="1"/>
        </left>
        <right style="thin">
          <color auto="1"/>
        </right>
        <top style="thin">
          <color auto="1"/>
        </top>
        <bottom style="thin">
          <color auto="1"/>
        </bottom>
        <vertical/>
        <horizontal/>
      </border>
    </dxf>
    <dxf>
      <font>
        <b/>
        <i/>
        <color rgb="FFC0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b/>
        <i/>
        <color rgb="FF9C0006"/>
      </font>
      <fill>
        <patternFill>
          <bgColor rgb="FFFFC7CE"/>
        </patternFill>
      </fill>
    </dxf>
    <dxf>
      <font>
        <b/>
        <i val="0"/>
        <color rgb="FF006100"/>
      </font>
      <fill>
        <patternFill>
          <bgColor rgb="FFC6EFCE"/>
        </patternFill>
      </fill>
    </dxf>
    <dxf>
      <font>
        <b/>
        <i/>
        <color rgb="FF9C0006"/>
      </font>
      <fill>
        <patternFill>
          <bgColor rgb="FFFFC7CE"/>
        </patternFill>
      </fill>
    </dxf>
    <dxf>
      <font>
        <b/>
        <i val="0"/>
        <color rgb="FF006100"/>
      </font>
      <fill>
        <patternFill>
          <bgColor rgb="FFC6EFCE"/>
        </patternFill>
      </fill>
    </dxf>
    <dxf>
      <font>
        <b/>
        <i/>
        <color rgb="FF9C0006"/>
      </font>
      <fill>
        <patternFill>
          <bgColor rgb="FFFFC7CE"/>
        </patternFill>
      </fill>
    </dxf>
    <dxf>
      <font>
        <b/>
        <i val="0"/>
        <color rgb="FF006100"/>
      </font>
      <fill>
        <patternFill>
          <bgColor rgb="FFC6EFCE"/>
        </patternFill>
      </fill>
    </dxf>
    <dxf>
      <font>
        <b/>
        <i/>
        <color rgb="FF9C0006"/>
      </font>
      <fill>
        <patternFill>
          <bgColor rgb="FFFFC7CE"/>
        </patternFill>
      </fill>
    </dxf>
    <dxf>
      <font>
        <b/>
        <i val="0"/>
        <color rgb="FF006100"/>
      </font>
      <fill>
        <patternFill>
          <bgColor rgb="FFC6EFCE"/>
        </patternFill>
      </fill>
    </dxf>
    <dxf>
      <font>
        <b/>
        <i/>
        <color rgb="FF9C0006"/>
      </font>
      <fill>
        <patternFill>
          <bgColor rgb="FFFFC7CE"/>
        </patternFill>
      </fill>
    </dxf>
    <dxf>
      <font>
        <b/>
        <i val="0"/>
        <color rgb="FF006100"/>
      </font>
      <fill>
        <patternFill>
          <bgColor rgb="FFC6EFCE"/>
        </patternFill>
      </fill>
    </dxf>
    <dxf>
      <font>
        <b/>
        <i/>
        <color rgb="FF9C0006"/>
      </font>
      <fill>
        <patternFill>
          <bgColor rgb="FFFFC7CE"/>
        </patternFill>
      </fill>
    </dxf>
    <dxf>
      <font>
        <b/>
        <i val="0"/>
        <color rgb="FF006100"/>
      </font>
      <fill>
        <patternFill>
          <bgColor rgb="FFC6EF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FF2CC"/>
      <rgbColor rgb="FFEAF4F4"/>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F2F2F2"/>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1F4E78"/>
      <rgbColor rgb="FF333333"/>
      <rgbColor rgb="00003366"/>
      <rgbColor rgb="00339966"/>
      <rgbColor rgb="00003300"/>
      <rgbColor rgb="00333300"/>
      <rgbColor rgb="00993300"/>
      <rgbColor rgb="00993366"/>
      <rgbColor rgb="00333399"/>
      <rgbColor rgb="00333333"/>
    </indexedColors>
    <mruColors>
      <color rgb="FFFFFFCC"/>
      <color rgb="FFCCFF99"/>
      <color rgb="FFCCFF33"/>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https://www.youtube.com/channel/UC18-Anl1PO58-DHC2ryUXmg" TargetMode="External"/><Relationship Id="rId7" Type="http://schemas.openxmlformats.org/officeDocument/2006/relationships/hyperlink" Target="https://www.facebook.com/AsesoriaCFMSC" TargetMode="External"/><Relationship Id="rId2" Type="http://schemas.openxmlformats.org/officeDocument/2006/relationships/image" Target="../media/image2.png"/><Relationship Id="rId1" Type="http://schemas.openxmlformats.org/officeDocument/2006/relationships/image" Target="../media/image1.jpg"/><Relationship Id="rId6" Type="http://schemas.openxmlformats.org/officeDocument/2006/relationships/image" Target="../media/image4.png"/><Relationship Id="rId5" Type="http://schemas.openxmlformats.org/officeDocument/2006/relationships/hyperlink" Target="https://www.instagram.com/asesoriacfm/" TargetMode="External"/><Relationship Id="rId10" Type="http://schemas.openxmlformats.org/officeDocument/2006/relationships/image" Target="../media/image7.png"/><Relationship Id="rId4" Type="http://schemas.openxmlformats.org/officeDocument/2006/relationships/image" Target="../media/image3.png"/><Relationship Id="rId9" Type="http://schemas.openxmlformats.org/officeDocument/2006/relationships/image" Target="../media/image6.png"/></Relationships>
</file>

<file path=xl/drawings/_rels/drawing10.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hyperlink" Target="#MENU!C7"/></Relationships>
</file>

<file path=xl/drawings/_rels/drawing11.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hyperlink" Target="#MENU!C7"/></Relationships>
</file>

<file path=xl/drawings/_rels/drawing12.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hyperlink" Target="#MENU!C7"/></Relationships>
</file>

<file path=xl/drawings/_rels/drawing13.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hyperlink" Target="#MENU!C7"/></Relationships>
</file>

<file path=xl/drawings/_rels/drawing14.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hyperlink" Target="#MENU!C7"/></Relationships>
</file>

<file path=xl/drawings/_rels/drawing15.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hyperlink" Target="#MENU!C7"/></Relationships>
</file>

<file path=xl/drawings/_rels/drawing16.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hyperlink" Target="#MENU!C7"/></Relationships>
</file>

<file path=xl/drawings/_rels/drawing17.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hyperlink" Target="#MENU!C7"/></Relationships>
</file>

<file path=xl/drawings/_rels/drawing18.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hyperlink" Target="#MENU!C7"/></Relationships>
</file>

<file path=xl/drawings/_rels/drawing19.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hyperlink" Target="#MENU!C7"/></Relationships>
</file>

<file path=xl/drawings/_rels/drawing3.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hyperlink" Target="#MENU!C7"/></Relationships>
</file>

<file path=xl/drawings/_rels/drawing4.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hyperlink" Target="#MENU!C7"/></Relationships>
</file>

<file path=xl/drawings/_rels/drawing5.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hyperlink" Target="#MENU!C7"/></Relationships>
</file>

<file path=xl/drawings/_rels/drawing6.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hyperlink" Target="#MENU!C7"/></Relationships>
</file>

<file path=xl/drawings/_rels/drawing7.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hyperlink" Target="#MENU!C7"/></Relationships>
</file>

<file path=xl/drawings/_rels/drawing8.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hyperlink" Target="#MENU!C7"/></Relationships>
</file>

<file path=xl/drawings/_rels/drawing9.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hyperlink" Target="#MENU!C7"/></Relationships>
</file>

<file path=xl/drawings/drawing1.xml><?xml version="1.0" encoding="utf-8"?>
<xdr:wsDr xmlns:xdr="http://schemas.openxmlformats.org/drawingml/2006/spreadsheetDrawing" xmlns:a="http://schemas.openxmlformats.org/drawingml/2006/main">
  <xdr:twoCellAnchor editAs="oneCell">
    <xdr:from>
      <xdr:col>0</xdr:col>
      <xdr:colOff>285749</xdr:colOff>
      <xdr:row>2</xdr:row>
      <xdr:rowOff>72485</xdr:rowOff>
    </xdr:from>
    <xdr:to>
      <xdr:col>13</xdr:col>
      <xdr:colOff>19049</xdr:colOff>
      <xdr:row>23</xdr:row>
      <xdr:rowOff>57149</xdr:rowOff>
    </xdr:to>
    <xdr:pic>
      <xdr:nvPicPr>
        <xdr:cNvPr id="15" name="Imagen 14">
          <a:extLst>
            <a:ext uri="{FF2B5EF4-FFF2-40B4-BE49-F238E27FC236}">
              <a16:creationId xmlns:a16="http://schemas.microsoft.com/office/drawing/2014/main" id="{48F11549-59D7-44D7-35BE-3788A362977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9" y="453485"/>
          <a:ext cx="9477375" cy="5328189"/>
        </a:xfrm>
        <a:prstGeom prst="rect">
          <a:avLst/>
        </a:prstGeom>
      </xdr:spPr>
    </xdr:pic>
    <xdr:clientData/>
  </xdr:twoCellAnchor>
  <xdr:twoCellAnchor editAs="oneCell">
    <xdr:from>
      <xdr:col>0</xdr:col>
      <xdr:colOff>276225</xdr:colOff>
      <xdr:row>2</xdr:row>
      <xdr:rowOff>104775</xdr:rowOff>
    </xdr:from>
    <xdr:to>
      <xdr:col>2</xdr:col>
      <xdr:colOff>173790</xdr:colOff>
      <xdr:row>7</xdr:row>
      <xdr:rowOff>9525</xdr:rowOff>
    </xdr:to>
    <xdr:pic>
      <xdr:nvPicPr>
        <xdr:cNvPr id="5" name="Imagen 4">
          <a:extLst>
            <a:ext uri="{FF2B5EF4-FFF2-40B4-BE49-F238E27FC236}">
              <a16:creationId xmlns:a16="http://schemas.microsoft.com/office/drawing/2014/main" id="{40EE83D6-75A5-5B0E-96F0-BAB04CF094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6225" y="485775"/>
          <a:ext cx="1059615" cy="1181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21</xdr:row>
      <xdr:rowOff>647700</xdr:rowOff>
    </xdr:from>
    <xdr:to>
      <xdr:col>1</xdr:col>
      <xdr:colOff>358485</xdr:colOff>
      <xdr:row>21</xdr:row>
      <xdr:rowOff>987136</xdr:rowOff>
    </xdr:to>
    <xdr:pic>
      <xdr:nvPicPr>
        <xdr:cNvPr id="6" name="Imagen 5" descr="youtube">
          <a:hlinkClick xmlns:r="http://schemas.openxmlformats.org/officeDocument/2006/relationships" r:id="rId3"/>
          <a:extLst>
            <a:ext uri="{FF2B5EF4-FFF2-40B4-BE49-F238E27FC236}">
              <a16:creationId xmlns:a16="http://schemas.microsoft.com/office/drawing/2014/main" id="{7AE12382-11FF-4B82-9D59-A051FA42185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81025" y="4972050"/>
          <a:ext cx="358485" cy="3394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538595</xdr:colOff>
      <xdr:row>21</xdr:row>
      <xdr:rowOff>658091</xdr:rowOff>
    </xdr:from>
    <xdr:to>
      <xdr:col>2</xdr:col>
      <xdr:colOff>316055</xdr:colOff>
      <xdr:row>21</xdr:row>
      <xdr:rowOff>997527</xdr:rowOff>
    </xdr:to>
    <xdr:pic>
      <xdr:nvPicPr>
        <xdr:cNvPr id="7" name="Imagen 6" descr="instagram">
          <a:hlinkClick xmlns:r="http://schemas.openxmlformats.org/officeDocument/2006/relationships" r:id="rId5"/>
          <a:extLst>
            <a:ext uri="{FF2B5EF4-FFF2-40B4-BE49-F238E27FC236}">
              <a16:creationId xmlns:a16="http://schemas.microsoft.com/office/drawing/2014/main" id="{88839F42-47AD-4D35-9C59-CF69C9FA4CC5}"/>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19620" y="4982441"/>
          <a:ext cx="358485" cy="3394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406111</xdr:colOff>
      <xdr:row>21</xdr:row>
      <xdr:rowOff>670214</xdr:rowOff>
    </xdr:from>
    <xdr:to>
      <xdr:col>3</xdr:col>
      <xdr:colOff>183571</xdr:colOff>
      <xdr:row>21</xdr:row>
      <xdr:rowOff>1009650</xdr:rowOff>
    </xdr:to>
    <xdr:pic>
      <xdr:nvPicPr>
        <xdr:cNvPr id="8" name="Imagen 7" descr="facebook">
          <a:hlinkClick xmlns:r="http://schemas.openxmlformats.org/officeDocument/2006/relationships" r:id="rId7"/>
          <a:extLst>
            <a:ext uri="{FF2B5EF4-FFF2-40B4-BE49-F238E27FC236}">
              <a16:creationId xmlns:a16="http://schemas.microsoft.com/office/drawing/2014/main" id="{365A7FD8-0A9E-432C-9A58-D63D0E48D1F7}"/>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568161" y="4994564"/>
          <a:ext cx="358485" cy="3394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809625</xdr:colOff>
      <xdr:row>3</xdr:row>
      <xdr:rowOff>38100</xdr:rowOff>
    </xdr:from>
    <xdr:to>
      <xdr:col>12</xdr:col>
      <xdr:colOff>561975</xdr:colOff>
      <xdr:row>6</xdr:row>
      <xdr:rowOff>38966</xdr:rowOff>
    </xdr:to>
    <xdr:grpSp>
      <xdr:nvGrpSpPr>
        <xdr:cNvPr id="9" name="Grupo 8">
          <a:extLst>
            <a:ext uri="{FF2B5EF4-FFF2-40B4-BE49-F238E27FC236}">
              <a16:creationId xmlns:a16="http://schemas.microsoft.com/office/drawing/2014/main" id="{08BD218B-943C-4209-BF2A-5739B83B52CE}"/>
            </a:ext>
          </a:extLst>
        </xdr:cNvPr>
        <xdr:cNvGrpSpPr/>
      </xdr:nvGrpSpPr>
      <xdr:grpSpPr>
        <a:xfrm>
          <a:off x="7829550" y="609600"/>
          <a:ext cx="1895475" cy="896216"/>
          <a:chOff x="171450" y="4714875"/>
          <a:chExt cx="1895475" cy="904875"/>
        </a:xfrm>
      </xdr:grpSpPr>
      <xdr:sp macro="" textlink="">
        <xdr:nvSpPr>
          <xdr:cNvPr id="10" name="CuadroTexto 9">
            <a:extLst>
              <a:ext uri="{FF2B5EF4-FFF2-40B4-BE49-F238E27FC236}">
                <a16:creationId xmlns:a16="http://schemas.microsoft.com/office/drawing/2014/main" id="{2C555EE3-4593-8DF5-6CD2-BCCC2CA55798}"/>
              </a:ext>
            </a:extLst>
          </xdr:cNvPr>
          <xdr:cNvSpPr txBox="1"/>
        </xdr:nvSpPr>
        <xdr:spPr>
          <a:xfrm>
            <a:off x="495301" y="4714875"/>
            <a:ext cx="15621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b="1">
                <a:solidFill>
                  <a:schemeClr val="tx1"/>
                </a:solidFill>
              </a:rPr>
              <a:t>asesoria@acfmsc.com</a:t>
            </a:r>
          </a:p>
        </xdr:txBody>
      </xdr:sp>
      <xdr:sp macro="" textlink="">
        <xdr:nvSpPr>
          <xdr:cNvPr id="11" name="CuadroTexto 10">
            <a:extLst>
              <a:ext uri="{FF2B5EF4-FFF2-40B4-BE49-F238E27FC236}">
                <a16:creationId xmlns:a16="http://schemas.microsoft.com/office/drawing/2014/main" id="{A6CE0F5C-E2CE-0A12-79D5-D9149D1530CE}"/>
              </a:ext>
            </a:extLst>
          </xdr:cNvPr>
          <xdr:cNvSpPr txBox="1"/>
        </xdr:nvSpPr>
        <xdr:spPr>
          <a:xfrm>
            <a:off x="504825" y="5010150"/>
            <a:ext cx="15621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b="1">
                <a:solidFill>
                  <a:schemeClr val="tx1"/>
                </a:solidFill>
              </a:rPr>
              <a:t>www.acfmsc.com</a:t>
            </a:r>
          </a:p>
        </xdr:txBody>
      </xdr:sp>
      <xdr:sp macro="" textlink="">
        <xdr:nvSpPr>
          <xdr:cNvPr id="12" name="CuadroTexto 11">
            <a:extLst>
              <a:ext uri="{FF2B5EF4-FFF2-40B4-BE49-F238E27FC236}">
                <a16:creationId xmlns:a16="http://schemas.microsoft.com/office/drawing/2014/main" id="{9ACA064D-48CD-2DAA-CE24-15A21D05E7E6}"/>
              </a:ext>
            </a:extLst>
          </xdr:cNvPr>
          <xdr:cNvSpPr txBox="1"/>
        </xdr:nvSpPr>
        <xdr:spPr>
          <a:xfrm>
            <a:off x="504825" y="5324475"/>
            <a:ext cx="15621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b="1">
                <a:solidFill>
                  <a:schemeClr val="tx1"/>
                </a:solidFill>
              </a:rPr>
              <a:t>55-19-91-31-20</a:t>
            </a:r>
          </a:p>
        </xdr:txBody>
      </xdr:sp>
      <xdr:pic>
        <xdr:nvPicPr>
          <xdr:cNvPr id="13" name="Imagen 12">
            <a:extLst>
              <a:ext uri="{FF2B5EF4-FFF2-40B4-BE49-F238E27FC236}">
                <a16:creationId xmlns:a16="http://schemas.microsoft.com/office/drawing/2014/main" id="{5BD6AD8F-772E-792B-EB5C-262E91735D18}"/>
              </a:ext>
            </a:extLst>
          </xdr:cNvPr>
          <xdr:cNvPicPr>
            <a:picLocks noChangeAspect="1"/>
          </xdr:cNvPicPr>
        </xdr:nvPicPr>
        <xdr:blipFill>
          <a:blip xmlns:r="http://schemas.openxmlformats.org/officeDocument/2006/relationships" r:embed="rId9">
            <a:duotone>
              <a:prstClr val="black"/>
              <a:schemeClr val="accent2">
                <a:tint val="45000"/>
                <a:satMod val="400000"/>
              </a:schemeClr>
            </a:duotone>
            <a:extLst>
              <a:ext uri="{28A0092B-C50C-407E-A947-70E740481C1C}">
                <a14:useLocalDpi xmlns:a14="http://schemas.microsoft.com/office/drawing/2010/main" val="0"/>
              </a:ext>
            </a:extLst>
          </a:blip>
          <a:stretch>
            <a:fillRect/>
          </a:stretch>
        </xdr:blipFill>
        <xdr:spPr>
          <a:xfrm>
            <a:off x="171450" y="4733926"/>
            <a:ext cx="293568" cy="819151"/>
          </a:xfrm>
          <a:prstGeom prst="rect">
            <a:avLst/>
          </a:prstGeom>
        </xdr:spPr>
      </xdr:pic>
    </xdr:grpSp>
    <xdr:clientData/>
  </xdr:twoCellAnchor>
  <xdr:twoCellAnchor editAs="oneCell">
    <xdr:from>
      <xdr:col>0</xdr:col>
      <xdr:colOff>0</xdr:colOff>
      <xdr:row>2</xdr:row>
      <xdr:rowOff>57150</xdr:rowOff>
    </xdr:from>
    <xdr:to>
      <xdr:col>13</xdr:col>
      <xdr:colOff>123825</xdr:colOff>
      <xdr:row>32</xdr:row>
      <xdr:rowOff>38101</xdr:rowOff>
    </xdr:to>
    <xdr:pic>
      <xdr:nvPicPr>
        <xdr:cNvPr id="3" name="Imagen 2">
          <a:extLst>
            <a:ext uri="{FF2B5EF4-FFF2-40B4-BE49-F238E27FC236}">
              <a16:creationId xmlns:a16="http://schemas.microsoft.com/office/drawing/2014/main" id="{A6284C8A-D164-C92E-705A-5660DB7E2BEE}"/>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438150"/>
          <a:ext cx="9867900" cy="7038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1257300</xdr:colOff>
      <xdr:row>21</xdr:row>
      <xdr:rowOff>952500</xdr:rowOff>
    </xdr:from>
    <xdr:to>
      <xdr:col>13</xdr:col>
      <xdr:colOff>123825</xdr:colOff>
      <xdr:row>22</xdr:row>
      <xdr:rowOff>142875</xdr:rowOff>
    </xdr:to>
    <xdr:sp macro="" textlink="">
      <xdr:nvSpPr>
        <xdr:cNvPr id="16" name="CuadroTexto 15">
          <a:extLst>
            <a:ext uri="{FF2B5EF4-FFF2-40B4-BE49-F238E27FC236}">
              <a16:creationId xmlns:a16="http://schemas.microsoft.com/office/drawing/2014/main" id="{56FD7CEF-2679-CDCE-6990-D516B0250651}"/>
            </a:ext>
          </a:extLst>
        </xdr:cNvPr>
        <xdr:cNvSpPr txBox="1"/>
      </xdr:nvSpPr>
      <xdr:spPr>
        <a:xfrm>
          <a:off x="5905500" y="5276850"/>
          <a:ext cx="3962400"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b="1"/>
            <a:t>Elaborado por: C.P. Claudia Mendoza M. / C.P. Alberto Monroy S.</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666750</xdr:colOff>
      <xdr:row>0</xdr:row>
      <xdr:rowOff>95250</xdr:rowOff>
    </xdr:from>
    <xdr:to>
      <xdr:col>3</xdr:col>
      <xdr:colOff>1581150</xdr:colOff>
      <xdr:row>2</xdr:row>
      <xdr:rowOff>123825</xdr:rowOff>
    </xdr:to>
    <xdr:pic>
      <xdr:nvPicPr>
        <xdr:cNvPr id="2" name="Imagen 1">
          <a:hlinkClick xmlns:r="http://schemas.openxmlformats.org/officeDocument/2006/relationships" r:id="rId1"/>
          <a:extLst>
            <a:ext uri="{FF2B5EF4-FFF2-40B4-BE49-F238E27FC236}">
              <a16:creationId xmlns:a16="http://schemas.microsoft.com/office/drawing/2014/main" id="{62144A26-1E93-47FB-A76B-276D56BFCBA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290705" y="95250"/>
          <a:ext cx="914400" cy="4095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60614</xdr:colOff>
      <xdr:row>0</xdr:row>
      <xdr:rowOff>155864</xdr:rowOff>
    </xdr:from>
    <xdr:to>
      <xdr:col>4</xdr:col>
      <xdr:colOff>31173</xdr:colOff>
      <xdr:row>2</xdr:row>
      <xdr:rowOff>184439</xdr:rowOff>
    </xdr:to>
    <xdr:pic>
      <xdr:nvPicPr>
        <xdr:cNvPr id="2" name="Imagen 1">
          <a:hlinkClick xmlns:r="http://schemas.openxmlformats.org/officeDocument/2006/relationships" r:id="rId1"/>
          <a:extLst>
            <a:ext uri="{FF2B5EF4-FFF2-40B4-BE49-F238E27FC236}">
              <a16:creationId xmlns:a16="http://schemas.microsoft.com/office/drawing/2014/main" id="{8E61D013-FBCB-46B6-84EF-0EC006535C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983432" y="155864"/>
          <a:ext cx="914400" cy="4095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277090</xdr:colOff>
      <xdr:row>0</xdr:row>
      <xdr:rowOff>60613</xdr:rowOff>
    </xdr:from>
    <xdr:to>
      <xdr:col>3</xdr:col>
      <xdr:colOff>1191490</xdr:colOff>
      <xdr:row>1</xdr:row>
      <xdr:rowOff>279688</xdr:rowOff>
    </xdr:to>
    <xdr:pic>
      <xdr:nvPicPr>
        <xdr:cNvPr id="2" name="Imagen 1">
          <a:hlinkClick xmlns:r="http://schemas.openxmlformats.org/officeDocument/2006/relationships" r:id="rId1"/>
          <a:extLst>
            <a:ext uri="{FF2B5EF4-FFF2-40B4-BE49-F238E27FC236}">
              <a16:creationId xmlns:a16="http://schemas.microsoft.com/office/drawing/2014/main" id="{1A734D7B-C369-4683-9614-F0F89FC5616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433454" y="60613"/>
          <a:ext cx="914400" cy="4095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247650</xdr:colOff>
      <xdr:row>0</xdr:row>
      <xdr:rowOff>85725</xdr:rowOff>
    </xdr:from>
    <xdr:to>
      <xdr:col>5</xdr:col>
      <xdr:colOff>1162050</xdr:colOff>
      <xdr:row>2</xdr:row>
      <xdr:rowOff>114300</xdr:rowOff>
    </xdr:to>
    <xdr:pic>
      <xdr:nvPicPr>
        <xdr:cNvPr id="2" name="Imagen 1">
          <a:hlinkClick xmlns:r="http://schemas.openxmlformats.org/officeDocument/2006/relationships" r:id="rId1"/>
          <a:extLst>
            <a:ext uri="{FF2B5EF4-FFF2-40B4-BE49-F238E27FC236}">
              <a16:creationId xmlns:a16="http://schemas.microsoft.com/office/drawing/2014/main" id="{A66715BB-2B5B-4CF6-942D-26D4D1C0388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791200" y="85725"/>
          <a:ext cx="914400" cy="4095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722312</xdr:colOff>
      <xdr:row>0</xdr:row>
      <xdr:rowOff>87312</xdr:rowOff>
    </xdr:from>
    <xdr:to>
      <xdr:col>4</xdr:col>
      <xdr:colOff>1636712</xdr:colOff>
      <xdr:row>0</xdr:row>
      <xdr:rowOff>496887</xdr:rowOff>
    </xdr:to>
    <xdr:pic>
      <xdr:nvPicPr>
        <xdr:cNvPr id="2" name="Imagen 1">
          <a:hlinkClick xmlns:r="http://schemas.openxmlformats.org/officeDocument/2006/relationships" r:id="rId1"/>
          <a:extLst>
            <a:ext uri="{FF2B5EF4-FFF2-40B4-BE49-F238E27FC236}">
              <a16:creationId xmlns:a16="http://schemas.microsoft.com/office/drawing/2014/main" id="{19D72F5C-BF7D-42AC-99D0-1A9D00C8721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560887" y="87312"/>
          <a:ext cx="914400" cy="4095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3</xdr:col>
      <xdr:colOff>1504950</xdr:colOff>
      <xdr:row>0</xdr:row>
      <xdr:rowOff>85725</xdr:rowOff>
    </xdr:from>
    <xdr:to>
      <xdr:col>3</xdr:col>
      <xdr:colOff>2419350</xdr:colOff>
      <xdr:row>1</xdr:row>
      <xdr:rowOff>304800</xdr:rowOff>
    </xdr:to>
    <xdr:pic>
      <xdr:nvPicPr>
        <xdr:cNvPr id="2" name="Imagen 1">
          <a:hlinkClick xmlns:r="http://schemas.openxmlformats.org/officeDocument/2006/relationships" r:id="rId1"/>
          <a:extLst>
            <a:ext uri="{FF2B5EF4-FFF2-40B4-BE49-F238E27FC236}">
              <a16:creationId xmlns:a16="http://schemas.microsoft.com/office/drawing/2014/main" id="{5ACD88D0-1D8D-4A34-A8C6-B601DA077D7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715000" y="85725"/>
          <a:ext cx="914400" cy="40957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3</xdr:col>
      <xdr:colOff>1066800</xdr:colOff>
      <xdr:row>0</xdr:row>
      <xdr:rowOff>47625</xdr:rowOff>
    </xdr:from>
    <xdr:to>
      <xdr:col>3</xdr:col>
      <xdr:colOff>1981200</xdr:colOff>
      <xdr:row>1</xdr:row>
      <xdr:rowOff>266700</xdr:rowOff>
    </xdr:to>
    <xdr:pic>
      <xdr:nvPicPr>
        <xdr:cNvPr id="2" name="Imagen 1">
          <a:hlinkClick xmlns:r="http://schemas.openxmlformats.org/officeDocument/2006/relationships" r:id="rId1"/>
          <a:extLst>
            <a:ext uri="{FF2B5EF4-FFF2-40B4-BE49-F238E27FC236}">
              <a16:creationId xmlns:a16="http://schemas.microsoft.com/office/drawing/2014/main" id="{EDCFE9B1-4227-4205-B101-EFEA7F25E30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476875" y="47625"/>
          <a:ext cx="914400" cy="40957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4</xdr:col>
      <xdr:colOff>523875</xdr:colOff>
      <xdr:row>0</xdr:row>
      <xdr:rowOff>85725</xdr:rowOff>
    </xdr:from>
    <xdr:to>
      <xdr:col>4</xdr:col>
      <xdr:colOff>1438275</xdr:colOff>
      <xdr:row>2</xdr:row>
      <xdr:rowOff>114300</xdr:rowOff>
    </xdr:to>
    <xdr:pic>
      <xdr:nvPicPr>
        <xdr:cNvPr id="2" name="Imagen 1">
          <a:hlinkClick xmlns:r="http://schemas.openxmlformats.org/officeDocument/2006/relationships" r:id="rId1"/>
          <a:extLst>
            <a:ext uri="{FF2B5EF4-FFF2-40B4-BE49-F238E27FC236}">
              <a16:creationId xmlns:a16="http://schemas.microsoft.com/office/drawing/2014/main" id="{B6B10941-0E42-4BD8-BBFD-FC0FD05A17D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19875" y="85725"/>
          <a:ext cx="914400" cy="40957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4</xdr:col>
      <xdr:colOff>277813</xdr:colOff>
      <xdr:row>0</xdr:row>
      <xdr:rowOff>95250</xdr:rowOff>
    </xdr:from>
    <xdr:to>
      <xdr:col>5</xdr:col>
      <xdr:colOff>430213</xdr:colOff>
      <xdr:row>1</xdr:row>
      <xdr:rowOff>314325</xdr:rowOff>
    </xdr:to>
    <xdr:pic>
      <xdr:nvPicPr>
        <xdr:cNvPr id="2" name="Imagen 1">
          <a:hlinkClick xmlns:r="http://schemas.openxmlformats.org/officeDocument/2006/relationships" r:id="rId1"/>
          <a:extLst>
            <a:ext uri="{FF2B5EF4-FFF2-40B4-BE49-F238E27FC236}">
              <a16:creationId xmlns:a16="http://schemas.microsoft.com/office/drawing/2014/main" id="{A3DDDB69-3912-4FF8-ADC0-D61A897C968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310313" y="95250"/>
          <a:ext cx="914400" cy="40957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8</xdr:col>
      <xdr:colOff>333375</xdr:colOff>
      <xdr:row>0</xdr:row>
      <xdr:rowOff>161925</xdr:rowOff>
    </xdr:from>
    <xdr:to>
      <xdr:col>8</xdr:col>
      <xdr:colOff>1247775</xdr:colOff>
      <xdr:row>3</xdr:row>
      <xdr:rowOff>0</xdr:rowOff>
    </xdr:to>
    <xdr:pic>
      <xdr:nvPicPr>
        <xdr:cNvPr id="2" name="Imagen 1">
          <a:hlinkClick xmlns:r="http://schemas.openxmlformats.org/officeDocument/2006/relationships" r:id="rId1"/>
          <a:extLst>
            <a:ext uri="{FF2B5EF4-FFF2-40B4-BE49-F238E27FC236}">
              <a16:creationId xmlns:a16="http://schemas.microsoft.com/office/drawing/2014/main" id="{046E1213-39E3-4AC0-BE51-03BD44FB7BF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743825" y="161925"/>
          <a:ext cx="914400" cy="409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3401630</xdr:colOff>
      <xdr:row>0</xdr:row>
      <xdr:rowOff>0</xdr:rowOff>
    </xdr:from>
    <xdr:ext cx="2035943" cy="937629"/>
    <xdr:sp macro="" textlink="">
      <xdr:nvSpPr>
        <xdr:cNvPr id="2" name="Rectángulo 1">
          <a:extLst>
            <a:ext uri="{FF2B5EF4-FFF2-40B4-BE49-F238E27FC236}">
              <a16:creationId xmlns:a16="http://schemas.microsoft.com/office/drawing/2014/main" id="{68198B5A-94DB-02FA-DAFC-391DB0C6354E}"/>
            </a:ext>
          </a:extLst>
        </xdr:cNvPr>
        <xdr:cNvSpPr/>
      </xdr:nvSpPr>
      <xdr:spPr>
        <a:xfrm>
          <a:off x="4249355" y="0"/>
          <a:ext cx="2035943" cy="937629"/>
        </a:xfrm>
        <a:prstGeom prst="rect">
          <a:avLst/>
        </a:prstGeom>
        <a:noFill/>
      </xdr:spPr>
      <xdr:txBody>
        <a:bodyPr wrap="none" lIns="91440" tIns="45720" rIns="91440" bIns="45720">
          <a:spAutoFit/>
          <a:scene3d>
            <a:camera prst="orthographicFront"/>
            <a:lightRig rig="harsh" dir="t"/>
          </a:scene3d>
          <a:sp3d extrusionH="57150" prstMaterial="matte">
            <a:bevelT w="63500" h="12700" prst="angle"/>
            <a:contourClr>
              <a:schemeClr val="bg1">
                <a:lumMod val="65000"/>
              </a:schemeClr>
            </a:contourClr>
          </a:sp3d>
        </a:bodyPr>
        <a:lstStyle/>
        <a:p>
          <a:pPr algn="ctr"/>
          <a:r>
            <a:rPr lang="es-ES" sz="5400" b="1" cap="none" spc="0">
              <a:ln/>
              <a:solidFill>
                <a:schemeClr val="accent3"/>
              </a:solidFill>
              <a:effectLst/>
            </a:rPr>
            <a:t>MENÚ</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3</xdr:col>
      <xdr:colOff>3133725</xdr:colOff>
      <xdr:row>0</xdr:row>
      <xdr:rowOff>104775</xdr:rowOff>
    </xdr:from>
    <xdr:to>
      <xdr:col>3</xdr:col>
      <xdr:colOff>4048125</xdr:colOff>
      <xdr:row>1</xdr:row>
      <xdr:rowOff>323850</xdr:rowOff>
    </xdr:to>
    <xdr:pic>
      <xdr:nvPicPr>
        <xdr:cNvPr id="2" name="Imagen 1">
          <a:hlinkClick xmlns:r="http://schemas.openxmlformats.org/officeDocument/2006/relationships" r:id="rId1"/>
          <a:extLst>
            <a:ext uri="{FF2B5EF4-FFF2-40B4-BE49-F238E27FC236}">
              <a16:creationId xmlns:a16="http://schemas.microsoft.com/office/drawing/2014/main" id="{C9D6FE16-77D1-4E74-B60F-8B01F3898E6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772400" y="104775"/>
          <a:ext cx="914400" cy="4095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390525</xdr:colOff>
      <xdr:row>0</xdr:row>
      <xdr:rowOff>95250</xdr:rowOff>
    </xdr:from>
    <xdr:to>
      <xdr:col>3</xdr:col>
      <xdr:colOff>1304925</xdr:colOff>
      <xdr:row>2</xdr:row>
      <xdr:rowOff>123825</xdr:rowOff>
    </xdr:to>
    <xdr:pic>
      <xdr:nvPicPr>
        <xdr:cNvPr id="2" name="Imagen 1">
          <a:hlinkClick xmlns:r="http://schemas.openxmlformats.org/officeDocument/2006/relationships" r:id="rId1"/>
          <a:extLst>
            <a:ext uri="{FF2B5EF4-FFF2-40B4-BE49-F238E27FC236}">
              <a16:creationId xmlns:a16="http://schemas.microsoft.com/office/drawing/2014/main" id="{976EB8EE-A7BB-477E-A100-B4F0FFF589D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105400" y="95250"/>
          <a:ext cx="914400" cy="4095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1838325</xdr:colOff>
      <xdr:row>0</xdr:row>
      <xdr:rowOff>76200</xdr:rowOff>
    </xdr:from>
    <xdr:to>
      <xdr:col>3</xdr:col>
      <xdr:colOff>2752725</xdr:colOff>
      <xdr:row>1</xdr:row>
      <xdr:rowOff>133350</xdr:rowOff>
    </xdr:to>
    <xdr:pic>
      <xdr:nvPicPr>
        <xdr:cNvPr id="2" name="Imagen 1">
          <a:hlinkClick xmlns:r="http://schemas.openxmlformats.org/officeDocument/2006/relationships" r:id="rId1"/>
          <a:extLst>
            <a:ext uri="{FF2B5EF4-FFF2-40B4-BE49-F238E27FC236}">
              <a16:creationId xmlns:a16="http://schemas.microsoft.com/office/drawing/2014/main" id="{1586AE31-B186-4838-B155-AFB98935EFD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886450" y="76200"/>
          <a:ext cx="914400" cy="4095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1914525</xdr:colOff>
      <xdr:row>0</xdr:row>
      <xdr:rowOff>38100</xdr:rowOff>
    </xdr:from>
    <xdr:to>
      <xdr:col>3</xdr:col>
      <xdr:colOff>2828925</xdr:colOff>
      <xdr:row>1</xdr:row>
      <xdr:rowOff>142875</xdr:rowOff>
    </xdr:to>
    <xdr:pic>
      <xdr:nvPicPr>
        <xdr:cNvPr id="2" name="Imagen 1">
          <a:hlinkClick xmlns:r="http://schemas.openxmlformats.org/officeDocument/2006/relationships" r:id="rId1"/>
          <a:extLst>
            <a:ext uri="{FF2B5EF4-FFF2-40B4-BE49-F238E27FC236}">
              <a16:creationId xmlns:a16="http://schemas.microsoft.com/office/drawing/2014/main" id="{1B00546C-CC10-4F65-8B67-060F4BB84C8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962650" y="38100"/>
          <a:ext cx="914400" cy="4095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523875</xdr:colOff>
      <xdr:row>0</xdr:row>
      <xdr:rowOff>85725</xdr:rowOff>
    </xdr:from>
    <xdr:to>
      <xdr:col>3</xdr:col>
      <xdr:colOff>1438275</xdr:colOff>
      <xdr:row>1</xdr:row>
      <xdr:rowOff>304800</xdr:rowOff>
    </xdr:to>
    <xdr:pic>
      <xdr:nvPicPr>
        <xdr:cNvPr id="2" name="Imagen 1">
          <a:hlinkClick xmlns:r="http://schemas.openxmlformats.org/officeDocument/2006/relationships" r:id="rId1"/>
          <a:extLst>
            <a:ext uri="{FF2B5EF4-FFF2-40B4-BE49-F238E27FC236}">
              <a16:creationId xmlns:a16="http://schemas.microsoft.com/office/drawing/2014/main" id="{B5F5CB0D-5C28-4EB0-B7CA-DE749055083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572000" y="85725"/>
          <a:ext cx="914400" cy="4095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1019175</xdr:colOff>
      <xdr:row>0</xdr:row>
      <xdr:rowOff>76200</xdr:rowOff>
    </xdr:from>
    <xdr:to>
      <xdr:col>3</xdr:col>
      <xdr:colOff>1933575</xdr:colOff>
      <xdr:row>1</xdr:row>
      <xdr:rowOff>295275</xdr:rowOff>
    </xdr:to>
    <xdr:pic>
      <xdr:nvPicPr>
        <xdr:cNvPr id="2" name="Imagen 1">
          <a:hlinkClick xmlns:r="http://schemas.openxmlformats.org/officeDocument/2006/relationships" r:id="rId1"/>
          <a:extLst>
            <a:ext uri="{FF2B5EF4-FFF2-40B4-BE49-F238E27FC236}">
              <a16:creationId xmlns:a16="http://schemas.microsoft.com/office/drawing/2014/main" id="{3AA14E66-38C7-435B-99B7-682CE3735D8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67300" y="76200"/>
          <a:ext cx="914400" cy="4095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1076325</xdr:colOff>
      <xdr:row>0</xdr:row>
      <xdr:rowOff>76200</xdr:rowOff>
    </xdr:from>
    <xdr:to>
      <xdr:col>3</xdr:col>
      <xdr:colOff>1990725</xdr:colOff>
      <xdr:row>1</xdr:row>
      <xdr:rowOff>295275</xdr:rowOff>
    </xdr:to>
    <xdr:pic>
      <xdr:nvPicPr>
        <xdr:cNvPr id="2" name="Imagen 1">
          <a:hlinkClick xmlns:r="http://schemas.openxmlformats.org/officeDocument/2006/relationships" r:id="rId1"/>
          <a:extLst>
            <a:ext uri="{FF2B5EF4-FFF2-40B4-BE49-F238E27FC236}">
              <a16:creationId xmlns:a16="http://schemas.microsoft.com/office/drawing/2014/main" id="{01EC92CE-0193-47B0-9519-1B42790A922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124450" y="76200"/>
          <a:ext cx="914400" cy="409575"/>
        </a:xfrm>
        <a:prstGeom prst="rect">
          <a:avLst/>
        </a:prstGeom>
      </xdr:spPr>
    </xdr:pic>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4.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H2:J28"/>
  <sheetViews>
    <sheetView showGridLines="0" showRowColHeaders="0" tabSelected="1" zoomScaleNormal="100" workbookViewId="0">
      <selection activeCell="J2" sqref="J2"/>
    </sheetView>
  </sheetViews>
  <sheetFormatPr baseColWidth="10" defaultColWidth="8.7109375" defaultRowHeight="15" customHeight="1"/>
  <cols>
    <col min="9" max="9" width="35.5703125" customWidth="1"/>
    <col min="10" max="10" width="14.7109375" customWidth="1"/>
  </cols>
  <sheetData>
    <row r="2" spans="8:10" ht="15" customHeight="1">
      <c r="I2" s="244" t="s">
        <v>959</v>
      </c>
      <c r="J2" s="341"/>
    </row>
    <row r="5" spans="8:10" ht="28.35" customHeight="1"/>
    <row r="6" spans="8:10" ht="28.35" customHeight="1">
      <c r="H6" t="s">
        <v>988</v>
      </c>
    </row>
    <row r="10" spans="8:10" ht="15" customHeight="1">
      <c r="H10" t="b">
        <f>CLAVE=CLAENT</f>
        <v>0</v>
      </c>
    </row>
    <row r="22" ht="95.45" customHeight="1"/>
    <row r="24"/>
    <row r="25"/>
    <row r="26"/>
    <row r="27"/>
    <row r="28"/>
  </sheetData>
  <sheetProtection algorithmName="SHA-512" hashValue="ABjCFaDh1qrnnc56Nz5Y0T91VgXjbNXxe5UVFS1AH+rnYL6/VFmShHkwd6ExfOGvyXpPR/ALU9lkb0xQzTti1Q==" saltValue="GNxNq6Qe2UWjOjbNIIRRzQ==" spinCount="100000" sheet="1" objects="1" scenarios="1" selectLockedCells="1"/>
  <pageMargins left="0.25" right="0.25" top="0.5" bottom="0.5" header="0.511811023622047" footer="0.511811023622047"/>
  <pageSetup orientation="landscape"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9B98B-622A-495C-95D9-C67F788EF65E}">
  <sheetPr codeName="Hoja10"/>
  <dimension ref="B4:D35"/>
  <sheetViews>
    <sheetView showGridLines="0" zoomScale="110" zoomScaleNormal="110" workbookViewId="0">
      <selection activeCell="C8" sqref="C8"/>
    </sheetView>
  </sheetViews>
  <sheetFormatPr baseColWidth="10" defaultRowHeight="15"/>
  <cols>
    <col min="1" max="1" width="7.28515625" customWidth="1"/>
    <col min="2" max="2" width="44" customWidth="1"/>
    <col min="3" max="3" width="18" customWidth="1"/>
    <col min="4" max="4" width="70" customWidth="1"/>
  </cols>
  <sheetData>
    <row r="4" spans="2:4">
      <c r="B4" s="257" t="s">
        <v>219</v>
      </c>
      <c r="C4" s="258"/>
      <c r="D4" s="258"/>
    </row>
    <row r="5" spans="2:4">
      <c r="B5" s="256" t="s">
        <v>220</v>
      </c>
      <c r="C5" s="255"/>
      <c r="D5" s="255"/>
    </row>
    <row r="6" spans="2:4">
      <c r="B6" s="3"/>
      <c r="C6" s="3"/>
      <c r="D6" s="3"/>
    </row>
    <row r="7" spans="2:4" ht="30">
      <c r="B7" s="4" t="s">
        <v>16</v>
      </c>
      <c r="C7" s="4" t="s">
        <v>17</v>
      </c>
      <c r="D7" s="4" t="s">
        <v>18</v>
      </c>
    </row>
    <row r="8" spans="2:4">
      <c r="B8" s="5" t="s">
        <v>231</v>
      </c>
      <c r="C8" s="9"/>
      <c r="D8" s="3" t="s">
        <v>232</v>
      </c>
    </row>
    <row r="9" spans="2:4">
      <c r="B9" s="5" t="s">
        <v>19</v>
      </c>
      <c r="C9" s="9"/>
      <c r="D9" s="3" t="s">
        <v>20</v>
      </c>
    </row>
    <row r="10" spans="2:4" ht="15" customHeight="1">
      <c r="B10" s="28" t="s">
        <v>222</v>
      </c>
      <c r="C10" s="9"/>
      <c r="D10" s="3" t="s">
        <v>225</v>
      </c>
    </row>
    <row r="11" spans="2:4">
      <c r="B11" s="5" t="s">
        <v>223</v>
      </c>
      <c r="C11" s="9"/>
      <c r="D11" s="3" t="s">
        <v>226</v>
      </c>
    </row>
    <row r="12" spans="2:4">
      <c r="B12" s="5" t="s">
        <v>224</v>
      </c>
      <c r="C12" s="27">
        <f>IFERROR(C9+C10-C11,0)</f>
        <v>0</v>
      </c>
      <c r="D12" s="3"/>
    </row>
    <row r="13" spans="2:4">
      <c r="B13" s="5" t="s">
        <v>227</v>
      </c>
      <c r="C13" s="26"/>
      <c r="D13" s="3" t="s">
        <v>24</v>
      </c>
    </row>
    <row r="14" spans="2:4" ht="41.25" customHeight="1">
      <c r="B14" s="28" t="s">
        <v>229</v>
      </c>
      <c r="C14" s="34"/>
      <c r="D14" s="3" t="s">
        <v>230</v>
      </c>
    </row>
    <row r="16" spans="2:4">
      <c r="B16" s="5" t="s">
        <v>228</v>
      </c>
      <c r="C16" s="33">
        <f>C12</f>
        <v>0</v>
      </c>
    </row>
    <row r="17" spans="2:3">
      <c r="B17" s="5" t="s">
        <v>188</v>
      </c>
      <c r="C17" s="17" t="str">
        <f>IFERROR(VLOOKUP($C$16,IF($C$8&lt;&gt;"Febrero",IF($C$13&lt;30,TARIFAC,TARIFAM),TARIFAM),1),"")</f>
        <v/>
      </c>
    </row>
    <row r="18" spans="2:3">
      <c r="B18" s="5" t="s">
        <v>189</v>
      </c>
      <c r="C18" s="17" t="str">
        <f>IFERROR(ROUND(C16-C17,2),"")</f>
        <v/>
      </c>
    </row>
    <row r="19" spans="2:3">
      <c r="B19" s="5" t="s">
        <v>190</v>
      </c>
      <c r="C19" s="15" t="str">
        <f>IFERROR(VLOOKUP($C$16,IF($C$8&lt;&gt;"Febrero",IF($C$13&lt;30,TARIFAC,TARIFAM),TARIFAM),4),"")</f>
        <v/>
      </c>
    </row>
    <row r="20" spans="2:3">
      <c r="B20" s="5" t="s">
        <v>191</v>
      </c>
      <c r="C20" s="17" t="str">
        <f>IFERROR(ROUND(C18*C19,2),"")</f>
        <v/>
      </c>
    </row>
    <row r="21" spans="2:3">
      <c r="B21" s="5" t="s">
        <v>192</v>
      </c>
      <c r="C21" s="17" t="str">
        <f>IFERROR(VLOOKUP($C$16,IF($C$8&lt;&gt;"Febrero",IF($C$13&lt;30,TARIFAC,TARIFAM),TARIFAM),3),"")</f>
        <v/>
      </c>
    </row>
    <row r="22" spans="2:3">
      <c r="B22" s="5" t="s">
        <v>193</v>
      </c>
      <c r="C22" s="17" t="str">
        <f>IFERROR(ROUND(C20+C21,2),"")</f>
        <v/>
      </c>
    </row>
    <row r="23" spans="2:3">
      <c r="B23" s="5" t="s">
        <v>233</v>
      </c>
      <c r="C23" t="str">
        <f>IFERROR(IF(C8&lt;&gt;"Febrero",IF(C13&lt;30,IF(C22&gt;=C35,C35,C22),IF(C13&lt;28,IF(C22&gt;=C35,C35,C22),IF(C22&gt;=C32,C32,C22))),C32),"")</f>
        <v/>
      </c>
    </row>
    <row r="24" spans="2:3">
      <c r="B24" s="5" t="s">
        <v>195</v>
      </c>
      <c r="C24" t="str">
        <f>IFERROR(C22-C23,"")</f>
        <v/>
      </c>
    </row>
    <row r="27" spans="2:3">
      <c r="B27" s="19" t="s">
        <v>202</v>
      </c>
      <c r="C27" s="20" t="str">
        <f>IFERROR(IF(AND(C8&lt;&gt;"",C9&lt;&gt;"",C13&lt;&gt;""),C12+C14,""),"")</f>
        <v/>
      </c>
    </row>
    <row r="29" spans="2:3">
      <c r="B29" t="str">
        <f>IF(C27&lt;=PARAMETRO!$C$8,"Con derecho al subsidio al empleo","Sin derecho al subsidio al empleo")</f>
        <v>Sin derecho al subsidio al empleo</v>
      </c>
    </row>
    <row r="30" spans="2:3">
      <c r="B30" t="str">
        <f>IF($B$29&lt;&gt;"Sin derecho al subsidio al empleo","Valor de la uma mensual","")</f>
        <v/>
      </c>
      <c r="C30" s="17" t="str">
        <f>IFERROR(IF($B$29&lt;&gt;"Sin derecho al subsidio al empleo",PARAMETRO!$C$6,""),"")</f>
        <v/>
      </c>
    </row>
    <row r="31" spans="2:3">
      <c r="B31" t="str">
        <f>IF($B$29&lt;&gt;"Sin derecho al subsidio al empleo","(x) % de subsidio al empleo","")</f>
        <v/>
      </c>
      <c r="C31" s="15" t="str">
        <f>IFERROR(IF($B$29&lt;&gt;"Sin derecho al subsidio al empleo",PARAMETRO!$C$7,""),"")</f>
        <v/>
      </c>
    </row>
    <row r="32" spans="2:3">
      <c r="B32" t="str">
        <f>IF($B$29&lt;&gt;"Sin derecho al subsidio al empleo","(=) Subsidio al empleo mensual","")</f>
        <v/>
      </c>
      <c r="C32" t="str">
        <f>IFERROR(IF($B$21&lt;&gt;"",ROUND(C30*C31,2),""),"")</f>
        <v/>
      </c>
    </row>
    <row r="33" spans="2:3">
      <c r="B33" t="str">
        <f>IF($B$29&lt;&gt;"Sin derecho al subsidio al empleo","(/) 30.4","")</f>
        <v/>
      </c>
      <c r="C33" t="str">
        <f>IF($B$29&lt;&gt;"Sin derecho al subsidio al empleo",30.4,"")</f>
        <v/>
      </c>
    </row>
    <row r="34" spans="2:3">
      <c r="B34" t="str">
        <f>IF($B$29&lt;&gt;"Sin derecho al subsidio al empleo","(x) Días del periodo","")</f>
        <v/>
      </c>
      <c r="C34" t="str">
        <f>IFERROR(IF($B$29&lt;&gt;"Sin derecho al subsidio al empleo",IF($C$8&lt;&gt;"Febrero",IF($C$13&lt;30,C13,""),""),""),"")</f>
        <v/>
      </c>
    </row>
    <row r="35" spans="2:3">
      <c r="B35" t="str">
        <f>IF($B$29&lt;&gt;"Sin derecho al subsidio al empleo","(=) Subsidio al empleo del periodo","")</f>
        <v/>
      </c>
      <c r="C35" s="35" t="str">
        <f>IFERROR(IF($B$29&lt;&gt;"Sin derecho al subsidio al empleo",ROUND(C32/C33*C34,2),""),"")</f>
        <v/>
      </c>
    </row>
  </sheetData>
  <mergeCells count="2">
    <mergeCell ref="B4:D4"/>
    <mergeCell ref="B5:D5"/>
  </mergeCells>
  <conditionalFormatting sqref="B29">
    <cfRule type="cellIs" dxfId="10" priority="1" operator="equal">
      <formula>"Con derecho al subsidio al empleo"</formula>
    </cfRule>
    <cfRule type="cellIs" dxfId="9" priority="2" operator="equal">
      <formula>"Sin derecho al subsidio al empleo"</formula>
    </cfRule>
  </conditionalFormatting>
  <dataValidations count="2">
    <dataValidation type="list" allowBlank="1" showInputMessage="1" showErrorMessage="1" errorTitle="Parámetro" error="Solo se permiten datos de la lista" sqref="C13" xr:uid="{0DF7C0AC-D1C3-45EC-AB5D-CD25D51CA8E1}">
      <formula1>MESES</formula1>
    </dataValidation>
    <dataValidation type="custom" allowBlank="1" showInputMessage="1" showErrorMessage="1" errorTitle="Restricción de acceso" error="Debe de capturar la contraseña en la hoja de portada" sqref="C14 C9:C11" xr:uid="{D4854712-572B-4EEE-AE49-AFB9A3EC61D7}">
      <formula1>ACCESO=TRUE</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errorTitle="ISR artículo 96 LISR" error="Solo se permiten datos de la lista" xr:uid="{5F8DD0A7-BF8A-43B2-80AA-A0FB22951CEF}">
          <x14:formula1>
            <xm:f>GENERAL!$B$305:$B$316</xm:f>
          </x14:formula1>
          <xm:sqref>C8</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6AA42-C81D-4782-BE99-8B18A274F3DE}">
  <sheetPr codeName="Hoja11"/>
  <dimension ref="A3:K39"/>
  <sheetViews>
    <sheetView showGridLines="0" zoomScale="110" zoomScaleNormal="110" workbookViewId="0">
      <selection activeCell="D6" sqref="D6"/>
    </sheetView>
  </sheetViews>
  <sheetFormatPr baseColWidth="10" defaultRowHeight="15"/>
  <cols>
    <col min="1" max="1" width="11.42578125" style="108"/>
    <col min="2" max="2" width="19" style="108" customWidth="1"/>
    <col min="3" max="3" width="58.42578125" style="108" customWidth="1"/>
    <col min="4" max="4" width="14.140625" style="108" customWidth="1"/>
    <col min="5" max="5" width="14.42578125" style="108" customWidth="1"/>
    <col min="6" max="6" width="25.85546875" style="108" customWidth="1"/>
    <col min="7" max="7" width="11.42578125" style="108"/>
    <col min="8" max="8" width="38" style="108" customWidth="1"/>
    <col min="9" max="9" width="11.42578125" style="108"/>
    <col min="10" max="10" width="16.7109375" style="108" customWidth="1"/>
    <col min="11" max="16384" width="11.42578125" style="108"/>
  </cols>
  <sheetData>
    <row r="3" spans="1:11">
      <c r="B3" s="107" t="s">
        <v>318</v>
      </c>
    </row>
    <row r="4" spans="1:11" ht="15.75" thickBot="1"/>
    <row r="5" spans="1:11" ht="15.75">
      <c r="B5" s="131" t="s">
        <v>319</v>
      </c>
      <c r="C5" s="132" t="s">
        <v>320</v>
      </c>
      <c r="D5" s="133" t="s">
        <v>321</v>
      </c>
      <c r="E5" s="134" t="s">
        <v>322</v>
      </c>
    </row>
    <row r="6" spans="1:11" ht="15.75">
      <c r="A6" s="135">
        <f>IF(SUM(D7:D11)=0,1,"")</f>
        <v>1</v>
      </c>
      <c r="B6" s="136">
        <v>5</v>
      </c>
      <c r="C6" s="137" t="s">
        <v>323</v>
      </c>
      <c r="D6" s="149"/>
      <c r="E6" s="138"/>
    </row>
    <row r="7" spans="1:11" ht="15.75">
      <c r="A7" s="135">
        <f>IF(SUM(D6,D8:D11)=0,1,"")</f>
        <v>1</v>
      </c>
      <c r="B7" s="136">
        <v>6</v>
      </c>
      <c r="C7" s="137" t="s">
        <v>324</v>
      </c>
      <c r="D7" s="149"/>
      <c r="E7" s="138"/>
    </row>
    <row r="8" spans="1:11" ht="15.75">
      <c r="A8" s="135">
        <f>IF(SUM(D6:D7,D9:D11)=0,1,"")</f>
        <v>1</v>
      </c>
      <c r="B8" s="136">
        <v>7</v>
      </c>
      <c r="C8" s="137" t="s">
        <v>325</v>
      </c>
      <c r="D8" s="149"/>
      <c r="E8" s="138"/>
      <c r="F8" s="135" t="s">
        <v>326</v>
      </c>
    </row>
    <row r="9" spans="1:11" ht="15.75">
      <c r="A9" s="135">
        <f>IF(SUM(D6:D8,D10:D11)=0,1,"")</f>
        <v>1</v>
      </c>
      <c r="B9" s="136">
        <v>8</v>
      </c>
      <c r="C9" s="137" t="s">
        <v>327</v>
      </c>
      <c r="D9" s="149"/>
      <c r="E9" s="138"/>
    </row>
    <row r="10" spans="1:11" ht="15.75">
      <c r="A10" s="135">
        <f>IF(SUM(D6:D9,D11)=0,1,"")</f>
        <v>1</v>
      </c>
      <c r="B10" s="136">
        <v>9</v>
      </c>
      <c r="C10" s="137" t="s">
        <v>328</v>
      </c>
      <c r="D10" s="149"/>
      <c r="E10" s="138"/>
    </row>
    <row r="11" spans="1:11" ht="15.75">
      <c r="A11" s="135">
        <f>IF(SUM(D6:D10)=0,1,"")</f>
        <v>1</v>
      </c>
      <c r="B11" s="136">
        <v>10</v>
      </c>
      <c r="C11" s="139" t="s">
        <v>329</v>
      </c>
      <c r="D11" s="152" t="str">
        <f>IFERROR(IF(AND(G11&lt;&gt;"",I11&lt;&gt;"",K11&lt;&gt;""),ROUND((G11-I11)*K11,2),""),"")</f>
        <v/>
      </c>
      <c r="E11" s="138"/>
      <c r="F11" s="108" t="s">
        <v>395</v>
      </c>
      <c r="G11" s="150"/>
      <c r="H11" s="116" t="s">
        <v>393</v>
      </c>
      <c r="I11" s="150"/>
      <c r="J11" s="116" t="s">
        <v>394</v>
      </c>
      <c r="K11" s="150"/>
    </row>
    <row r="12" spans="1:11" ht="15.75">
      <c r="C12" s="140" t="s">
        <v>301</v>
      </c>
      <c r="D12" s="141">
        <f>IFERROR(SUMIF(A6:A11,1,D6:D11),0)</f>
        <v>0</v>
      </c>
      <c r="E12" s="142"/>
    </row>
    <row r="13" spans="1:11">
      <c r="C13" s="143" t="s">
        <v>188</v>
      </c>
      <c r="D13" s="123" t="str">
        <f>IFERROR(VLOOKUP(D12,TARIFAM,1),"")</f>
        <v/>
      </c>
    </row>
    <row r="14" spans="1:11">
      <c r="C14" s="143" t="s">
        <v>189</v>
      </c>
      <c r="D14" s="123" t="str">
        <f>IFERROR(D12-D13,"")</f>
        <v/>
      </c>
    </row>
    <row r="15" spans="1:11">
      <c r="C15" s="143" t="s">
        <v>190</v>
      </c>
      <c r="D15" s="123" t="str">
        <f>IFERROR(VLOOKUP(D12,TARIFAM,4),"")</f>
        <v/>
      </c>
    </row>
    <row r="16" spans="1:11">
      <c r="C16" s="143" t="s">
        <v>191</v>
      </c>
      <c r="D16" s="123" t="str">
        <f>IFERROR(ROUND(D14*D15,2),"")</f>
        <v/>
      </c>
    </row>
    <row r="17" spans="2:6">
      <c r="C17" s="143" t="s">
        <v>192</v>
      </c>
      <c r="D17" s="123" t="str">
        <f>IFERROR(VLOOKUP(D12,TARIFAM,3),"")</f>
        <v/>
      </c>
    </row>
    <row r="18" spans="2:6">
      <c r="C18" s="144" t="s">
        <v>330</v>
      </c>
      <c r="D18" s="123" t="str">
        <f>IFERROR(D16+D17,"")</f>
        <v/>
      </c>
    </row>
    <row r="20" spans="2:6">
      <c r="C20" s="144" t="str">
        <f>IF(AND(D8&gt;0,A8=1,G8="No"),"(=) ISR A RETENER POR SE LA CANTIDAD MAYOR","")</f>
        <v/>
      </c>
      <c r="D20" s="145" t="str">
        <f>IFERROR(IF(C20&lt;&gt;"",ROUND(D8*0.35,2),""),"")</f>
        <v/>
      </c>
    </row>
    <row r="22" spans="2:6" ht="32.25" customHeight="1">
      <c r="B22" s="146" t="s">
        <v>0</v>
      </c>
      <c r="C22" s="146" t="s">
        <v>331</v>
      </c>
      <c r="D22" s="262" t="s">
        <v>332</v>
      </c>
      <c r="E22" s="262"/>
      <c r="F22" s="146" t="s">
        <v>333</v>
      </c>
    </row>
    <row r="23" spans="2:6" ht="78" customHeight="1">
      <c r="B23" s="147" t="s">
        <v>334</v>
      </c>
      <c r="C23" s="148" t="s">
        <v>335</v>
      </c>
      <c r="D23" s="261" t="s">
        <v>336</v>
      </c>
      <c r="E23" s="261"/>
      <c r="F23" s="148" t="s">
        <v>337</v>
      </c>
    </row>
    <row r="24" spans="2:6" ht="30">
      <c r="B24" s="147" t="s">
        <v>338</v>
      </c>
      <c r="C24" s="148" t="s">
        <v>339</v>
      </c>
      <c r="D24" s="261" t="s">
        <v>340</v>
      </c>
      <c r="E24" s="261"/>
      <c r="F24" s="148" t="s">
        <v>341</v>
      </c>
    </row>
    <row r="25" spans="2:6">
      <c r="B25" s="263" t="s">
        <v>342</v>
      </c>
      <c r="C25" s="264"/>
      <c r="D25" s="264"/>
      <c r="E25" s="264"/>
      <c r="F25" s="265"/>
    </row>
    <row r="26" spans="2:6" ht="45">
      <c r="B26" s="147" t="s">
        <v>343</v>
      </c>
      <c r="C26" s="148" t="s">
        <v>344</v>
      </c>
      <c r="D26" s="261" t="s">
        <v>345</v>
      </c>
      <c r="E26" s="261"/>
      <c r="F26" s="148" t="s">
        <v>346</v>
      </c>
    </row>
    <row r="27" spans="2:6" ht="45">
      <c r="B27" s="147" t="s">
        <v>347</v>
      </c>
      <c r="C27" s="148" t="s">
        <v>348</v>
      </c>
      <c r="D27" s="261" t="s">
        <v>349</v>
      </c>
      <c r="E27" s="261"/>
      <c r="F27" s="148" t="s">
        <v>52</v>
      </c>
    </row>
    <row r="28" spans="2:6" ht="30">
      <c r="B28" s="147" t="s">
        <v>350</v>
      </c>
      <c r="C28" s="148" t="s">
        <v>351</v>
      </c>
      <c r="D28" s="261" t="s">
        <v>352</v>
      </c>
      <c r="E28" s="261"/>
      <c r="F28" s="148" t="s">
        <v>55</v>
      </c>
    </row>
    <row r="29" spans="2:6" ht="45">
      <c r="B29" s="147" t="s">
        <v>353</v>
      </c>
      <c r="C29" s="148" t="s">
        <v>354</v>
      </c>
      <c r="D29" s="261" t="s">
        <v>355</v>
      </c>
      <c r="E29" s="261"/>
      <c r="F29" s="148" t="s">
        <v>58</v>
      </c>
    </row>
    <row r="30" spans="2:6" ht="45">
      <c r="B30" s="147" t="s">
        <v>356</v>
      </c>
      <c r="C30" s="148" t="s">
        <v>357</v>
      </c>
      <c r="D30" s="261" t="s">
        <v>358</v>
      </c>
      <c r="E30" s="261"/>
      <c r="F30" s="148" t="s">
        <v>56</v>
      </c>
    </row>
    <row r="31" spans="2:6" ht="45">
      <c r="B31" s="147" t="s">
        <v>359</v>
      </c>
      <c r="C31" s="148" t="s">
        <v>360</v>
      </c>
      <c r="D31" s="261" t="s">
        <v>361</v>
      </c>
      <c r="E31" s="261"/>
      <c r="F31" s="148" t="s">
        <v>362</v>
      </c>
    </row>
    <row r="32" spans="2:6" ht="30">
      <c r="B32" s="147" t="s">
        <v>363</v>
      </c>
      <c r="C32" s="148" t="s">
        <v>364</v>
      </c>
      <c r="D32" s="261" t="s">
        <v>365</v>
      </c>
      <c r="E32" s="261"/>
      <c r="F32" s="148" t="s">
        <v>366</v>
      </c>
    </row>
    <row r="33" spans="2:6" ht="45">
      <c r="B33" s="147" t="s">
        <v>367</v>
      </c>
      <c r="C33" s="148" t="s">
        <v>368</v>
      </c>
      <c r="D33" s="261" t="s">
        <v>369</v>
      </c>
      <c r="E33" s="261"/>
      <c r="F33" s="148" t="s">
        <v>370</v>
      </c>
    </row>
    <row r="34" spans="2:6" ht="30">
      <c r="B34" s="147" t="s">
        <v>371</v>
      </c>
      <c r="C34" s="148" t="s">
        <v>372</v>
      </c>
      <c r="D34" s="261" t="s">
        <v>373</v>
      </c>
      <c r="E34" s="261"/>
      <c r="F34" s="148" t="s">
        <v>374</v>
      </c>
    </row>
    <row r="35" spans="2:6" ht="30">
      <c r="B35" s="147" t="s">
        <v>375</v>
      </c>
      <c r="C35" s="148" t="s">
        <v>376</v>
      </c>
      <c r="D35" s="261" t="s">
        <v>377</v>
      </c>
      <c r="E35" s="261"/>
      <c r="F35" s="148" t="s">
        <v>378</v>
      </c>
    </row>
    <row r="36" spans="2:6">
      <c r="B36" s="147" t="s">
        <v>379</v>
      </c>
      <c r="C36" s="148" t="s">
        <v>380</v>
      </c>
      <c r="D36" s="261" t="s">
        <v>381</v>
      </c>
      <c r="E36" s="261"/>
      <c r="F36" s="148" t="s">
        <v>374</v>
      </c>
    </row>
    <row r="37" spans="2:6" ht="30">
      <c r="B37" s="147" t="s">
        <v>382</v>
      </c>
      <c r="C37" s="148" t="s">
        <v>383</v>
      </c>
      <c r="D37" s="261" t="s">
        <v>384</v>
      </c>
      <c r="E37" s="261"/>
      <c r="F37" s="148" t="s">
        <v>374</v>
      </c>
    </row>
    <row r="38" spans="2:6" ht="45">
      <c r="B38" s="147" t="s">
        <v>385</v>
      </c>
      <c r="C38" s="148" t="s">
        <v>386</v>
      </c>
      <c r="D38" s="261" t="s">
        <v>387</v>
      </c>
      <c r="E38" s="261"/>
      <c r="F38" s="148" t="s">
        <v>388</v>
      </c>
    </row>
    <row r="39" spans="2:6" ht="30">
      <c r="B39" s="147" t="s">
        <v>389</v>
      </c>
      <c r="C39" s="148" t="s">
        <v>390</v>
      </c>
      <c r="D39" s="261" t="s">
        <v>391</v>
      </c>
      <c r="E39" s="261"/>
      <c r="F39" s="148" t="s">
        <v>392</v>
      </c>
    </row>
  </sheetData>
  <mergeCells count="18">
    <mergeCell ref="D27:E27"/>
    <mergeCell ref="D22:E22"/>
    <mergeCell ref="D23:E23"/>
    <mergeCell ref="D24:E24"/>
    <mergeCell ref="B25:F25"/>
    <mergeCell ref="D26:E26"/>
    <mergeCell ref="D39:E39"/>
    <mergeCell ref="D28:E28"/>
    <mergeCell ref="D29:E29"/>
    <mergeCell ref="D30:E30"/>
    <mergeCell ref="D31:E31"/>
    <mergeCell ref="D32:E32"/>
    <mergeCell ref="D33:E33"/>
    <mergeCell ref="D34:E34"/>
    <mergeCell ref="D35:E35"/>
    <mergeCell ref="D36:E36"/>
    <mergeCell ref="D37:E37"/>
    <mergeCell ref="D38:E38"/>
  </mergeCells>
  <conditionalFormatting sqref="D6">
    <cfRule type="expression" dxfId="8" priority="8">
      <formula>IF(SUM($D$7:$D$11)&gt;0,1,0)</formula>
    </cfRule>
  </conditionalFormatting>
  <conditionalFormatting sqref="D7">
    <cfRule type="expression" dxfId="7" priority="7">
      <formula>IF(SUM($D$6,$D$8:$D$11)&gt;0,1,0)</formula>
    </cfRule>
  </conditionalFormatting>
  <conditionalFormatting sqref="D8">
    <cfRule type="expression" dxfId="6" priority="6">
      <formula>IF(SUM($D$6:$D$7,$D$9:$D$11)&gt;0,1,0)</formula>
    </cfRule>
  </conditionalFormatting>
  <conditionalFormatting sqref="D9">
    <cfRule type="expression" dxfId="5" priority="5">
      <formula>IF(SUM($D$6:$D$8,$D$10:$D$11)&gt;0,1,0)</formula>
    </cfRule>
  </conditionalFormatting>
  <conditionalFormatting sqref="D10">
    <cfRule type="expression" dxfId="4" priority="4">
      <formula>IF(SUM($D$6:$D$9,$D$11)&gt;0,1,0)</formula>
    </cfRule>
  </conditionalFormatting>
  <conditionalFormatting sqref="D11">
    <cfRule type="expression" dxfId="3" priority="3">
      <formula>IF(SUM($D$6:$D$10)&gt;0,1,0)</formula>
    </cfRule>
  </conditionalFormatting>
  <conditionalFormatting sqref="F8">
    <cfRule type="expression" dxfId="2" priority="2">
      <formula>IF($D$8&gt;0,1,0)</formula>
    </cfRule>
  </conditionalFormatting>
  <conditionalFormatting sqref="G8">
    <cfRule type="expression" dxfId="1" priority="1">
      <formula>IF($D$8&gt;0,1,0)</formula>
    </cfRule>
  </conditionalFormatting>
  <dataValidations count="2">
    <dataValidation type="list" allowBlank="1" showInputMessage="1" showErrorMessage="1" sqref="G8" xr:uid="{4F48C144-31EB-4077-BA55-FFC0613CED28}">
      <formula1>"Sí,No"</formula1>
    </dataValidation>
    <dataValidation type="custom" allowBlank="1" showInputMessage="1" showErrorMessage="1" errorTitle="Restricción de acceso" error="Debe de capturar la contraseña en la hoja de portada" sqref="D6:D10" xr:uid="{C0EC6FA3-7CDB-4EAD-A745-A1B3F7FD97BF}">
      <formula1>ACCESO=TRUE</formula1>
    </dataValidation>
  </dataValidations>
  <pageMargins left="0.7" right="0.7" top="0.75" bottom="0.75" header="0.3" footer="0.3"/>
  <drawing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1A2DC-4332-4E1F-9992-7AB8724488D9}">
  <sheetPr codeName="Hoja12"/>
  <dimension ref="B2:K50"/>
  <sheetViews>
    <sheetView showGridLines="0" zoomScale="110" zoomScaleNormal="110" workbookViewId="0">
      <selection activeCell="C5" sqref="C5"/>
    </sheetView>
  </sheetViews>
  <sheetFormatPr baseColWidth="10" defaultColWidth="10.28515625" defaultRowHeight="15"/>
  <cols>
    <col min="1" max="1" width="7.85546875" style="50" customWidth="1"/>
    <col min="2" max="2" width="36.140625" style="50" customWidth="1"/>
    <col min="3" max="3" width="18.28515625" style="50" customWidth="1"/>
    <col min="4" max="4" width="20.5703125" style="50" customWidth="1"/>
    <col min="5" max="6" width="18.28515625" style="50" customWidth="1"/>
    <col min="7" max="7" width="28.5703125" style="50" customWidth="1"/>
    <col min="8" max="8" width="18.42578125" style="50" customWidth="1"/>
    <col min="9" max="9" width="17" style="50" customWidth="1"/>
    <col min="10" max="10" width="12" style="50" customWidth="1"/>
    <col min="11" max="11" width="12.7109375" style="50" customWidth="1"/>
    <col min="12" max="16384" width="10.28515625" style="50"/>
  </cols>
  <sheetData>
    <row r="2" spans="2:11" ht="26.25" customHeight="1"/>
    <row r="3" spans="2:11">
      <c r="B3" s="267" t="s">
        <v>234</v>
      </c>
      <c r="C3" s="268"/>
      <c r="D3" s="268"/>
      <c r="E3" s="268"/>
      <c r="F3" s="268"/>
      <c r="G3" s="268"/>
      <c r="H3" s="268"/>
    </row>
    <row r="4" spans="2:11">
      <c r="B4" s="51" t="s">
        <v>235</v>
      </c>
      <c r="C4" s="106" t="s">
        <v>236</v>
      </c>
      <c r="D4"/>
    </row>
    <row r="5" spans="2:11">
      <c r="B5" s="52" t="s">
        <v>262</v>
      </c>
      <c r="C5" s="53"/>
      <c r="D5"/>
    </row>
    <row r="6" spans="2:11">
      <c r="B6" s="52" t="s">
        <v>263</v>
      </c>
      <c r="C6" s="53"/>
      <c r="D6"/>
    </row>
    <row r="7" spans="2:11">
      <c r="B7" s="50" t="s">
        <v>237</v>
      </c>
      <c r="C7" s="54"/>
      <c r="D7"/>
    </row>
    <row r="8" spans="2:11">
      <c r="B8" s="50" t="s">
        <v>264</v>
      </c>
      <c r="C8" s="55"/>
      <c r="D8"/>
    </row>
    <row r="9" spans="2:11">
      <c r="C9" s="56"/>
      <c r="D9" s="52"/>
    </row>
    <row r="11" spans="2:11" ht="30">
      <c r="B11" s="49" t="s">
        <v>0</v>
      </c>
      <c r="C11" s="49" t="s">
        <v>266</v>
      </c>
      <c r="D11" s="49" t="s">
        <v>267</v>
      </c>
      <c r="E11" s="49" t="s">
        <v>271</v>
      </c>
      <c r="F11" s="49" t="s">
        <v>238</v>
      </c>
      <c r="G11" s="49" t="s">
        <v>139</v>
      </c>
      <c r="H11" s="267" t="s">
        <v>18</v>
      </c>
      <c r="I11" s="267"/>
      <c r="J11" s="267"/>
      <c r="K11" s="267"/>
    </row>
    <row r="12" spans="2:11">
      <c r="B12" s="57" t="s">
        <v>272</v>
      </c>
      <c r="C12" s="58"/>
      <c r="D12" s="59"/>
      <c r="E12" s="60"/>
      <c r="F12" s="56"/>
    </row>
    <row r="13" spans="2:11">
      <c r="B13" s="64" t="s">
        <v>239</v>
      </c>
      <c r="C13" s="65">
        <f>C7</f>
        <v>0</v>
      </c>
      <c r="D13" s="66">
        <f>IFERROR(ROUND(D14+D16+D17,4),"")</f>
        <v>1.0492999999999999</v>
      </c>
      <c r="E13" s="69">
        <f>IFERROR(ROUND(C13*D13,2),"")</f>
        <v>0</v>
      </c>
      <c r="F13" s="56"/>
      <c r="G13" s="50" t="s">
        <v>240</v>
      </c>
      <c r="H13" s="266" t="s">
        <v>241</v>
      </c>
      <c r="I13" s="266"/>
      <c r="J13" s="266"/>
      <c r="K13" s="266"/>
    </row>
    <row r="14" spans="2:11">
      <c r="B14" s="64" t="s">
        <v>48</v>
      </c>
      <c r="C14" s="64"/>
      <c r="D14" s="67">
        <f>IFERROR(PARAMETRO!C10/365,"")</f>
        <v>4.1095890410958902E-2</v>
      </c>
      <c r="E14" s="61"/>
      <c r="F14" s="56"/>
      <c r="G14" s="50" t="s">
        <v>240</v>
      </c>
      <c r="H14" s="266" t="s">
        <v>269</v>
      </c>
      <c r="I14" s="266"/>
      <c r="J14" s="266"/>
      <c r="K14" s="266"/>
    </row>
    <row r="15" spans="2:11">
      <c r="B15" s="64" t="s">
        <v>265</v>
      </c>
      <c r="C15" s="68">
        <f>IFERROR(VLOOKUP(VALUE(DATEDIF(C5,C6,"Y")&amp;"."&amp;DATEDIF(C5,C6,"ym")&amp;DATEDIF(C5,C6,"md")),TVACA,3),"")</f>
        <v>12</v>
      </c>
      <c r="D15" s="65"/>
      <c r="E15" s="61"/>
      <c r="F15" s="56"/>
      <c r="H15" s="266"/>
      <c r="I15" s="266"/>
      <c r="J15" s="266"/>
      <c r="K15" s="266"/>
    </row>
    <row r="16" spans="2:11">
      <c r="B16" s="64" t="s">
        <v>132</v>
      </c>
      <c r="C16" s="65"/>
      <c r="D16" s="66">
        <f>IFERROR(C15/365*PARAMETRO!C12,"")</f>
        <v>8.21917808219178E-3</v>
      </c>
      <c r="E16" s="61"/>
      <c r="F16" s="56"/>
      <c r="G16" s="50" t="s">
        <v>240</v>
      </c>
      <c r="H16" s="266" t="s">
        <v>270</v>
      </c>
      <c r="I16" s="266"/>
      <c r="J16" s="266"/>
      <c r="K16" s="266"/>
    </row>
    <row r="17" spans="2:11">
      <c r="B17" s="64" t="s">
        <v>268</v>
      </c>
      <c r="C17" s="65"/>
      <c r="D17" s="66">
        <v>1</v>
      </c>
      <c r="E17" s="61"/>
      <c r="F17" s="56"/>
      <c r="H17" s="266"/>
      <c r="I17" s="266"/>
      <c r="J17" s="266"/>
      <c r="K17" s="266"/>
    </row>
    <row r="18" spans="2:11">
      <c r="B18" s="64" t="s">
        <v>267</v>
      </c>
      <c r="C18" s="65"/>
      <c r="D18" s="66">
        <f>IFERROR(ROUND(D14+D16+D17,4),"")</f>
        <v>1.0492999999999999</v>
      </c>
      <c r="E18" s="61"/>
      <c r="F18" s="56"/>
      <c r="G18"/>
      <c r="H18" s="266"/>
      <c r="I18" s="266"/>
      <c r="J18" s="266"/>
      <c r="K18" s="266"/>
    </row>
    <row r="19" spans="2:11" ht="30">
      <c r="B19" s="49" t="s">
        <v>0</v>
      </c>
      <c r="C19" s="49" t="s">
        <v>276</v>
      </c>
      <c r="D19" s="49" t="s">
        <v>279</v>
      </c>
      <c r="E19" s="49" t="s">
        <v>277</v>
      </c>
      <c r="F19" s="49" t="s">
        <v>278</v>
      </c>
      <c r="H19" s="266"/>
      <c r="I19" s="266"/>
      <c r="J19" s="266"/>
      <c r="K19" s="266"/>
    </row>
    <row r="20" spans="2:11">
      <c r="B20" s="57" t="s">
        <v>273</v>
      </c>
      <c r="C20" s="58"/>
      <c r="D20" s="59"/>
      <c r="E20" s="60"/>
      <c r="F20" s="60"/>
      <c r="H20" s="266"/>
      <c r="I20" s="266"/>
      <c r="J20" s="266"/>
      <c r="K20" s="266"/>
    </row>
    <row r="21" spans="2:11">
      <c r="B21" s="78" t="s">
        <v>242</v>
      </c>
      <c r="C21" s="79"/>
      <c r="D21" s="80"/>
      <c r="E21" s="73" t="str">
        <f>IFERROR(IF(D22&lt;&gt;D23,ROUND(C13*D22,2),""),"")</f>
        <v/>
      </c>
      <c r="F21" s="73">
        <f>IFERROR(IF(D22=D23,ROUND(C13*D22,2),""),"")</f>
        <v>0</v>
      </c>
      <c r="G21" s="50" t="s">
        <v>243</v>
      </c>
      <c r="H21" s="266" t="s">
        <v>304</v>
      </c>
      <c r="I21" s="266"/>
      <c r="J21" s="266"/>
      <c r="K21" s="266"/>
    </row>
    <row r="22" spans="2:11">
      <c r="B22" s="70" t="s">
        <v>274</v>
      </c>
      <c r="C22" s="71"/>
      <c r="D22" s="72"/>
      <c r="E22" s="73"/>
      <c r="F22" s="73"/>
      <c r="H22" s="266"/>
      <c r="I22" s="266"/>
      <c r="J22" s="266"/>
      <c r="K22" s="266"/>
    </row>
    <row r="23" spans="2:11">
      <c r="B23" s="70" t="s">
        <v>275</v>
      </c>
      <c r="C23" s="71"/>
      <c r="D23" s="72"/>
      <c r="E23" s="73"/>
      <c r="F23" s="73"/>
      <c r="H23" s="266"/>
      <c r="I23" s="266"/>
      <c r="J23" s="266"/>
      <c r="K23" s="266"/>
    </row>
    <row r="24" spans="2:11">
      <c r="B24" s="74" t="s">
        <v>244</v>
      </c>
      <c r="C24" s="55"/>
      <c r="D24" s="75"/>
      <c r="E24" s="73" t="str">
        <f>IFERROR(IF(D24&lt;ROUND(PARAMETRO!C4*0.2,2),IF(C24=1,ROUND(C7*8.33%,2),IF(C24=2,ROUND(C7*16.66%,2),IF(C24=3,ROUND(C7*25%,2),""))),0),0)</f>
        <v/>
      </c>
      <c r="F24" s="73">
        <f>IFERROR(IF(D24&gt;=ROUND(PARAMETRO!C4*0.2,2),IF(C24=1,ROUND(C7*8.33%,2),IF(C24=2,ROUND(C7*16.66%,2),IF(C24=3,ROUND(C7*25%,2),""))),0),0)</f>
        <v>0</v>
      </c>
      <c r="G24" s="50" t="s">
        <v>245</v>
      </c>
      <c r="H24" s="266" t="s">
        <v>246</v>
      </c>
      <c r="I24" s="266"/>
      <c r="J24" s="266"/>
      <c r="K24" s="266"/>
    </row>
    <row r="25" spans="2:11">
      <c r="B25" s="74" t="s">
        <v>177</v>
      </c>
      <c r="C25" s="71"/>
      <c r="D25" s="76"/>
      <c r="E25" s="77">
        <f>IFERROR(IF(AND(D25&lt;&gt;"",D25&lt;ROUND(PARAMETRO!C4*0.2,2)),ROUND(C13*25%,2),0),"")</f>
        <v>0</v>
      </c>
      <c r="F25" s="73" t="str">
        <f>IFERROR(IF(AND(D25&lt;&gt;"",D25&gt;=ROUND(PARAMETRO!C4*0.2,2)),ROUND(C13*25%,2),""),"")</f>
        <v/>
      </c>
      <c r="G25" s="50" t="s">
        <v>245</v>
      </c>
      <c r="H25" s="266" t="s">
        <v>246</v>
      </c>
      <c r="I25" s="266"/>
      <c r="J25" s="266"/>
      <c r="K25" s="266"/>
    </row>
    <row r="26" spans="2:11">
      <c r="B26" s="74" t="s">
        <v>247</v>
      </c>
      <c r="C26" s="71"/>
      <c r="D26" s="76"/>
      <c r="E26" s="73">
        <f>IFERROR(IF(AND(D26&lt;&gt;"",D26&lt;=ROUND(PARAMETRO!C4*0.4,2)),0,D26-ROUND(PARAMETRO!C4*0.4,2)),0)</f>
        <v>-46.92</v>
      </c>
      <c r="F26" s="73">
        <f>IFERROR(IF(AND(D26&lt;&gt;"",D26&gt;ROUND(PARAMETRO!C4*0.4,2)),ROUND(PARAMETRO!C4*0.4,2),0),0)</f>
        <v>0</v>
      </c>
      <c r="G26" s="50" t="s">
        <v>248</v>
      </c>
      <c r="H26" s="266" t="s">
        <v>249</v>
      </c>
      <c r="I26" s="266"/>
      <c r="J26" s="266"/>
      <c r="K26" s="266"/>
    </row>
    <row r="27" spans="2:11" customFormat="1">
      <c r="B27" s="57" t="s">
        <v>280</v>
      </c>
      <c r="C27" s="58"/>
      <c r="D27" s="59"/>
      <c r="E27" s="60"/>
      <c r="F27" s="60"/>
      <c r="H27" s="266"/>
      <c r="I27" s="266"/>
      <c r="J27" s="266"/>
      <c r="K27" s="266"/>
    </row>
    <row r="28" spans="2:11" customFormat="1" ht="30">
      <c r="B28" s="49" t="s">
        <v>0</v>
      </c>
      <c r="C28" s="49" t="s">
        <v>281</v>
      </c>
      <c r="D28" s="49" t="s">
        <v>282</v>
      </c>
      <c r="E28" s="49" t="s">
        <v>277</v>
      </c>
      <c r="F28" s="49" t="s">
        <v>278</v>
      </c>
      <c r="H28" s="266"/>
      <c r="I28" s="266"/>
      <c r="J28" s="266"/>
      <c r="K28" s="266"/>
    </row>
    <row r="29" spans="2:11">
      <c r="B29" s="74" t="s">
        <v>250</v>
      </c>
      <c r="C29" s="103"/>
      <c r="D29" s="104"/>
      <c r="E29" s="73">
        <f>IFERROR(IF(ROUND(SUMIF($C29:$D29,"&gt;0")/$C$8,2)&gt;=ROUND(($E$13+SUMIF($E$21:$E$26,"&gt;0"))*0.1,2),ROUND(SUMIF($C29:$D29,"&gt;0")/$C$8,2)-ROUND(($E$13+SUMIF($E$21:$E$26,"&gt;0"))*0.1,2),0),0)</f>
        <v>0</v>
      </c>
      <c r="F29" s="73">
        <f>IFERROR(IF(ROUND(SUMIF($C29:$D29,"&gt;0")/$C$8,2)&lt;ROUND(($E$13+SUMIF($E$21:$E$26,"&gt;0"))*0.1,2),ROUND(SUMIF($C29:$D29,"&gt;0")/$C$8,2),ROUND(($E$13+SUMIF($E$21:$E$26,"&gt;0"))*0.1,2)),0)</f>
        <v>0</v>
      </c>
      <c r="G29" s="50" t="s">
        <v>251</v>
      </c>
      <c r="H29" s="266" t="s">
        <v>252</v>
      </c>
      <c r="I29" s="266"/>
      <c r="J29" s="266"/>
      <c r="K29" s="266"/>
    </row>
    <row r="30" spans="2:11">
      <c r="B30" s="74" t="s">
        <v>253</v>
      </c>
      <c r="C30" s="103"/>
      <c r="D30" s="104"/>
      <c r="E30" s="73">
        <f>IFERROR(IF(ROUND(SUMIF($C30:$D30,"&gt;0")/$C$8,2)&gt;=ROUND(($E$13+SUMIF($E$21:$E$26,"&gt;0"))*0.1,2),ROUND(SUMIF($C30:$D30,"&gt;0")/$C$8,2)-ROUND(($E$13+SUMIF($E$21:$E$26,"&gt;0"))*0.1,2),0),0)</f>
        <v>0</v>
      </c>
      <c r="F30" s="73">
        <f>IFERROR(IF(ROUND(SUMIF($C30:$D30,"&gt;0")/$C$8,2)&lt;ROUND(($E$13+SUMIF($E$21:$E$26,"&gt;0"))*0.1,2),ROUND(SUMIF($C30:$D30,"&gt;0")/$C$8,2),ROUND(($E$13+SUMIF($E$21:$E$26,"&gt;0"))*0.1,2)),0)</f>
        <v>0</v>
      </c>
      <c r="G30" s="50" t="s">
        <v>251</v>
      </c>
      <c r="H30" s="266" t="s">
        <v>252</v>
      </c>
      <c r="I30" s="266"/>
      <c r="J30" s="266"/>
      <c r="K30" s="266"/>
    </row>
    <row r="31" spans="2:11">
      <c r="B31" s="74" t="s">
        <v>283</v>
      </c>
      <c r="C31" s="103"/>
      <c r="D31" s="104"/>
      <c r="E31" s="73">
        <f>IFERROR(ROUND(SUMIF($C30:$D30,"&gt;0")/$C$8,2),0)</f>
        <v>0</v>
      </c>
      <c r="F31" s="105"/>
      <c r="G31" s="50" t="s">
        <v>254</v>
      </c>
      <c r="H31" s="266" t="s">
        <v>255</v>
      </c>
      <c r="I31" s="266"/>
      <c r="J31" s="266"/>
      <c r="K31" s="266"/>
    </row>
    <row r="32" spans="2:11">
      <c r="B32" s="74" t="s">
        <v>256</v>
      </c>
      <c r="C32" s="103"/>
      <c r="D32" s="104"/>
      <c r="E32" s="73">
        <f>IFERROR(ROUND(SUMIF($C31:$D31,"&gt;0")/$C$8,2),0)</f>
        <v>0</v>
      </c>
      <c r="F32" s="105"/>
      <c r="G32" s="50" t="s">
        <v>240</v>
      </c>
      <c r="H32" s="266" t="s">
        <v>257</v>
      </c>
      <c r="I32" s="266"/>
      <c r="J32" s="266"/>
      <c r="K32" s="266"/>
    </row>
    <row r="33" spans="2:10">
      <c r="C33" s="56"/>
      <c r="D33"/>
      <c r="E33" s="56"/>
      <c r="F33" s="56"/>
    </row>
    <row r="34" spans="2:10">
      <c r="B34" s="83" t="s">
        <v>272</v>
      </c>
      <c r="C34" s="84">
        <f>E13</f>
        <v>0</v>
      </c>
      <c r="D34"/>
      <c r="E34"/>
      <c r="F34"/>
      <c r="G34"/>
      <c r="H34"/>
    </row>
    <row r="35" spans="2:10" ht="30">
      <c r="B35" s="83" t="s">
        <v>273</v>
      </c>
      <c r="C35" s="85">
        <f>SUMIF(E21:E26,"&gt;0")</f>
        <v>0</v>
      </c>
      <c r="D35"/>
      <c r="E35"/>
      <c r="F35"/>
      <c r="G35"/>
      <c r="H35"/>
    </row>
    <row r="36" spans="2:10" ht="20.25" customHeight="1">
      <c r="B36" s="83" t="s">
        <v>280</v>
      </c>
      <c r="C36" s="84">
        <f>SUMIF(E29:E32,"&gt;0")</f>
        <v>0</v>
      </c>
      <c r="D36"/>
      <c r="E36"/>
      <c r="F36"/>
      <c r="G36"/>
      <c r="H36"/>
    </row>
    <row r="37" spans="2:10">
      <c r="B37" s="62" t="s">
        <v>271</v>
      </c>
      <c r="C37" s="63">
        <f>SUMIF(C34:C36,"&gt;0")</f>
        <v>0</v>
      </c>
      <c r="D37" s="82" t="s">
        <v>284</v>
      </c>
      <c r="E37" s="81">
        <f>IFERROR(ROUND(PARAMETRO!C4*25,2),0)</f>
        <v>2932.75</v>
      </c>
      <c r="F37"/>
      <c r="G37"/>
      <c r="H37"/>
    </row>
    <row r="40" spans="2:10" ht="30">
      <c r="B40" s="87" t="s">
        <v>285</v>
      </c>
      <c r="C40" s="87" t="s">
        <v>286</v>
      </c>
      <c r="D40" s="88" t="s">
        <v>287</v>
      </c>
      <c r="E40" s="88" t="s">
        <v>288</v>
      </c>
      <c r="F40" s="88" t="s">
        <v>289</v>
      </c>
      <c r="G40" s="88" t="s">
        <v>290</v>
      </c>
      <c r="H40" s="88" t="s">
        <v>291</v>
      </c>
      <c r="I40" s="88" t="s">
        <v>292</v>
      </c>
      <c r="J40" s="88" t="s">
        <v>293</v>
      </c>
    </row>
    <row r="41" spans="2:10">
      <c r="B41" s="86" t="s">
        <v>294</v>
      </c>
      <c r="C41" s="86" t="s">
        <v>295</v>
      </c>
      <c r="D41" s="89">
        <f>IFERROR(IF($C$37&lt;=$E$37,$C$37,$E$37),0)</f>
        <v>0</v>
      </c>
      <c r="E41" s="89">
        <f>IFERROR(ROUND(PARAMETRO!C4*3,2),0)</f>
        <v>351.93</v>
      </c>
      <c r="F41" s="90">
        <f>IFERROR(IF(D41&gt;=E41,D41-E41,0),0)</f>
        <v>0</v>
      </c>
      <c r="G41" s="91">
        <v>4.0000000000000001E-3</v>
      </c>
      <c r="H41" s="95">
        <f>IFERROR(ROUND(F41*G41,2),0)</f>
        <v>0</v>
      </c>
      <c r="I41" s="98">
        <f>PARAMETRO!$C$15</f>
        <v>0</v>
      </c>
      <c r="J41" s="95">
        <f>IFERROR(ROUND(H41*I41,2),0)</f>
        <v>0</v>
      </c>
    </row>
    <row r="42" spans="2:10">
      <c r="B42" s="86" t="s">
        <v>294</v>
      </c>
      <c r="C42" s="86" t="s">
        <v>296</v>
      </c>
      <c r="D42" s="89">
        <f t="shared" ref="D42:D45" si="0">IFERROR(IF($C$37&lt;=$E$37,$C$37,$E$37),0)</f>
        <v>0</v>
      </c>
      <c r="E42" s="92"/>
      <c r="F42" s="92"/>
      <c r="G42" s="93">
        <v>2.5000000000000001E-3</v>
      </c>
      <c r="H42" s="96">
        <f>IFERROR(ROUND(D42*G42,2),0)</f>
        <v>0</v>
      </c>
      <c r="I42" s="98">
        <f>PARAMETRO!$C$15</f>
        <v>0</v>
      </c>
      <c r="J42" s="95">
        <f t="shared" ref="J42:J45" si="1">IFERROR(ROUND(H42*I42,2),0)</f>
        <v>0</v>
      </c>
    </row>
    <row r="43" spans="2:10" ht="45">
      <c r="B43" s="86" t="s">
        <v>294</v>
      </c>
      <c r="C43" s="86" t="s">
        <v>297</v>
      </c>
      <c r="D43" s="89">
        <f t="shared" si="0"/>
        <v>0</v>
      </c>
      <c r="E43" s="92"/>
      <c r="F43" s="92"/>
      <c r="G43" s="97">
        <v>3.7499999999999999E-3</v>
      </c>
      <c r="H43" s="95">
        <f t="shared" ref="H43:H45" si="2">IFERROR(ROUND(D43*G43,2),0)</f>
        <v>0</v>
      </c>
      <c r="I43" s="98">
        <f>PARAMETRO!$C$15</f>
        <v>0</v>
      </c>
      <c r="J43" s="95">
        <f t="shared" si="1"/>
        <v>0</v>
      </c>
    </row>
    <row r="44" spans="2:10">
      <c r="B44" s="86" t="s">
        <v>298</v>
      </c>
      <c r="C44" s="86" t="s">
        <v>299</v>
      </c>
      <c r="D44" s="89">
        <f t="shared" si="0"/>
        <v>0</v>
      </c>
      <c r="E44" s="92"/>
      <c r="F44" s="92"/>
      <c r="G44" s="93">
        <v>6.3E-3</v>
      </c>
      <c r="H44" s="96">
        <f t="shared" si="2"/>
        <v>0</v>
      </c>
      <c r="I44" s="98">
        <f>PARAMETRO!$C$15</f>
        <v>0</v>
      </c>
      <c r="J44" s="95">
        <f t="shared" si="1"/>
        <v>0</v>
      </c>
    </row>
    <row r="45" spans="2:10">
      <c r="B45" s="269" t="s">
        <v>300</v>
      </c>
      <c r="C45" s="269"/>
      <c r="D45" s="89">
        <f t="shared" si="0"/>
        <v>0</v>
      </c>
      <c r="E45" s="92"/>
      <c r="F45" s="92"/>
      <c r="G45" s="94">
        <v>1.125E-2</v>
      </c>
      <c r="H45" s="96">
        <f t="shared" si="2"/>
        <v>0</v>
      </c>
      <c r="I45" s="98">
        <f>PARAMETRO!$C$15</f>
        <v>0</v>
      </c>
      <c r="J45" s="95">
        <f t="shared" si="1"/>
        <v>0</v>
      </c>
    </row>
    <row r="46" spans="2:10">
      <c r="B46"/>
      <c r="C46"/>
      <c r="D46"/>
      <c r="E46"/>
      <c r="F46"/>
      <c r="G46"/>
      <c r="H46"/>
      <c r="I46" s="99" t="s">
        <v>301</v>
      </c>
      <c r="J46" s="101">
        <f>SUMIF(J41:J45,"&gt;0")</f>
        <v>0</v>
      </c>
    </row>
    <row r="47" spans="2:10">
      <c r="B47"/>
      <c r="C47"/>
      <c r="D47"/>
      <c r="E47"/>
      <c r="F47"/>
      <c r="G47"/>
      <c r="H47"/>
      <c r="I47"/>
      <c r="J47"/>
    </row>
    <row r="48" spans="2:10" ht="42.75" customHeight="1">
      <c r="B48" s="270" t="s">
        <v>302</v>
      </c>
      <c r="C48" s="270"/>
      <c r="D48" s="270"/>
      <c r="E48"/>
      <c r="F48"/>
      <c r="G48"/>
      <c r="H48"/>
      <c r="I48"/>
      <c r="J48"/>
    </row>
    <row r="49" spans="2:10">
      <c r="B49"/>
      <c r="C49"/>
      <c r="D49"/>
      <c r="E49"/>
      <c r="F49"/>
      <c r="G49"/>
      <c r="H49"/>
      <c r="I49"/>
      <c r="J49"/>
    </row>
    <row r="50" spans="2:10">
      <c r="B50" s="100" t="s">
        <v>303</v>
      </c>
      <c r="C50" s="102">
        <f>IFERROR(IF(C7=PARAMETRO!$C$5,0,J46),0)</f>
        <v>0</v>
      </c>
      <c r="D50"/>
      <c r="E50"/>
      <c r="F50"/>
      <c r="G50"/>
      <c r="H50"/>
      <c r="I50"/>
      <c r="J50"/>
    </row>
  </sheetData>
  <mergeCells count="24">
    <mergeCell ref="H24:K24"/>
    <mergeCell ref="B3:H3"/>
    <mergeCell ref="B45:C45"/>
    <mergeCell ref="B48:D48"/>
    <mergeCell ref="H11:K11"/>
    <mergeCell ref="H13:K13"/>
    <mergeCell ref="H14:K14"/>
    <mergeCell ref="H15:K15"/>
    <mergeCell ref="H16:K16"/>
    <mergeCell ref="H17:K17"/>
    <mergeCell ref="H18:K18"/>
    <mergeCell ref="H19:K19"/>
    <mergeCell ref="H20:K20"/>
    <mergeCell ref="H21:K21"/>
    <mergeCell ref="H22:K22"/>
    <mergeCell ref="H23:K23"/>
    <mergeCell ref="H31:K31"/>
    <mergeCell ref="H32:K32"/>
    <mergeCell ref="H25:K25"/>
    <mergeCell ref="H26:K26"/>
    <mergeCell ref="H27:K27"/>
    <mergeCell ref="H28:K28"/>
    <mergeCell ref="H29:K29"/>
    <mergeCell ref="H30:K30"/>
  </mergeCells>
  <conditionalFormatting sqref="D24">
    <cfRule type="expression" dxfId="0" priority="1">
      <formula>IF($C$24&lt;&gt;"",1,0)</formula>
    </cfRule>
  </conditionalFormatting>
  <dataValidations count="3">
    <dataValidation type="list" sqref="D15" xr:uid="{3129EBD0-86BA-4C64-A9C5-20FD42D863E7}">
      <formula1>"Sí,No,0,Capturar importe"</formula1>
    </dataValidation>
    <dataValidation type="list" sqref="C24" xr:uid="{F521AA3B-6CCD-4EC1-8FD5-85663F4905A1}">
      <formula1>"1,2,3"</formula1>
    </dataValidation>
    <dataValidation type="custom" allowBlank="1" showInputMessage="1" showErrorMessage="1" errorTitle="Restricción de acceso" error="Debe de capturar la contraseña en la hoja de portada" sqref="C29:D32 C5:C8 D22:D26" xr:uid="{D2A27F5B-F3AD-46FF-A594-C5B8B4519926}">
      <formula1>ACCESO=TRUE</formula1>
    </dataValidation>
  </dataValidations>
  <pageMargins left="0.7" right="0.7" top="0.75" bottom="0.75" header="0.3" footer="0.3"/>
  <ignoredErrors>
    <ignoredError sqref="I41" formula="1"/>
  </ignoredErrors>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FB56C-161A-41AB-9AFE-45E9AAE29243}">
  <sheetPr codeName="Hoja13"/>
  <dimension ref="B3:G59"/>
  <sheetViews>
    <sheetView showGridLines="0" workbookViewId="0">
      <selection activeCell="B5" sqref="B5"/>
    </sheetView>
  </sheetViews>
  <sheetFormatPr baseColWidth="10" defaultRowHeight="15"/>
  <cols>
    <col min="1" max="1" width="11.42578125" style="108"/>
    <col min="2" max="2" width="19.28515625" style="108" customWidth="1"/>
    <col min="3" max="3" width="15.28515625" style="108" customWidth="1"/>
    <col min="4" max="4" width="19" style="108" customWidth="1"/>
    <col min="5" max="6" width="18.140625" style="108" customWidth="1"/>
    <col min="7" max="7" width="19" style="108" customWidth="1"/>
    <col min="8" max="16384" width="11.42578125" style="108"/>
  </cols>
  <sheetData>
    <row r="3" spans="2:7" ht="15.75" thickBot="1">
      <c r="B3" s="107" t="s">
        <v>305</v>
      </c>
    </row>
    <row r="4" spans="2:7" ht="45.75" thickBot="1">
      <c r="B4" s="271" t="s">
        <v>306</v>
      </c>
      <c r="C4" s="272"/>
      <c r="D4" s="109" t="s">
        <v>307</v>
      </c>
      <c r="E4" s="109" t="s">
        <v>308</v>
      </c>
      <c r="F4" s="109" t="s">
        <v>309</v>
      </c>
      <c r="G4" s="109" t="s">
        <v>310</v>
      </c>
    </row>
    <row r="5" spans="2:7" ht="15.75" thickBot="1">
      <c r="B5" s="125">
        <v>46023</v>
      </c>
      <c r="C5" s="125">
        <v>46029</v>
      </c>
      <c r="D5" s="110">
        <f>IF(AND(B5&lt;&gt;"",C5&lt;&gt;""),DATEDIF(B5,C5,"D")+1,"")</f>
        <v>7</v>
      </c>
      <c r="E5" s="126">
        <v>70</v>
      </c>
      <c r="F5" s="127">
        <v>50</v>
      </c>
      <c r="G5" s="111">
        <f>IFERROR(E5*F5,"")</f>
        <v>3500</v>
      </c>
    </row>
    <row r="6" spans="2:7" ht="15.75" thickBot="1">
      <c r="B6" s="125">
        <f>C5+1</f>
        <v>46030</v>
      </c>
      <c r="C6" s="125">
        <f>C5+6</f>
        <v>46035</v>
      </c>
      <c r="D6" s="110">
        <f t="shared" ref="D6:D10" si="0">IF(AND(B6&lt;&gt;"",C6&lt;&gt;""),DATEDIF(B6,C6,"D")+1,"")</f>
        <v>6</v>
      </c>
      <c r="E6" s="126">
        <v>60</v>
      </c>
      <c r="F6" s="127">
        <v>50</v>
      </c>
      <c r="G6" s="111">
        <f t="shared" ref="G6:G10" si="1">IFERROR(E6*F6,"")</f>
        <v>3000</v>
      </c>
    </row>
    <row r="7" spans="2:7" ht="15.75" thickBot="1">
      <c r="B7" s="125">
        <f>C6+1</f>
        <v>46036</v>
      </c>
      <c r="C7" s="125">
        <f>B7+6</f>
        <v>46042</v>
      </c>
      <c r="D7" s="110">
        <f t="shared" si="0"/>
        <v>7</v>
      </c>
      <c r="E7" s="126">
        <v>80</v>
      </c>
      <c r="F7" s="127">
        <v>50</v>
      </c>
      <c r="G7" s="111">
        <f t="shared" si="1"/>
        <v>4000</v>
      </c>
    </row>
    <row r="8" spans="2:7" ht="15.75" thickBot="1">
      <c r="B8" s="125">
        <f>C7+1</f>
        <v>46043</v>
      </c>
      <c r="C8" s="125">
        <f>B8+6</f>
        <v>46049</v>
      </c>
      <c r="D8" s="110">
        <f t="shared" si="0"/>
        <v>7</v>
      </c>
      <c r="E8" s="126">
        <v>75</v>
      </c>
      <c r="F8" s="127">
        <v>50</v>
      </c>
      <c r="G8" s="111">
        <f t="shared" si="1"/>
        <v>3750</v>
      </c>
    </row>
    <row r="9" spans="2:7" ht="15.75" thickBot="1">
      <c r="B9" s="125">
        <f t="shared" ref="B9" si="2">C8+1</f>
        <v>46050</v>
      </c>
      <c r="C9" s="125">
        <v>46052</v>
      </c>
      <c r="D9" s="110">
        <f t="shared" si="0"/>
        <v>3</v>
      </c>
      <c r="E9" s="126">
        <v>65</v>
      </c>
      <c r="F9" s="127">
        <v>50</v>
      </c>
      <c r="G9" s="111">
        <f t="shared" si="1"/>
        <v>3250</v>
      </c>
    </row>
    <row r="10" spans="2:7" ht="15.75" thickBot="1">
      <c r="B10" s="125"/>
      <c r="C10" s="125"/>
      <c r="D10" s="110" t="str">
        <f t="shared" si="0"/>
        <v/>
      </c>
      <c r="E10" s="126"/>
      <c r="F10" s="127"/>
      <c r="G10" s="111">
        <f t="shared" si="1"/>
        <v>0</v>
      </c>
    </row>
    <row r="11" spans="2:7" ht="15.75" thickBot="1">
      <c r="B11" s="112" t="s">
        <v>311</v>
      </c>
      <c r="C11" s="112"/>
      <c r="D11" s="113">
        <f>SUM(D5:D10)</f>
        <v>30</v>
      </c>
      <c r="E11" s="112"/>
      <c r="F11" s="112"/>
      <c r="G11" s="114">
        <f>SUM(G5:G10)</f>
        <v>17500</v>
      </c>
    </row>
    <row r="14" spans="2:7">
      <c r="B14" s="273" t="s">
        <v>312</v>
      </c>
      <c r="C14" s="273"/>
      <c r="D14" s="115">
        <f>G11</f>
        <v>17500</v>
      </c>
      <c r="E14" s="274" t="str">
        <f>"=      "&amp;IFERROR(ROUND(D14/D15,2),"")</f>
        <v>=      583.33</v>
      </c>
    </row>
    <row r="15" spans="2:7">
      <c r="B15" s="273"/>
      <c r="C15" s="273"/>
      <c r="D15" s="116">
        <f>D11</f>
        <v>30</v>
      </c>
      <c r="E15" s="274"/>
    </row>
    <row r="18" spans="2:3">
      <c r="B18" s="107" t="s">
        <v>313</v>
      </c>
    </row>
    <row r="19" spans="2:3">
      <c r="B19" s="107" t="s">
        <v>263</v>
      </c>
      <c r="C19" s="128">
        <v>46023</v>
      </c>
    </row>
    <row r="20" spans="2:3">
      <c r="B20" s="107" t="s">
        <v>314</v>
      </c>
      <c r="C20" s="117">
        <f>IFERROR(IF(C19&lt;&gt;"",C19-30,""),"")</f>
        <v>45993</v>
      </c>
    </row>
    <row r="21" spans="2:3" ht="30">
      <c r="B21" s="118" t="s">
        <v>315</v>
      </c>
      <c r="C21" s="129"/>
    </row>
    <row r="23" spans="2:3" ht="30">
      <c r="B23" s="119" t="s">
        <v>316</v>
      </c>
      <c r="C23" s="120" t="s">
        <v>317</v>
      </c>
    </row>
    <row r="24" spans="2:3">
      <c r="B24" s="121">
        <f>IF(C20&lt;&gt;"",C20,"")</f>
        <v>45993</v>
      </c>
      <c r="C24" s="130"/>
    </row>
    <row r="25" spans="2:3">
      <c r="B25" s="121">
        <f>IFERROR(B24+1,"")</f>
        <v>45994</v>
      </c>
      <c r="C25" s="130"/>
    </row>
    <row r="26" spans="2:3">
      <c r="B26" s="121">
        <f t="shared" ref="B26:B54" si="3">IFERROR(B25+1,"")</f>
        <v>45995</v>
      </c>
      <c r="C26" s="130">
        <v>6000</v>
      </c>
    </row>
    <row r="27" spans="2:3">
      <c r="B27" s="121">
        <f t="shared" si="3"/>
        <v>45996</v>
      </c>
      <c r="C27" s="130"/>
    </row>
    <row r="28" spans="2:3">
      <c r="B28" s="121">
        <f t="shared" si="3"/>
        <v>45997</v>
      </c>
      <c r="C28" s="130"/>
    </row>
    <row r="29" spans="2:3">
      <c r="B29" s="121">
        <f t="shared" si="3"/>
        <v>45998</v>
      </c>
      <c r="C29" s="130"/>
    </row>
    <row r="30" spans="2:3">
      <c r="B30" s="121">
        <f t="shared" si="3"/>
        <v>45999</v>
      </c>
      <c r="C30" s="130"/>
    </row>
    <row r="31" spans="2:3">
      <c r="B31" s="121">
        <f t="shared" si="3"/>
        <v>46000</v>
      </c>
      <c r="C31" s="130"/>
    </row>
    <row r="32" spans="2:3">
      <c r="B32" s="121">
        <f t="shared" si="3"/>
        <v>46001</v>
      </c>
      <c r="C32" s="130"/>
    </row>
    <row r="33" spans="2:3">
      <c r="B33" s="121">
        <f t="shared" si="3"/>
        <v>46002</v>
      </c>
      <c r="C33" s="130"/>
    </row>
    <row r="34" spans="2:3">
      <c r="B34" s="121">
        <f t="shared" si="3"/>
        <v>46003</v>
      </c>
      <c r="C34" s="130"/>
    </row>
    <row r="35" spans="2:3">
      <c r="B35" s="121">
        <f t="shared" si="3"/>
        <v>46004</v>
      </c>
      <c r="C35" s="130">
        <v>3600</v>
      </c>
    </row>
    <row r="36" spans="2:3">
      <c r="B36" s="121">
        <f t="shared" si="3"/>
        <v>46005</v>
      </c>
      <c r="C36" s="130"/>
    </row>
    <row r="37" spans="2:3">
      <c r="B37" s="121">
        <f t="shared" si="3"/>
        <v>46006</v>
      </c>
      <c r="C37" s="130"/>
    </row>
    <row r="38" spans="2:3">
      <c r="B38" s="121">
        <f t="shared" si="3"/>
        <v>46007</v>
      </c>
      <c r="C38" s="130"/>
    </row>
    <row r="39" spans="2:3">
      <c r="B39" s="121">
        <f t="shared" si="3"/>
        <v>46008</v>
      </c>
      <c r="C39" s="130"/>
    </row>
    <row r="40" spans="2:3">
      <c r="B40" s="121">
        <f>IFERROR(B39+1,"")</f>
        <v>46009</v>
      </c>
      <c r="C40" s="130"/>
    </row>
    <row r="41" spans="2:3">
      <c r="B41" s="121">
        <f t="shared" si="3"/>
        <v>46010</v>
      </c>
      <c r="C41" s="130"/>
    </row>
    <row r="42" spans="2:3">
      <c r="B42" s="121">
        <f t="shared" si="3"/>
        <v>46011</v>
      </c>
      <c r="C42" s="130"/>
    </row>
    <row r="43" spans="2:3">
      <c r="B43" s="121">
        <f t="shared" si="3"/>
        <v>46012</v>
      </c>
      <c r="C43" s="130"/>
    </row>
    <row r="44" spans="2:3">
      <c r="B44" s="121">
        <f t="shared" si="3"/>
        <v>46013</v>
      </c>
      <c r="C44" s="130">
        <v>2800</v>
      </c>
    </row>
    <row r="45" spans="2:3">
      <c r="B45" s="121">
        <f t="shared" si="3"/>
        <v>46014</v>
      </c>
      <c r="C45" s="130"/>
    </row>
    <row r="46" spans="2:3">
      <c r="B46" s="121">
        <f t="shared" si="3"/>
        <v>46015</v>
      </c>
      <c r="C46" s="130"/>
    </row>
    <row r="47" spans="2:3">
      <c r="B47" s="121">
        <f t="shared" si="3"/>
        <v>46016</v>
      </c>
      <c r="C47" s="130"/>
    </row>
    <row r="48" spans="2:3">
      <c r="B48" s="121">
        <f t="shared" si="3"/>
        <v>46017</v>
      </c>
      <c r="C48" s="130"/>
    </row>
    <row r="49" spans="2:6">
      <c r="B49" s="121">
        <f t="shared" si="3"/>
        <v>46018</v>
      </c>
      <c r="C49" s="130"/>
    </row>
    <row r="50" spans="2:6">
      <c r="B50" s="121">
        <f t="shared" si="3"/>
        <v>46019</v>
      </c>
      <c r="C50" s="130">
        <v>1900</v>
      </c>
    </row>
    <row r="51" spans="2:6">
      <c r="B51" s="121">
        <f t="shared" si="3"/>
        <v>46020</v>
      </c>
      <c r="C51" s="130"/>
    </row>
    <row r="52" spans="2:6">
      <c r="B52" s="121">
        <f t="shared" si="3"/>
        <v>46021</v>
      </c>
      <c r="C52" s="130"/>
    </row>
    <row r="53" spans="2:6">
      <c r="B53" s="121">
        <f t="shared" si="3"/>
        <v>46022</v>
      </c>
      <c r="C53" s="130"/>
    </row>
    <row r="54" spans="2:6" ht="16.5">
      <c r="B54" s="121">
        <f t="shared" si="3"/>
        <v>46023</v>
      </c>
      <c r="C54" s="130"/>
      <c r="F54" s="122"/>
    </row>
    <row r="55" spans="2:6">
      <c r="B55" s="116" t="s">
        <v>301</v>
      </c>
      <c r="C55" s="123">
        <f>SUM(C24:C54)</f>
        <v>14300</v>
      </c>
    </row>
    <row r="58" spans="2:6">
      <c r="B58" s="273" t="s">
        <v>312</v>
      </c>
      <c r="C58" s="273"/>
      <c r="D58" s="124">
        <f ca="1">IFERROR(IF(C21="",C55,SUM(INDIRECT(ADDRESS(MATCH(C21,B24:B54,0)+23,3)):C54)),0)</f>
        <v>14300</v>
      </c>
      <c r="E58" s="275" t="str">
        <f ca="1">"=      "&amp;IFERROR(DOLLAR(ROUND(D58/D59,2),2),"")</f>
        <v>=      $476.67</v>
      </c>
    </row>
    <row r="59" spans="2:6">
      <c r="B59" s="273"/>
      <c r="C59" s="273"/>
      <c r="D59" s="116">
        <f ca="1">IFERROR(IF(C21="",30,COUNTA(INDIRECT(ADDRESS(MATCH(C21,B24:B54,0)+23,2)):B54)),0)</f>
        <v>30</v>
      </c>
      <c r="E59" s="275"/>
    </row>
  </sheetData>
  <mergeCells count="5">
    <mergeCell ref="B4:C4"/>
    <mergeCell ref="B14:C15"/>
    <mergeCell ref="E14:E15"/>
    <mergeCell ref="B58:C59"/>
    <mergeCell ref="E58:E59"/>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0BAE1-58EA-48F3-B01E-00334CD25034}">
  <sheetPr codeName="Hoja14"/>
  <dimension ref="B1:J122"/>
  <sheetViews>
    <sheetView showGridLines="0" zoomScale="120" zoomScaleNormal="120" workbookViewId="0">
      <selection activeCell="C4" sqref="C4"/>
    </sheetView>
  </sheetViews>
  <sheetFormatPr baseColWidth="10" defaultRowHeight="15" outlineLevelRow="1"/>
  <cols>
    <col min="1" max="1" width="4" style="108" customWidth="1"/>
    <col min="2" max="2" width="24.42578125" style="108" customWidth="1"/>
    <col min="3" max="3" width="17.7109375" style="108" customWidth="1"/>
    <col min="4" max="4" width="11.42578125" style="108"/>
    <col min="5" max="5" width="25.140625" style="108" customWidth="1"/>
    <col min="6" max="6" width="18.5703125" style="108" customWidth="1"/>
    <col min="7" max="7" width="9.140625" style="108" customWidth="1"/>
    <col min="8" max="8" width="18.42578125" style="108" customWidth="1"/>
    <col min="9" max="9" width="34.28515625" style="108" customWidth="1"/>
    <col min="10" max="10" width="17.5703125" style="108" customWidth="1"/>
    <col min="11" max="16384" width="11.42578125" style="108"/>
  </cols>
  <sheetData>
    <row r="1" spans="2:10" ht="40.5" customHeight="1"/>
    <row r="3" spans="2:10">
      <c r="B3" s="153" t="s">
        <v>396</v>
      </c>
      <c r="E3" s="154" t="s">
        <v>397</v>
      </c>
      <c r="I3" s="155" t="s">
        <v>398</v>
      </c>
    </row>
    <row r="4" spans="2:10">
      <c r="B4" s="108" t="s">
        <v>399</v>
      </c>
      <c r="C4" s="156"/>
      <c r="E4" s="108" t="s">
        <v>400</v>
      </c>
      <c r="F4" s="156"/>
      <c r="G4" s="157"/>
      <c r="I4" s="108" t="s">
        <v>400</v>
      </c>
      <c r="J4" s="156"/>
    </row>
    <row r="5" spans="2:10">
      <c r="B5" s="108" t="s">
        <v>401</v>
      </c>
      <c r="C5" s="156"/>
      <c r="E5" s="108" t="s">
        <v>402</v>
      </c>
      <c r="F5" s="156"/>
      <c r="G5" s="157"/>
      <c r="I5" s="108" t="s">
        <v>402</v>
      </c>
      <c r="J5" s="156"/>
    </row>
    <row r="6" spans="2:10">
      <c r="B6" s="108" t="s">
        <v>403</v>
      </c>
      <c r="C6" s="156"/>
      <c r="E6" s="108" t="s">
        <v>404</v>
      </c>
      <c r="F6" s="156"/>
      <c r="G6" s="157"/>
      <c r="I6" s="108" t="s">
        <v>404</v>
      </c>
      <c r="J6" s="156"/>
    </row>
    <row r="7" spans="2:10">
      <c r="B7" s="108" t="s">
        <v>405</v>
      </c>
      <c r="C7" s="156" t="s">
        <v>406</v>
      </c>
      <c r="E7" s="108" t="s">
        <v>407</v>
      </c>
      <c r="F7" s="156"/>
      <c r="G7" s="157"/>
      <c r="I7" s="108" t="s">
        <v>407</v>
      </c>
      <c r="J7" s="156"/>
    </row>
    <row r="8" spans="2:10">
      <c r="B8" s="108" t="s">
        <v>408</v>
      </c>
      <c r="C8" s="158" t="s">
        <v>409</v>
      </c>
      <c r="E8" s="108" t="s">
        <v>410</v>
      </c>
      <c r="F8" s="158" t="s">
        <v>409</v>
      </c>
      <c r="G8" s="157"/>
      <c r="I8" s="108" t="s">
        <v>411</v>
      </c>
      <c r="J8" s="158" t="s">
        <v>409</v>
      </c>
    </row>
    <row r="9" spans="2:10">
      <c r="B9" s="108" t="s">
        <v>412</v>
      </c>
      <c r="C9" s="156" t="s">
        <v>413</v>
      </c>
      <c r="I9" s="108" t="s">
        <v>414</v>
      </c>
      <c r="J9" s="158" t="s">
        <v>409</v>
      </c>
    </row>
    <row r="10" spans="2:10">
      <c r="B10" s="108" t="s">
        <v>415</v>
      </c>
      <c r="C10" s="158" t="s">
        <v>409</v>
      </c>
      <c r="I10" s="108" t="s">
        <v>416</v>
      </c>
      <c r="J10" s="156" t="s">
        <v>417</v>
      </c>
    </row>
    <row r="11" spans="2:10">
      <c r="B11" s="108" t="s">
        <v>418</v>
      </c>
      <c r="C11" s="158" t="s">
        <v>409</v>
      </c>
    </row>
    <row r="12" spans="2:10">
      <c r="B12" s="108" t="s">
        <v>419</v>
      </c>
      <c r="C12" s="156"/>
    </row>
    <row r="13" spans="2:10">
      <c r="B13" s="108" t="s">
        <v>420</v>
      </c>
      <c r="C13" s="159" t="s">
        <v>421</v>
      </c>
    </row>
    <row r="14" spans="2:10">
      <c r="B14" s="108" t="s">
        <v>422</v>
      </c>
      <c r="C14" s="156" t="s">
        <v>423</v>
      </c>
    </row>
    <row r="16" spans="2:10">
      <c r="B16" s="320" t="s">
        <v>424</v>
      </c>
      <c r="C16" s="320"/>
      <c r="D16" s="320"/>
      <c r="E16" s="320"/>
      <c r="F16" s="320"/>
      <c r="G16" s="320"/>
      <c r="H16" s="320"/>
      <c r="I16" s="320"/>
      <c r="J16" s="320"/>
    </row>
    <row r="17" spans="2:10">
      <c r="B17" s="160" t="s">
        <v>425</v>
      </c>
      <c r="C17" s="161"/>
      <c r="E17" s="160" t="s">
        <v>426</v>
      </c>
      <c r="F17" s="151"/>
    </row>
    <row r="19" spans="2:10">
      <c r="B19" s="320" t="s">
        <v>427</v>
      </c>
      <c r="C19" s="320"/>
      <c r="D19" s="320"/>
      <c r="E19" s="320"/>
      <c r="F19" s="320"/>
      <c r="G19" s="320"/>
      <c r="H19" s="320"/>
      <c r="I19" s="320"/>
      <c r="J19" s="320"/>
    </row>
    <row r="20" spans="2:10">
      <c r="B20" s="162" t="s">
        <v>428</v>
      </c>
      <c r="C20" s="151">
        <v>84111505</v>
      </c>
      <c r="E20" s="162" t="s">
        <v>429</v>
      </c>
      <c r="F20" s="158" t="s">
        <v>409</v>
      </c>
      <c r="I20" s="162" t="s">
        <v>430</v>
      </c>
      <c r="J20" s="151" t="s">
        <v>431</v>
      </c>
    </row>
    <row r="21" spans="2:10">
      <c r="B21" s="163"/>
    </row>
    <row r="22" spans="2:10">
      <c r="B22" s="162" t="s">
        <v>432</v>
      </c>
      <c r="C22" s="158" t="s">
        <v>409</v>
      </c>
      <c r="E22" s="162" t="s">
        <v>433</v>
      </c>
      <c r="F22" s="151">
        <v>1</v>
      </c>
      <c r="I22" s="162" t="s">
        <v>434</v>
      </c>
      <c r="J22" s="151"/>
    </row>
    <row r="23" spans="2:10">
      <c r="B23" s="164"/>
      <c r="E23" s="162"/>
      <c r="I23" s="165"/>
    </row>
    <row r="24" spans="2:10">
      <c r="B24" s="162" t="s">
        <v>435</v>
      </c>
      <c r="C24" s="151" t="s">
        <v>436</v>
      </c>
      <c r="E24" s="162" t="s">
        <v>437</v>
      </c>
      <c r="F24" s="151"/>
      <c r="I24" s="162" t="s">
        <v>438</v>
      </c>
      <c r="J24" s="151"/>
    </row>
    <row r="25" spans="2:10">
      <c r="B25" s="163"/>
    </row>
    <row r="26" spans="2:10">
      <c r="B26" s="162" t="s">
        <v>439</v>
      </c>
      <c r="C26" s="156"/>
      <c r="E26" s="162" t="s">
        <v>440</v>
      </c>
      <c r="F26" s="158" t="s">
        <v>409</v>
      </c>
      <c r="I26" s="162" t="s">
        <v>441</v>
      </c>
      <c r="J26" s="158" t="s">
        <v>409</v>
      </c>
    </row>
    <row r="28" spans="2:10">
      <c r="B28" s="321" t="s">
        <v>442</v>
      </c>
      <c r="C28" s="321"/>
      <c r="D28" s="321"/>
      <c r="E28" s="321"/>
      <c r="F28" s="321"/>
      <c r="G28" s="321"/>
      <c r="H28" s="321"/>
      <c r="I28" s="321"/>
      <c r="J28" s="321"/>
    </row>
    <row r="29" spans="2:10" ht="219" customHeight="1">
      <c r="B29" s="289" t="s">
        <v>443</v>
      </c>
      <c r="C29" s="289"/>
      <c r="D29" s="261" t="s">
        <v>547</v>
      </c>
      <c r="E29" s="261"/>
      <c r="F29" s="261"/>
      <c r="G29" s="261"/>
      <c r="H29" s="261"/>
      <c r="I29" s="261"/>
      <c r="J29" s="261"/>
    </row>
    <row r="30" spans="2:10" ht="177" customHeight="1">
      <c r="B30" s="289" t="s">
        <v>444</v>
      </c>
      <c r="C30" s="289"/>
      <c r="D30" s="261" t="s">
        <v>548</v>
      </c>
      <c r="E30" s="290"/>
      <c r="F30" s="290"/>
      <c r="G30" s="290"/>
      <c r="H30" s="290"/>
      <c r="I30" s="290"/>
      <c r="J30" s="290"/>
    </row>
    <row r="31" spans="2:10" ht="111.75" customHeight="1">
      <c r="B31" s="289" t="s">
        <v>445</v>
      </c>
      <c r="C31" s="289"/>
      <c r="D31" s="318" t="s">
        <v>549</v>
      </c>
      <c r="E31" s="319"/>
      <c r="F31" s="319"/>
      <c r="G31" s="319"/>
      <c r="H31" s="319"/>
      <c r="I31" s="319"/>
      <c r="J31" s="319"/>
    </row>
    <row r="32" spans="2:10" ht="117.75" customHeight="1">
      <c r="B32" s="289" t="s">
        <v>446</v>
      </c>
      <c r="C32" s="289"/>
      <c r="D32" s="261" t="s">
        <v>550</v>
      </c>
      <c r="E32" s="290"/>
      <c r="F32" s="290"/>
      <c r="G32" s="290"/>
      <c r="H32" s="290"/>
      <c r="I32" s="290"/>
      <c r="J32" s="290"/>
    </row>
    <row r="33" spans="2:10" ht="149.25" customHeight="1">
      <c r="B33" s="289" t="s">
        <v>447</v>
      </c>
      <c r="C33" s="289"/>
      <c r="D33" s="261" t="s">
        <v>551</v>
      </c>
      <c r="E33" s="290"/>
      <c r="F33" s="290"/>
      <c r="G33" s="290"/>
      <c r="H33" s="290"/>
      <c r="I33" s="290"/>
      <c r="J33" s="290"/>
    </row>
    <row r="34" spans="2:10" ht="255.75" customHeight="1">
      <c r="B34" s="289" t="s">
        <v>448</v>
      </c>
      <c r="C34" s="289"/>
      <c r="D34" s="261" t="s">
        <v>552</v>
      </c>
      <c r="E34" s="290"/>
      <c r="F34" s="290"/>
      <c r="G34" s="290"/>
      <c r="H34" s="290"/>
      <c r="I34" s="290"/>
      <c r="J34" s="290"/>
    </row>
    <row r="35" spans="2:10" ht="142.5" customHeight="1">
      <c r="B35" s="312" t="s">
        <v>449</v>
      </c>
      <c r="C35" s="313"/>
      <c r="D35" s="261" t="s">
        <v>450</v>
      </c>
      <c r="E35" s="290"/>
      <c r="F35" s="290"/>
      <c r="G35" s="290"/>
      <c r="H35" s="290"/>
      <c r="I35" s="290"/>
      <c r="J35" s="290"/>
    </row>
    <row r="36" spans="2:10">
      <c r="B36" s="314"/>
      <c r="C36" s="315"/>
      <c r="D36" s="167"/>
      <c r="E36" s="168" t="s">
        <v>451</v>
      </c>
      <c r="F36" s="168" t="s">
        <v>452</v>
      </c>
      <c r="G36" s="116"/>
      <c r="H36" s="169" t="s">
        <v>453</v>
      </c>
      <c r="I36" s="170">
        <f ca="1">IFERROR(DATEDIF(E37,F37,"y"),"")</f>
        <v>0</v>
      </c>
      <c r="J36" s="171"/>
    </row>
    <row r="37" spans="2:10">
      <c r="B37" s="314"/>
      <c r="C37" s="315"/>
      <c r="D37" s="167"/>
      <c r="E37" s="172">
        <v>45901</v>
      </c>
      <c r="F37" s="172">
        <f ca="1">TODAY()</f>
        <v>46169</v>
      </c>
      <c r="G37" s="116"/>
      <c r="H37" s="169" t="s">
        <v>454</v>
      </c>
      <c r="I37" s="170">
        <f ca="1">IFERROR(DATEDIF(E37,F37,"YM"),"")</f>
        <v>8</v>
      </c>
      <c r="J37" s="171"/>
    </row>
    <row r="38" spans="2:10">
      <c r="B38" s="314"/>
      <c r="C38" s="315"/>
      <c r="D38" s="167"/>
      <c r="E38" s="116"/>
      <c r="F38" s="116"/>
      <c r="G38" s="116"/>
      <c r="H38" s="169" t="s">
        <v>261</v>
      </c>
      <c r="I38" s="170">
        <f ca="1">IFERROR(DATEDIF(E37,F37,"MD"),"")</f>
        <v>26</v>
      </c>
      <c r="J38" s="171"/>
    </row>
    <row r="39" spans="2:10">
      <c r="B39" s="314"/>
      <c r="C39" s="315"/>
      <c r="D39" s="167"/>
      <c r="E39" s="116"/>
      <c r="F39" s="116"/>
      <c r="G39" s="116"/>
      <c r="J39" s="171"/>
    </row>
    <row r="40" spans="2:10">
      <c r="B40" s="314"/>
      <c r="C40" s="315"/>
      <c r="D40" s="167"/>
      <c r="E40" s="116"/>
      <c r="F40" s="116"/>
      <c r="G40" s="116"/>
      <c r="H40" s="168" t="s">
        <v>449</v>
      </c>
      <c r="I40" s="168" t="s">
        <v>455</v>
      </c>
      <c r="J40" s="171"/>
    </row>
    <row r="41" spans="2:10">
      <c r="B41" s="314"/>
      <c r="C41" s="315"/>
      <c r="D41" s="167"/>
      <c r="E41" s="116"/>
      <c r="F41" s="116"/>
      <c r="G41" s="116"/>
      <c r="H41" s="173" t="s">
        <v>456</v>
      </c>
      <c r="I41" s="173" t="str">
        <f ca="1">IFERROR(IF(AND(I36=0,I37&gt;0,I38&gt;0),"P"&amp;I37&amp;"M"&amp;I38&amp;"D",IF(AND(I36&gt;0,I37=0,I38=0),"P"&amp;I36&amp;"Y",IF(AND(I36=0,I37&gt;0,I38=0),"P"&amp;I37&amp;"M",IF(AND(I36=0,I37=0,I38&gt;0),"P"&amp;I38&amp;"D",IF(AND(I36&gt;0,I37=0,I38&gt;0),"P"&amp;I36&amp;"Y"&amp;I38&amp;"D",IF(AND(I36&gt;0,I37&gt;0,I38&gt;0),"P"&amp;I36&amp;"Y"&amp;I37&amp;"M"&amp;I38&amp;"D",IF(AND(I36&gt;0,I37&gt;0,I38=0),"P"&amp;I36&amp;"Y"&amp;I37&amp;"M",""))))))),"")</f>
        <v>P8M26D</v>
      </c>
      <c r="J41" s="171"/>
    </row>
    <row r="42" spans="2:10">
      <c r="B42" s="316"/>
      <c r="C42" s="317"/>
      <c r="D42" s="174"/>
      <c r="E42" s="175"/>
      <c r="F42" s="175"/>
      <c r="G42" s="175"/>
      <c r="H42" s="173" t="s">
        <v>457</v>
      </c>
      <c r="I42" s="151" t="str">
        <f ca="1">IFERROR("P"&amp;INT(DATEDIF(E37,F37,"d")/7)&amp;"W","")</f>
        <v>P38W</v>
      </c>
      <c r="J42" s="176"/>
    </row>
    <row r="43" spans="2:10" ht="144" customHeight="1">
      <c r="B43" s="291" t="s">
        <v>458</v>
      </c>
      <c r="C43" s="292"/>
      <c r="D43" s="261" t="s">
        <v>558</v>
      </c>
      <c r="E43" s="290"/>
      <c r="F43" s="290"/>
      <c r="G43" s="290"/>
      <c r="H43" s="290"/>
      <c r="I43" s="290"/>
      <c r="J43" s="290"/>
    </row>
    <row r="44" spans="2:10" ht="15" customHeight="1" thickBot="1">
      <c r="B44" s="293"/>
      <c r="C44" s="294"/>
      <c r="D44" s="177"/>
      <c r="E44" s="178"/>
      <c r="F44" s="178"/>
      <c r="G44" s="178"/>
      <c r="H44" s="178"/>
      <c r="I44" s="178"/>
      <c r="J44" s="179"/>
    </row>
    <row r="45" spans="2:10" ht="15" customHeight="1">
      <c r="B45" s="293"/>
      <c r="C45" s="294"/>
      <c r="D45" s="180"/>
      <c r="E45" s="181" t="s">
        <v>459</v>
      </c>
      <c r="F45" s="303" t="s">
        <v>320</v>
      </c>
      <c r="G45" s="303"/>
      <c r="H45" s="303"/>
      <c r="I45" s="182" t="s">
        <v>460</v>
      </c>
      <c r="J45" s="183"/>
    </row>
    <row r="46" spans="2:10" ht="15" customHeight="1">
      <c r="B46" s="293"/>
      <c r="C46" s="294"/>
      <c r="D46" s="180"/>
      <c r="E46" s="184">
        <v>1</v>
      </c>
      <c r="F46" s="300" t="s">
        <v>461</v>
      </c>
      <c r="G46" s="300"/>
      <c r="H46" s="300"/>
      <c r="I46" s="173" t="s">
        <v>462</v>
      </c>
      <c r="J46" s="185"/>
    </row>
    <row r="47" spans="2:10" ht="52.5" hidden="1" customHeight="1" outlineLevel="1">
      <c r="B47" s="293"/>
      <c r="C47" s="294"/>
      <c r="D47" s="180"/>
      <c r="E47" s="308" t="s">
        <v>463</v>
      </c>
      <c r="F47" s="309"/>
      <c r="G47" s="309"/>
      <c r="H47" s="309"/>
      <c r="I47" s="310"/>
      <c r="J47" s="185"/>
    </row>
    <row r="48" spans="2:10" ht="15" customHeight="1" collapsed="1">
      <c r="B48" s="293"/>
      <c r="C48" s="294"/>
      <c r="D48" s="180"/>
      <c r="E48" s="184">
        <v>2</v>
      </c>
      <c r="F48" s="300" t="s">
        <v>464</v>
      </c>
      <c r="G48" s="300"/>
      <c r="H48" s="300"/>
      <c r="I48" s="173" t="s">
        <v>465</v>
      </c>
      <c r="J48" s="185"/>
    </row>
    <row r="49" spans="2:10" ht="39" hidden="1" customHeight="1" outlineLevel="1">
      <c r="B49" s="293"/>
      <c r="C49" s="294"/>
      <c r="D49" s="180"/>
      <c r="E49" s="308" t="s">
        <v>466</v>
      </c>
      <c r="F49" s="309"/>
      <c r="G49" s="309"/>
      <c r="H49" s="309"/>
      <c r="I49" s="310"/>
      <c r="J49" s="185"/>
    </row>
    <row r="50" spans="2:10" ht="15" customHeight="1" collapsed="1">
      <c r="B50" s="293"/>
      <c r="C50" s="294"/>
      <c r="D50" s="180"/>
      <c r="E50" s="184">
        <v>3</v>
      </c>
      <c r="F50" s="300" t="s">
        <v>467</v>
      </c>
      <c r="G50" s="300"/>
      <c r="H50" s="300"/>
      <c r="I50" s="173" t="s">
        <v>468</v>
      </c>
      <c r="J50" s="185"/>
    </row>
    <row r="51" spans="2:10" ht="101.25" hidden="1" customHeight="1" outlineLevel="1">
      <c r="B51" s="293"/>
      <c r="C51" s="294"/>
      <c r="D51" s="180"/>
      <c r="E51" s="308" t="s">
        <v>469</v>
      </c>
      <c r="F51" s="309"/>
      <c r="G51" s="309"/>
      <c r="H51" s="309"/>
      <c r="I51" s="310"/>
      <c r="J51" s="185"/>
    </row>
    <row r="52" spans="2:10" ht="15" customHeight="1" collapsed="1">
      <c r="B52" s="293"/>
      <c r="C52" s="294"/>
      <c r="D52" s="180"/>
      <c r="E52" s="184">
        <v>4</v>
      </c>
      <c r="F52" s="300" t="s">
        <v>470</v>
      </c>
      <c r="G52" s="300"/>
      <c r="H52" s="300"/>
      <c r="I52" s="173" t="s">
        <v>471</v>
      </c>
      <c r="J52" s="185"/>
    </row>
    <row r="53" spans="2:10" ht="112.5" hidden="1" customHeight="1" outlineLevel="1">
      <c r="B53" s="293"/>
      <c r="C53" s="294"/>
      <c r="D53" s="180"/>
      <c r="E53" s="304" t="s">
        <v>472</v>
      </c>
      <c r="F53" s="304"/>
      <c r="G53" s="304"/>
      <c r="H53" s="304"/>
      <c r="I53" s="304"/>
      <c r="J53" s="185"/>
    </row>
    <row r="54" spans="2:10" ht="15" customHeight="1" collapsed="1">
      <c r="B54" s="293"/>
      <c r="C54" s="294"/>
      <c r="D54" s="180"/>
      <c r="E54" s="184">
        <v>5</v>
      </c>
      <c r="F54" s="300" t="s">
        <v>473</v>
      </c>
      <c r="G54" s="300"/>
      <c r="H54" s="300"/>
      <c r="I54" s="173" t="s">
        <v>474</v>
      </c>
      <c r="J54" s="185"/>
    </row>
    <row r="55" spans="2:10" ht="243.75" hidden="1" customHeight="1" outlineLevel="1">
      <c r="B55" s="293"/>
      <c r="C55" s="294"/>
      <c r="D55" s="180"/>
      <c r="E55" s="308" t="s">
        <v>475</v>
      </c>
      <c r="F55" s="309"/>
      <c r="G55" s="309"/>
      <c r="H55" s="309"/>
      <c r="I55" s="310"/>
      <c r="J55" s="185"/>
    </row>
    <row r="56" spans="2:10" ht="15" customHeight="1" collapsed="1">
      <c r="B56" s="293"/>
      <c r="C56" s="294"/>
      <c r="D56" s="180"/>
      <c r="E56" s="184">
        <v>6</v>
      </c>
      <c r="F56" s="300" t="s">
        <v>476</v>
      </c>
      <c r="G56" s="300"/>
      <c r="H56" s="300"/>
      <c r="I56" s="173" t="s">
        <v>477</v>
      </c>
      <c r="J56" s="185"/>
    </row>
    <row r="57" spans="2:10" ht="210.75" hidden="1" customHeight="1" outlineLevel="1">
      <c r="B57" s="293"/>
      <c r="C57" s="294"/>
      <c r="D57" s="180"/>
      <c r="E57" s="308" t="s">
        <v>478</v>
      </c>
      <c r="F57" s="309"/>
      <c r="G57" s="309"/>
      <c r="H57" s="309"/>
      <c r="I57" s="310"/>
      <c r="J57" s="185"/>
    </row>
    <row r="58" spans="2:10" ht="15" customHeight="1" collapsed="1">
      <c r="B58" s="293"/>
      <c r="C58" s="294"/>
      <c r="D58" s="180"/>
      <c r="E58" s="184">
        <v>7</v>
      </c>
      <c r="F58" s="300" t="s">
        <v>479</v>
      </c>
      <c r="G58" s="300"/>
      <c r="H58" s="300"/>
      <c r="I58" s="173" t="s">
        <v>480</v>
      </c>
      <c r="J58" s="185"/>
    </row>
    <row r="59" spans="2:10" ht="215.25" hidden="1" customHeight="1" outlineLevel="1">
      <c r="B59" s="293"/>
      <c r="C59" s="294"/>
      <c r="D59" s="180"/>
      <c r="E59" s="304" t="s">
        <v>481</v>
      </c>
      <c r="F59" s="304"/>
      <c r="G59" s="304"/>
      <c r="H59" s="304"/>
      <c r="I59" s="304"/>
      <c r="J59" s="185"/>
    </row>
    <row r="60" spans="2:10" ht="15" customHeight="1" collapsed="1">
      <c r="B60" s="293"/>
      <c r="C60" s="294"/>
      <c r="D60" s="180"/>
      <c r="E60" s="186">
        <v>8</v>
      </c>
      <c r="F60" s="311" t="s">
        <v>482</v>
      </c>
      <c r="G60" s="311"/>
      <c r="H60" s="311"/>
      <c r="J60" s="185"/>
    </row>
    <row r="61" spans="2:10" ht="122.25" hidden="1" customHeight="1" outlineLevel="1">
      <c r="B61" s="293"/>
      <c r="C61" s="294"/>
      <c r="D61" s="180"/>
      <c r="E61" s="304" t="s">
        <v>483</v>
      </c>
      <c r="F61" s="304"/>
      <c r="G61" s="304"/>
      <c r="H61" s="304"/>
      <c r="I61" s="304"/>
      <c r="J61" s="185"/>
    </row>
    <row r="62" spans="2:10" ht="32.25" customHeight="1" collapsed="1">
      <c r="B62" s="293"/>
      <c r="C62" s="294"/>
      <c r="D62" s="180"/>
      <c r="E62" s="187">
        <v>9</v>
      </c>
      <c r="F62" s="305" t="s">
        <v>484</v>
      </c>
      <c r="G62" s="305"/>
      <c r="H62" s="305"/>
      <c r="J62" s="185"/>
    </row>
    <row r="63" spans="2:10" ht="15" customHeight="1">
      <c r="B63" s="293"/>
      <c r="C63" s="294"/>
      <c r="D63" s="180"/>
      <c r="E63" s="184">
        <v>10</v>
      </c>
      <c r="F63" s="300" t="s">
        <v>485</v>
      </c>
      <c r="G63" s="300"/>
      <c r="H63" s="300"/>
      <c r="J63" s="185"/>
    </row>
    <row r="64" spans="2:10" ht="15" customHeight="1">
      <c r="B64" s="295"/>
      <c r="C64" s="296"/>
      <c r="D64" s="180"/>
      <c r="E64" s="188">
        <v>99</v>
      </c>
      <c r="F64" s="306" t="s">
        <v>486</v>
      </c>
      <c r="G64" s="306"/>
      <c r="H64" s="306"/>
      <c r="J64" s="185"/>
    </row>
    <row r="65" spans="2:10" ht="207" customHeight="1">
      <c r="B65" s="276" t="s">
        <v>487</v>
      </c>
      <c r="C65" s="277"/>
      <c r="D65" s="278" t="s">
        <v>553</v>
      </c>
      <c r="E65" s="283"/>
      <c r="F65" s="283"/>
      <c r="G65" s="283"/>
      <c r="H65" s="283"/>
      <c r="I65" s="283"/>
      <c r="J65" s="307"/>
    </row>
    <row r="66" spans="2:10" ht="207.75" customHeight="1">
      <c r="B66" s="302" t="s">
        <v>488</v>
      </c>
      <c r="C66" s="302"/>
      <c r="D66" s="278" t="s">
        <v>554</v>
      </c>
      <c r="E66" s="279"/>
      <c r="F66" s="279"/>
      <c r="G66" s="279"/>
      <c r="H66" s="279"/>
      <c r="I66" s="279"/>
      <c r="J66" s="280"/>
    </row>
    <row r="67" spans="2:10">
      <c r="B67" s="302"/>
      <c r="C67" s="302"/>
      <c r="D67" s="189"/>
      <c r="E67" s="190"/>
      <c r="F67" s="190"/>
      <c r="G67" s="191"/>
      <c r="H67" s="191"/>
      <c r="I67" s="191"/>
      <c r="J67" s="192"/>
    </row>
    <row r="68" spans="2:10" ht="25.5" customHeight="1">
      <c r="B68" s="302"/>
      <c r="C68" s="302"/>
      <c r="D68" s="193"/>
      <c r="E68" s="182" t="s">
        <v>489</v>
      </c>
      <c r="F68" s="182" t="s">
        <v>320</v>
      </c>
      <c r="G68" s="303" t="s">
        <v>460</v>
      </c>
      <c r="H68" s="303"/>
      <c r="I68" s="116"/>
      <c r="J68" s="171"/>
    </row>
    <row r="69" spans="2:10">
      <c r="B69" s="302"/>
      <c r="C69" s="302"/>
      <c r="D69" s="193"/>
      <c r="E69" s="194">
        <v>1</v>
      </c>
      <c r="F69" s="195" t="s">
        <v>490</v>
      </c>
      <c r="G69" s="301" t="s">
        <v>491</v>
      </c>
      <c r="H69" s="301"/>
      <c r="I69" s="116"/>
      <c r="J69" s="171"/>
    </row>
    <row r="70" spans="2:10">
      <c r="B70" s="302"/>
      <c r="C70" s="302"/>
      <c r="D70" s="193"/>
      <c r="E70" s="194">
        <v>2</v>
      </c>
      <c r="F70" s="195" t="s">
        <v>492</v>
      </c>
      <c r="G70" s="301" t="s">
        <v>491</v>
      </c>
      <c r="H70" s="301"/>
      <c r="I70" s="116"/>
      <c r="J70" s="171"/>
    </row>
    <row r="71" spans="2:10">
      <c r="B71" s="302"/>
      <c r="C71" s="302"/>
      <c r="D71" s="193"/>
      <c r="E71" s="194">
        <v>3</v>
      </c>
      <c r="F71" s="195" t="s">
        <v>493</v>
      </c>
      <c r="G71" s="301" t="s">
        <v>491</v>
      </c>
      <c r="H71" s="301"/>
      <c r="I71" s="116"/>
      <c r="J71" s="171"/>
    </row>
    <row r="72" spans="2:10">
      <c r="B72" s="302"/>
      <c r="C72" s="302"/>
      <c r="D72" s="193"/>
      <c r="E72" s="194">
        <v>4</v>
      </c>
      <c r="F72" s="195" t="s">
        <v>494</v>
      </c>
      <c r="G72" s="301" t="s">
        <v>480</v>
      </c>
      <c r="H72" s="301"/>
      <c r="I72" s="116"/>
      <c r="J72" s="171"/>
    </row>
    <row r="73" spans="2:10">
      <c r="B73" s="302"/>
      <c r="C73" s="302"/>
      <c r="D73" s="193"/>
      <c r="E73" s="194">
        <v>5</v>
      </c>
      <c r="F73" s="195" t="s">
        <v>495</v>
      </c>
      <c r="G73" s="301" t="s">
        <v>496</v>
      </c>
      <c r="H73" s="301"/>
      <c r="I73" s="116"/>
      <c r="J73" s="171"/>
    </row>
    <row r="74" spans="2:10">
      <c r="B74" s="302"/>
      <c r="C74" s="302"/>
      <c r="D74" s="193"/>
      <c r="E74" s="194">
        <v>6</v>
      </c>
      <c r="F74" s="195" t="s">
        <v>497</v>
      </c>
      <c r="G74" s="301" t="s">
        <v>498</v>
      </c>
      <c r="H74" s="301"/>
      <c r="I74" s="116"/>
      <c r="J74" s="171"/>
    </row>
    <row r="75" spans="2:10">
      <c r="B75" s="302"/>
      <c r="C75" s="302"/>
      <c r="D75" s="193"/>
      <c r="E75" s="194">
        <v>7</v>
      </c>
      <c r="F75" s="195" t="s">
        <v>499</v>
      </c>
      <c r="G75" s="301" t="s">
        <v>500</v>
      </c>
      <c r="H75" s="301"/>
      <c r="I75" s="116"/>
      <c r="J75" s="171"/>
    </row>
    <row r="76" spans="2:10">
      <c r="B76" s="302"/>
      <c r="C76" s="302"/>
      <c r="D76" s="193"/>
      <c r="E76" s="194">
        <v>8</v>
      </c>
      <c r="F76" s="195" t="s">
        <v>501</v>
      </c>
      <c r="G76" s="301" t="s">
        <v>502</v>
      </c>
      <c r="H76" s="301"/>
      <c r="I76" s="116"/>
      <c r="J76" s="171"/>
    </row>
    <row r="77" spans="2:10">
      <c r="B77" s="302"/>
      <c r="C77" s="302"/>
      <c r="D77" s="193"/>
      <c r="E77" s="196">
        <v>99</v>
      </c>
      <c r="F77" s="197" t="s">
        <v>503</v>
      </c>
      <c r="G77" s="116"/>
      <c r="H77" s="116"/>
      <c r="I77" s="116"/>
      <c r="J77" s="171"/>
    </row>
    <row r="78" spans="2:10">
      <c r="B78" s="302"/>
      <c r="C78" s="302"/>
      <c r="D78" s="198"/>
      <c r="E78" s="175"/>
      <c r="F78" s="175"/>
      <c r="G78" s="175"/>
      <c r="H78" s="175"/>
      <c r="I78" s="175"/>
      <c r="J78" s="176"/>
    </row>
    <row r="79" spans="2:10" ht="315.75" hidden="1" customHeight="1" outlineLevel="1">
      <c r="B79" s="302"/>
      <c r="C79" s="302"/>
      <c r="D79" s="287" t="s">
        <v>504</v>
      </c>
      <c r="E79" s="288"/>
      <c r="F79" s="288"/>
      <c r="G79" s="288"/>
      <c r="H79" s="288"/>
      <c r="I79" s="288"/>
      <c r="J79" s="288"/>
    </row>
    <row r="80" spans="2:10" ht="15" customHeight="1" collapsed="1"/>
    <row r="81" spans="2:10" ht="109.5" customHeight="1">
      <c r="B81" s="302" t="s">
        <v>505</v>
      </c>
      <c r="C81" s="302"/>
      <c r="D81" s="283" t="s">
        <v>506</v>
      </c>
      <c r="E81" s="279"/>
      <c r="F81" s="279"/>
      <c r="G81" s="279"/>
      <c r="H81" s="279"/>
      <c r="I81" s="279"/>
      <c r="J81" s="280"/>
    </row>
    <row r="82" spans="2:10" ht="15" customHeight="1">
      <c r="B82" s="302"/>
      <c r="C82" s="302"/>
      <c r="D82" s="199"/>
      <c r="E82" s="200"/>
      <c r="F82" s="200"/>
      <c r="G82" s="200"/>
      <c r="H82" s="200"/>
      <c r="I82" s="200"/>
      <c r="J82" s="200"/>
    </row>
    <row r="83" spans="2:10" ht="15" hidden="1" customHeight="1" outlineLevel="1">
      <c r="B83" s="302"/>
      <c r="C83" s="302"/>
      <c r="D83" s="199"/>
      <c r="E83" s="181" t="s">
        <v>319</v>
      </c>
      <c r="F83" s="303" t="s">
        <v>320</v>
      </c>
      <c r="G83" s="303"/>
      <c r="H83" s="303"/>
      <c r="I83" s="200"/>
      <c r="J83" s="200"/>
    </row>
    <row r="84" spans="2:10" ht="15" hidden="1" customHeight="1" outlineLevel="1">
      <c r="B84" s="302"/>
      <c r="C84" s="302"/>
      <c r="D84" s="199"/>
      <c r="E84" s="194">
        <v>2</v>
      </c>
      <c r="F84" s="300" t="s">
        <v>507</v>
      </c>
      <c r="G84" s="300"/>
      <c r="H84" s="300"/>
      <c r="I84" s="261" t="s">
        <v>508</v>
      </c>
      <c r="J84" s="290"/>
    </row>
    <row r="85" spans="2:10" ht="15" hidden="1" customHeight="1" outlineLevel="1">
      <c r="B85" s="302"/>
      <c r="C85" s="302"/>
      <c r="D85" s="199"/>
      <c r="E85" s="194">
        <v>3</v>
      </c>
      <c r="F85" s="300" t="s">
        <v>509</v>
      </c>
      <c r="G85" s="300"/>
      <c r="H85" s="300"/>
      <c r="I85" s="290"/>
      <c r="J85" s="290"/>
    </row>
    <row r="86" spans="2:10" ht="15" hidden="1" customHeight="1" outlineLevel="1">
      <c r="B86" s="302"/>
      <c r="C86" s="302"/>
      <c r="D86" s="199"/>
      <c r="E86" s="194">
        <v>4</v>
      </c>
      <c r="F86" s="300" t="s">
        <v>510</v>
      </c>
      <c r="G86" s="300"/>
      <c r="H86" s="300"/>
      <c r="I86" s="290"/>
      <c r="J86" s="290"/>
    </row>
    <row r="87" spans="2:10" ht="33.75" hidden="1" customHeight="1" outlineLevel="1">
      <c r="B87" s="302"/>
      <c r="C87" s="302"/>
      <c r="D87" s="199"/>
      <c r="E87" s="194">
        <v>5</v>
      </c>
      <c r="F87" s="300" t="s">
        <v>323</v>
      </c>
      <c r="G87" s="300"/>
      <c r="H87" s="300"/>
      <c r="I87" s="298" t="s">
        <v>511</v>
      </c>
      <c r="J87" s="299"/>
    </row>
    <row r="88" spans="2:10" ht="33" hidden="1" customHeight="1" outlineLevel="1">
      <c r="B88" s="302"/>
      <c r="C88" s="302"/>
      <c r="D88" s="199"/>
      <c r="E88" s="194">
        <v>6</v>
      </c>
      <c r="F88" s="300" t="s">
        <v>324</v>
      </c>
      <c r="G88" s="300"/>
      <c r="H88" s="300"/>
      <c r="I88" s="299"/>
      <c r="J88" s="299"/>
    </row>
    <row r="89" spans="2:10" ht="15" hidden="1" customHeight="1" outlineLevel="1">
      <c r="B89" s="302"/>
      <c r="C89" s="302"/>
      <c r="D89" s="199"/>
      <c r="E89" s="194">
        <v>7</v>
      </c>
      <c r="F89" s="300" t="s">
        <v>325</v>
      </c>
      <c r="G89" s="300"/>
      <c r="H89" s="300"/>
      <c r="I89" s="299"/>
      <c r="J89" s="299"/>
    </row>
    <row r="90" spans="2:10" ht="15" hidden="1" customHeight="1" outlineLevel="1">
      <c r="B90" s="302"/>
      <c r="C90" s="302"/>
      <c r="D90" s="199"/>
      <c r="E90" s="194">
        <v>8</v>
      </c>
      <c r="F90" s="300" t="s">
        <v>327</v>
      </c>
      <c r="G90" s="300"/>
      <c r="H90" s="300"/>
      <c r="I90" s="299"/>
      <c r="J90" s="299"/>
    </row>
    <row r="91" spans="2:10" ht="15" hidden="1" customHeight="1" outlineLevel="1">
      <c r="B91" s="302"/>
      <c r="C91" s="302"/>
      <c r="D91" s="199"/>
      <c r="E91" s="194">
        <v>9</v>
      </c>
      <c r="F91" s="300" t="s">
        <v>328</v>
      </c>
      <c r="G91" s="300"/>
      <c r="H91" s="300"/>
      <c r="I91" s="299"/>
      <c r="J91" s="299"/>
    </row>
    <row r="92" spans="2:10" ht="15" hidden="1" customHeight="1" outlineLevel="1">
      <c r="B92" s="302"/>
      <c r="C92" s="302"/>
      <c r="D92" s="199"/>
      <c r="E92" s="194">
        <v>10</v>
      </c>
      <c r="F92" s="300" t="s">
        <v>329</v>
      </c>
      <c r="G92" s="300"/>
      <c r="H92" s="300"/>
      <c r="I92" s="299"/>
      <c r="J92" s="299"/>
    </row>
    <row r="93" spans="2:10" ht="15" hidden="1" customHeight="1" outlineLevel="1">
      <c r="B93" s="302"/>
      <c r="C93" s="302"/>
      <c r="D93" s="199"/>
      <c r="E93" s="194">
        <v>11</v>
      </c>
      <c r="F93" s="300" t="s">
        <v>512</v>
      </c>
      <c r="G93" s="300"/>
      <c r="H93" s="300"/>
      <c r="I93" s="299"/>
      <c r="J93" s="299"/>
    </row>
    <row r="94" spans="2:10" ht="15" hidden="1" customHeight="1" outlineLevel="1">
      <c r="B94" s="302"/>
      <c r="C94" s="302"/>
      <c r="D94" s="199"/>
      <c r="E94" s="194">
        <v>12</v>
      </c>
      <c r="F94" s="300" t="s">
        <v>513</v>
      </c>
      <c r="G94" s="300"/>
      <c r="H94" s="300"/>
      <c r="I94" s="299"/>
      <c r="J94" s="299"/>
    </row>
    <row r="95" spans="2:10" ht="15" hidden="1" customHeight="1" outlineLevel="1">
      <c r="B95" s="302"/>
      <c r="C95" s="302"/>
      <c r="D95" s="199"/>
      <c r="E95" s="194">
        <v>13</v>
      </c>
      <c r="F95" s="300" t="s">
        <v>514</v>
      </c>
      <c r="G95" s="300"/>
      <c r="H95" s="300"/>
      <c r="I95" s="299"/>
      <c r="J95" s="299"/>
    </row>
    <row r="96" spans="2:10" hidden="1" outlineLevel="1">
      <c r="B96" s="302"/>
      <c r="C96" s="302"/>
      <c r="E96" s="194">
        <v>99</v>
      </c>
      <c r="F96" s="300" t="s">
        <v>515</v>
      </c>
      <c r="G96" s="300"/>
      <c r="H96" s="300"/>
      <c r="I96" s="299"/>
      <c r="J96" s="299"/>
    </row>
    <row r="97" spans="2:10" hidden="1" outlineLevel="1">
      <c r="B97" s="302"/>
      <c r="C97" s="302"/>
      <c r="E97" s="201"/>
      <c r="F97" s="202"/>
      <c r="G97" s="202"/>
      <c r="H97" s="202"/>
      <c r="I97" s="203"/>
      <c r="J97" s="203"/>
    </row>
    <row r="98" spans="2:10" ht="217.5" hidden="1" customHeight="1" outlineLevel="1">
      <c r="B98" s="302"/>
      <c r="C98" s="302"/>
      <c r="E98" s="287" t="s">
        <v>516</v>
      </c>
      <c r="F98" s="288"/>
      <c r="G98" s="288"/>
      <c r="H98" s="288"/>
      <c r="I98" s="288"/>
      <c r="J98" s="288"/>
    </row>
    <row r="99" spans="2:10" ht="15" customHeight="1" collapsed="1"/>
    <row r="100" spans="2:10" ht="120" customHeight="1">
      <c r="B100" s="289" t="s">
        <v>517</v>
      </c>
      <c r="C100" s="289"/>
      <c r="D100" s="261" t="s">
        <v>518</v>
      </c>
      <c r="E100" s="290"/>
      <c r="F100" s="290"/>
      <c r="G100" s="290"/>
      <c r="H100" s="290"/>
      <c r="I100" s="290"/>
      <c r="J100" s="290"/>
    </row>
    <row r="101" spans="2:10" ht="99.75" customHeight="1">
      <c r="B101" s="289" t="s">
        <v>519</v>
      </c>
      <c r="C101" s="289"/>
      <c r="D101" s="261" t="s">
        <v>520</v>
      </c>
      <c r="E101" s="290"/>
      <c r="F101" s="290"/>
      <c r="G101" s="290"/>
      <c r="H101" s="290"/>
      <c r="I101" s="290"/>
      <c r="J101" s="290"/>
    </row>
    <row r="102" spans="2:10" ht="126.75" customHeight="1">
      <c r="B102" s="289" t="s">
        <v>521</v>
      </c>
      <c r="C102" s="289"/>
      <c r="D102" s="261" t="s">
        <v>522</v>
      </c>
      <c r="E102" s="290"/>
      <c r="F102" s="290"/>
      <c r="G102" s="290"/>
      <c r="H102" s="290"/>
      <c r="I102" s="290"/>
      <c r="J102" s="290"/>
    </row>
    <row r="103" spans="2:10" ht="182.25" customHeight="1">
      <c r="B103" s="289" t="s">
        <v>523</v>
      </c>
      <c r="C103" s="289"/>
      <c r="D103" s="261" t="s">
        <v>555</v>
      </c>
      <c r="E103" s="290"/>
      <c r="F103" s="290"/>
      <c r="G103" s="290"/>
      <c r="H103" s="290"/>
      <c r="I103" s="290"/>
      <c r="J103" s="290"/>
    </row>
    <row r="104" spans="2:10" ht="128.25" customHeight="1">
      <c r="B104" s="291" t="s">
        <v>524</v>
      </c>
      <c r="C104" s="292"/>
      <c r="D104" s="261" t="s">
        <v>525</v>
      </c>
      <c r="E104" s="290"/>
      <c r="F104" s="290"/>
      <c r="G104" s="290"/>
      <c r="H104" s="290"/>
      <c r="I104" s="290"/>
      <c r="J104" s="290"/>
    </row>
    <row r="105" spans="2:10" ht="15" customHeight="1" thickBot="1">
      <c r="B105" s="293"/>
      <c r="C105" s="294"/>
      <c r="D105" s="204"/>
      <c r="E105" s="190"/>
      <c r="F105" s="190"/>
      <c r="G105" s="190"/>
      <c r="H105" s="190"/>
      <c r="I105" s="190"/>
      <c r="J105" s="205"/>
    </row>
    <row r="106" spans="2:10" ht="15" customHeight="1">
      <c r="B106" s="293"/>
      <c r="C106" s="294"/>
      <c r="D106" s="167"/>
      <c r="E106" s="206" t="s">
        <v>526</v>
      </c>
      <c r="F106" s="207" t="s">
        <v>320</v>
      </c>
      <c r="J106" s="183"/>
    </row>
    <row r="107" spans="2:10" ht="15" customHeight="1">
      <c r="B107" s="293"/>
      <c r="C107" s="294"/>
      <c r="D107" s="167"/>
      <c r="E107" s="194">
        <v>1</v>
      </c>
      <c r="F107" s="195" t="s">
        <v>527</v>
      </c>
      <c r="G107" s="297" t="s">
        <v>528</v>
      </c>
      <c r="H107" s="297"/>
      <c r="I107" s="297"/>
      <c r="J107" s="297"/>
    </row>
    <row r="108" spans="2:10" ht="15" customHeight="1">
      <c r="B108" s="293"/>
      <c r="C108" s="294"/>
      <c r="D108" s="167"/>
      <c r="E108" s="194">
        <v>2</v>
      </c>
      <c r="F108" s="195" t="s">
        <v>529</v>
      </c>
      <c r="G108" s="297"/>
      <c r="H108" s="297"/>
      <c r="I108" s="297"/>
      <c r="J108" s="297"/>
    </row>
    <row r="109" spans="2:10" ht="15" customHeight="1">
      <c r="B109" s="293"/>
      <c r="C109" s="294"/>
      <c r="D109" s="167"/>
      <c r="E109" s="194">
        <v>3</v>
      </c>
      <c r="F109" s="195" t="s">
        <v>530</v>
      </c>
      <c r="G109" s="297"/>
      <c r="H109" s="297"/>
      <c r="I109" s="297"/>
      <c r="J109" s="297"/>
    </row>
    <row r="110" spans="2:10" ht="15" customHeight="1">
      <c r="B110" s="293"/>
      <c r="C110" s="294"/>
      <c r="D110" s="167"/>
      <c r="E110" s="194">
        <v>4</v>
      </c>
      <c r="F110" s="195" t="s">
        <v>531</v>
      </c>
      <c r="G110" s="297"/>
      <c r="H110" s="297"/>
      <c r="I110" s="297"/>
      <c r="J110" s="297"/>
    </row>
    <row r="111" spans="2:10" ht="15" customHeight="1">
      <c r="B111" s="293"/>
      <c r="C111" s="294"/>
      <c r="D111" s="167"/>
      <c r="E111" s="194">
        <v>5</v>
      </c>
      <c r="F111" s="195" t="s">
        <v>532</v>
      </c>
      <c r="G111" s="297"/>
      <c r="H111" s="297"/>
      <c r="I111" s="297"/>
      <c r="J111" s="297"/>
    </row>
    <row r="112" spans="2:10" ht="15" customHeight="1">
      <c r="B112" s="293"/>
      <c r="C112" s="294"/>
      <c r="D112" s="167"/>
      <c r="E112" s="194">
        <v>6</v>
      </c>
      <c r="F112" s="195" t="s">
        <v>533</v>
      </c>
      <c r="G112" s="297"/>
      <c r="H112" s="297"/>
      <c r="I112" s="297"/>
      <c r="J112" s="297"/>
    </row>
    <row r="113" spans="2:10" ht="15" customHeight="1">
      <c r="B113" s="293"/>
      <c r="C113" s="294"/>
      <c r="D113" s="167"/>
      <c r="E113" s="194">
        <v>7</v>
      </c>
      <c r="F113" s="195" t="s">
        <v>534</v>
      </c>
      <c r="G113" s="297"/>
      <c r="H113" s="297"/>
      <c r="I113" s="297"/>
      <c r="J113" s="297"/>
    </row>
    <row r="114" spans="2:10" ht="15" customHeight="1">
      <c r="B114" s="293"/>
      <c r="C114" s="294"/>
      <c r="D114" s="167"/>
      <c r="E114" s="194">
        <v>8</v>
      </c>
      <c r="F114" s="195" t="s">
        <v>535</v>
      </c>
      <c r="G114" s="297"/>
      <c r="H114" s="297"/>
      <c r="I114" s="297"/>
      <c r="J114" s="297"/>
    </row>
    <row r="115" spans="2:10" ht="15" customHeight="1">
      <c r="B115" s="293"/>
      <c r="C115" s="294"/>
      <c r="D115" s="167"/>
      <c r="E115" s="194">
        <v>9</v>
      </c>
      <c r="F115" s="195" t="s">
        <v>536</v>
      </c>
      <c r="G115" s="297"/>
      <c r="H115" s="297"/>
      <c r="I115" s="297"/>
      <c r="J115" s="297"/>
    </row>
    <row r="116" spans="2:10" ht="15" customHeight="1">
      <c r="B116" s="293"/>
      <c r="C116" s="294"/>
      <c r="D116" s="167"/>
      <c r="E116" s="208">
        <v>10</v>
      </c>
      <c r="F116" s="195" t="s">
        <v>537</v>
      </c>
      <c r="G116" s="297"/>
      <c r="H116" s="297"/>
      <c r="I116" s="297"/>
      <c r="J116" s="297"/>
    </row>
    <row r="117" spans="2:10" ht="15" customHeight="1">
      <c r="B117" s="295"/>
      <c r="C117" s="296"/>
      <c r="D117" s="174"/>
      <c r="E117" s="194">
        <v>99</v>
      </c>
      <c r="F117" s="195" t="s">
        <v>538</v>
      </c>
      <c r="G117" s="297"/>
      <c r="H117" s="297"/>
      <c r="I117" s="297"/>
      <c r="J117" s="297"/>
    </row>
    <row r="118" spans="2:10" ht="324" customHeight="1">
      <c r="B118" s="276" t="s">
        <v>539</v>
      </c>
      <c r="C118" s="277"/>
      <c r="D118" s="278" t="s">
        <v>540</v>
      </c>
      <c r="E118" s="279"/>
      <c r="F118" s="279"/>
      <c r="G118" s="279"/>
      <c r="H118" s="279"/>
      <c r="I118" s="279"/>
      <c r="J118" s="280"/>
    </row>
    <row r="119" spans="2:10" ht="74.25" customHeight="1">
      <c r="B119" s="276" t="s">
        <v>541</v>
      </c>
      <c r="C119" s="277"/>
      <c r="D119" s="278" t="s">
        <v>542</v>
      </c>
      <c r="E119" s="279"/>
      <c r="F119" s="279"/>
      <c r="G119" s="279"/>
      <c r="H119" s="279"/>
      <c r="I119" s="279"/>
      <c r="J119" s="280"/>
    </row>
    <row r="120" spans="2:10" ht="275.25" customHeight="1">
      <c r="B120" s="281" t="s">
        <v>543</v>
      </c>
      <c r="C120" s="282"/>
      <c r="D120" s="283" t="s">
        <v>556</v>
      </c>
      <c r="E120" s="279"/>
      <c r="F120" s="279"/>
      <c r="G120" s="279"/>
      <c r="H120" s="279"/>
      <c r="I120" s="279"/>
      <c r="J120" s="280"/>
    </row>
    <row r="121" spans="2:10" ht="292.5" customHeight="1">
      <c r="B121" s="281" t="s">
        <v>544</v>
      </c>
      <c r="C121" s="282"/>
      <c r="D121" s="284" t="s">
        <v>545</v>
      </c>
      <c r="E121" s="285"/>
      <c r="F121" s="285"/>
      <c r="G121" s="285"/>
      <c r="H121" s="285"/>
      <c r="I121" s="285"/>
      <c r="J121" s="286"/>
    </row>
    <row r="122" spans="2:10" ht="206.25" customHeight="1">
      <c r="B122" s="276" t="s">
        <v>546</v>
      </c>
      <c r="C122" s="277"/>
      <c r="D122" s="278" t="s">
        <v>557</v>
      </c>
      <c r="E122" s="279"/>
      <c r="F122" s="279"/>
      <c r="G122" s="279"/>
      <c r="H122" s="279"/>
      <c r="I122" s="279"/>
      <c r="J122" s="280"/>
    </row>
  </sheetData>
  <mergeCells count="93">
    <mergeCell ref="B30:C30"/>
    <mergeCell ref="D30:J30"/>
    <mergeCell ref="B16:J16"/>
    <mergeCell ref="B19:J19"/>
    <mergeCell ref="B28:J28"/>
    <mergeCell ref="B29:C29"/>
    <mergeCell ref="D29:J29"/>
    <mergeCell ref="B31:C31"/>
    <mergeCell ref="D31:J31"/>
    <mergeCell ref="B32:C32"/>
    <mergeCell ref="D32:J32"/>
    <mergeCell ref="B33:C33"/>
    <mergeCell ref="D33:J33"/>
    <mergeCell ref="F54:H54"/>
    <mergeCell ref="B34:C34"/>
    <mergeCell ref="D34:J34"/>
    <mergeCell ref="B35:C42"/>
    <mergeCell ref="D35:J35"/>
    <mergeCell ref="B43:C64"/>
    <mergeCell ref="D43:J43"/>
    <mergeCell ref="F45:H45"/>
    <mergeCell ref="F46:H46"/>
    <mergeCell ref="E47:I47"/>
    <mergeCell ref="F48:H48"/>
    <mergeCell ref="E49:I49"/>
    <mergeCell ref="F50:H50"/>
    <mergeCell ref="E51:I51"/>
    <mergeCell ref="F52:H52"/>
    <mergeCell ref="E53:I53"/>
    <mergeCell ref="B65:C65"/>
    <mergeCell ref="D65:J65"/>
    <mergeCell ref="E55:I55"/>
    <mergeCell ref="F56:H56"/>
    <mergeCell ref="E57:I57"/>
    <mergeCell ref="F58:H58"/>
    <mergeCell ref="E59:I59"/>
    <mergeCell ref="F60:H60"/>
    <mergeCell ref="G72:H72"/>
    <mergeCell ref="G73:H73"/>
    <mergeCell ref="G74:H74"/>
    <mergeCell ref="G75:H75"/>
    <mergeCell ref="E61:I61"/>
    <mergeCell ref="F62:H62"/>
    <mergeCell ref="F63:H63"/>
    <mergeCell ref="F64:H64"/>
    <mergeCell ref="G76:H76"/>
    <mergeCell ref="D79:J79"/>
    <mergeCell ref="B81:C98"/>
    <mergeCell ref="D81:J81"/>
    <mergeCell ref="F83:H83"/>
    <mergeCell ref="F84:H84"/>
    <mergeCell ref="I84:J86"/>
    <mergeCell ref="F85:H85"/>
    <mergeCell ref="F86:H86"/>
    <mergeCell ref="F87:H87"/>
    <mergeCell ref="B66:C79"/>
    <mergeCell ref="D66:J66"/>
    <mergeCell ref="G68:H68"/>
    <mergeCell ref="G69:H69"/>
    <mergeCell ref="G70:H70"/>
    <mergeCell ref="G71:H71"/>
    <mergeCell ref="I87:J96"/>
    <mergeCell ref="F88:H88"/>
    <mergeCell ref="F89:H89"/>
    <mergeCell ref="F90:H90"/>
    <mergeCell ref="F91:H91"/>
    <mergeCell ref="F92:H92"/>
    <mergeCell ref="F93:H93"/>
    <mergeCell ref="F94:H94"/>
    <mergeCell ref="F95:H95"/>
    <mergeCell ref="F96:H96"/>
    <mergeCell ref="B118:C118"/>
    <mergeCell ref="D118:J118"/>
    <mergeCell ref="E98:J98"/>
    <mergeCell ref="B100:C100"/>
    <mergeCell ref="D100:J100"/>
    <mergeCell ref="B101:C101"/>
    <mergeCell ref="D101:J101"/>
    <mergeCell ref="B102:C102"/>
    <mergeCell ref="D102:J102"/>
    <mergeCell ref="B103:C103"/>
    <mergeCell ref="D103:J103"/>
    <mergeCell ref="B104:C117"/>
    <mergeCell ref="D104:J104"/>
    <mergeCell ref="G107:J117"/>
    <mergeCell ref="B122:C122"/>
    <mergeCell ref="D122:J122"/>
    <mergeCell ref="B119:C119"/>
    <mergeCell ref="D119:J119"/>
    <mergeCell ref="B120:C120"/>
    <mergeCell ref="D120:J120"/>
    <mergeCell ref="B121:C121"/>
    <mergeCell ref="D121:J121"/>
  </mergeCells>
  <hyperlinks>
    <hyperlink ref="I3" location="FUNDAMENTO!A268" display="Nodo receptor" xr:uid="{F588CB89-EB16-49B9-BC39-B50DD7833656}"/>
  </hyperlinks>
  <pageMargins left="0.7" right="0.7" top="0.75" bottom="0.75" header="0.3" footer="0.3"/>
  <pageSetup paperSize="9" orientation="portrait" horizontalDpi="300" verticalDpi="300"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28CCB-9B97-42FE-A8D3-F264A22EAE55}">
  <sheetPr codeName="Hoja15"/>
  <dimension ref="B2:G50"/>
  <sheetViews>
    <sheetView showGridLines="0" workbookViewId="0">
      <pane ySplit="3" topLeftCell="A4" activePane="bottomLeft" state="frozen"/>
      <selection activeCell="C5" sqref="C5"/>
      <selection pane="bottomLeft" activeCell="B4" sqref="B4"/>
    </sheetView>
  </sheetViews>
  <sheetFormatPr baseColWidth="10" defaultColWidth="9.140625" defaultRowHeight="15"/>
  <cols>
    <col min="1" max="1" width="9.140625" style="108"/>
    <col min="2" max="2" width="12" style="108" customWidth="1"/>
    <col min="3" max="3" width="42" style="108" customWidth="1"/>
    <col min="4" max="5" width="38" style="108" customWidth="1"/>
    <col min="6" max="6" width="32" style="108" customWidth="1"/>
    <col min="7" max="7" width="36" style="108" customWidth="1"/>
    <col min="8" max="16384" width="9.140625" style="108"/>
  </cols>
  <sheetData>
    <row r="2" spans="2:7" ht="31.5" customHeight="1"/>
    <row r="3" spans="2:7" ht="32.1" customHeight="1">
      <c r="B3" s="210" t="s">
        <v>138</v>
      </c>
      <c r="C3" s="210" t="s">
        <v>559</v>
      </c>
      <c r="D3" s="210" t="s">
        <v>560</v>
      </c>
      <c r="E3" s="210" t="s">
        <v>561</v>
      </c>
      <c r="F3" s="210" t="s">
        <v>562</v>
      </c>
      <c r="G3" s="210" t="s">
        <v>563</v>
      </c>
    </row>
    <row r="4" spans="2:7" ht="48" customHeight="1">
      <c r="B4" s="211" t="s">
        <v>564</v>
      </c>
      <c r="C4" s="211" t="s">
        <v>565</v>
      </c>
      <c r="D4" s="211" t="s">
        <v>566</v>
      </c>
      <c r="E4" s="211" t="s">
        <v>567</v>
      </c>
      <c r="F4" s="211" t="s">
        <v>568</v>
      </c>
      <c r="G4" s="211" t="s">
        <v>569</v>
      </c>
    </row>
    <row r="5" spans="2:7" ht="48" customHeight="1">
      <c r="B5" s="211" t="s">
        <v>570</v>
      </c>
      <c r="C5" s="211" t="s">
        <v>140</v>
      </c>
      <c r="D5" s="211" t="s">
        <v>571</v>
      </c>
      <c r="E5" s="211" t="s">
        <v>572</v>
      </c>
      <c r="F5" s="211" t="s">
        <v>573</v>
      </c>
      <c r="G5" s="211" t="s">
        <v>574</v>
      </c>
    </row>
    <row r="6" spans="2:7" ht="48" customHeight="1">
      <c r="B6" s="211" t="s">
        <v>575</v>
      </c>
      <c r="C6" s="211" t="s">
        <v>141</v>
      </c>
      <c r="D6" s="211" t="s">
        <v>576</v>
      </c>
      <c r="E6" s="211" t="s">
        <v>577</v>
      </c>
      <c r="F6" s="211" t="s">
        <v>573</v>
      </c>
      <c r="G6" s="211" t="s">
        <v>578</v>
      </c>
    </row>
    <row r="7" spans="2:7" ht="48" customHeight="1">
      <c r="B7" s="211" t="s">
        <v>579</v>
      </c>
      <c r="C7" s="211" t="s">
        <v>142</v>
      </c>
      <c r="D7" s="211" t="s">
        <v>580</v>
      </c>
      <c r="E7" s="211" t="s">
        <v>581</v>
      </c>
      <c r="F7" s="211" t="s">
        <v>582</v>
      </c>
      <c r="G7" s="211" t="s">
        <v>583</v>
      </c>
    </row>
    <row r="8" spans="2:7" ht="48" customHeight="1">
      <c r="B8" s="211" t="s">
        <v>584</v>
      </c>
      <c r="C8" s="211" t="s">
        <v>143</v>
      </c>
      <c r="D8" s="211" t="s">
        <v>585</v>
      </c>
      <c r="E8" s="211" t="s">
        <v>586</v>
      </c>
      <c r="F8" s="211" t="s">
        <v>587</v>
      </c>
      <c r="G8" s="211" t="s">
        <v>588</v>
      </c>
    </row>
    <row r="9" spans="2:7" ht="48" customHeight="1">
      <c r="B9" s="211" t="s">
        <v>589</v>
      </c>
      <c r="C9" s="211" t="s">
        <v>144</v>
      </c>
      <c r="D9" s="211" t="s">
        <v>590</v>
      </c>
      <c r="E9" s="211" t="s">
        <v>591</v>
      </c>
      <c r="F9" s="211" t="s">
        <v>592</v>
      </c>
      <c r="G9" s="211" t="s">
        <v>593</v>
      </c>
    </row>
    <row r="10" spans="2:7" ht="48" customHeight="1">
      <c r="B10" s="211" t="s">
        <v>594</v>
      </c>
      <c r="C10" s="211" t="s">
        <v>145</v>
      </c>
      <c r="D10" s="211" t="s">
        <v>595</v>
      </c>
      <c r="E10" s="211" t="s">
        <v>596</v>
      </c>
      <c r="F10" s="211" t="s">
        <v>322</v>
      </c>
      <c r="G10" s="211" t="s">
        <v>597</v>
      </c>
    </row>
    <row r="11" spans="2:7" ht="48" customHeight="1">
      <c r="B11" s="211" t="s">
        <v>598</v>
      </c>
      <c r="C11" s="211" t="s">
        <v>146</v>
      </c>
      <c r="D11" s="211" t="s">
        <v>599</v>
      </c>
      <c r="E11" s="211" t="s">
        <v>600</v>
      </c>
      <c r="F11" s="211" t="s">
        <v>601</v>
      </c>
      <c r="G11" s="211" t="s">
        <v>602</v>
      </c>
    </row>
    <row r="12" spans="2:7" ht="48" customHeight="1">
      <c r="B12" s="211" t="s">
        <v>603</v>
      </c>
      <c r="C12" s="211" t="s">
        <v>147</v>
      </c>
      <c r="D12" s="211" t="s">
        <v>604</v>
      </c>
      <c r="E12" s="211" t="s">
        <v>605</v>
      </c>
      <c r="F12" s="211" t="s">
        <v>606</v>
      </c>
      <c r="G12" s="211" t="s">
        <v>607</v>
      </c>
    </row>
    <row r="13" spans="2:7" ht="48" customHeight="1">
      <c r="B13" s="211" t="s">
        <v>608</v>
      </c>
      <c r="C13" s="211" t="s">
        <v>148</v>
      </c>
      <c r="D13" s="211" t="s">
        <v>604</v>
      </c>
      <c r="E13" s="211" t="s">
        <v>609</v>
      </c>
      <c r="F13" s="211" t="s">
        <v>610</v>
      </c>
      <c r="G13" s="211" t="s">
        <v>611</v>
      </c>
    </row>
    <row r="14" spans="2:7" ht="48" customHeight="1">
      <c r="B14" s="211" t="s">
        <v>612</v>
      </c>
      <c r="C14" s="211" t="s">
        <v>149</v>
      </c>
      <c r="D14" s="211" t="s">
        <v>613</v>
      </c>
      <c r="E14" s="211" t="s">
        <v>614</v>
      </c>
      <c r="F14" s="211" t="s">
        <v>615</v>
      </c>
      <c r="G14" s="211" t="s">
        <v>616</v>
      </c>
    </row>
    <row r="15" spans="2:7" ht="48" customHeight="1">
      <c r="B15" s="211" t="s">
        <v>617</v>
      </c>
      <c r="C15" s="211" t="s">
        <v>150</v>
      </c>
      <c r="D15" s="211" t="s">
        <v>618</v>
      </c>
      <c r="E15" s="211" t="s">
        <v>619</v>
      </c>
      <c r="F15" s="211" t="s">
        <v>322</v>
      </c>
      <c r="G15" s="211" t="s">
        <v>620</v>
      </c>
    </row>
    <row r="16" spans="2:7" ht="48" customHeight="1">
      <c r="B16" s="211" t="s">
        <v>621</v>
      </c>
      <c r="C16" s="211" t="s">
        <v>151</v>
      </c>
      <c r="D16" s="211" t="s">
        <v>622</v>
      </c>
      <c r="E16" s="211" t="s">
        <v>623</v>
      </c>
      <c r="F16" s="211" t="s">
        <v>624</v>
      </c>
      <c r="G16" s="211" t="s">
        <v>625</v>
      </c>
    </row>
    <row r="17" spans="2:7" ht="48" customHeight="1">
      <c r="B17" s="211" t="s">
        <v>626</v>
      </c>
      <c r="C17" s="211" t="s">
        <v>152</v>
      </c>
      <c r="D17" s="211" t="s">
        <v>627</v>
      </c>
      <c r="E17" s="211" t="s">
        <v>628</v>
      </c>
      <c r="F17" s="211" t="s">
        <v>573</v>
      </c>
      <c r="G17" s="211" t="s">
        <v>629</v>
      </c>
    </row>
    <row r="18" spans="2:7" ht="48" customHeight="1">
      <c r="B18" s="211" t="s">
        <v>630</v>
      </c>
      <c r="C18" s="211" t="s">
        <v>153</v>
      </c>
      <c r="D18" s="211" t="s">
        <v>631</v>
      </c>
      <c r="E18" s="211" t="s">
        <v>632</v>
      </c>
      <c r="F18" s="211" t="s">
        <v>633</v>
      </c>
      <c r="G18" s="211" t="s">
        <v>634</v>
      </c>
    </row>
    <row r="19" spans="2:7" ht="48" customHeight="1">
      <c r="B19" s="211" t="s">
        <v>635</v>
      </c>
      <c r="C19" s="211" t="s">
        <v>132</v>
      </c>
      <c r="D19" s="211" t="s">
        <v>636</v>
      </c>
      <c r="E19" s="211" t="s">
        <v>637</v>
      </c>
      <c r="F19" s="211" t="s">
        <v>633</v>
      </c>
      <c r="G19" s="211" t="s">
        <v>638</v>
      </c>
    </row>
    <row r="20" spans="2:7" ht="48" customHeight="1">
      <c r="B20" s="211" t="s">
        <v>639</v>
      </c>
      <c r="C20" s="211" t="s">
        <v>154</v>
      </c>
      <c r="D20" s="211" t="s">
        <v>640</v>
      </c>
      <c r="E20" s="211" t="s">
        <v>641</v>
      </c>
      <c r="F20" s="211" t="s">
        <v>642</v>
      </c>
      <c r="G20" s="211" t="s">
        <v>643</v>
      </c>
    </row>
    <row r="21" spans="2:7" ht="48" customHeight="1">
      <c r="B21" s="211" t="s">
        <v>644</v>
      </c>
      <c r="C21" s="211" t="s">
        <v>155</v>
      </c>
      <c r="D21" s="211" t="s">
        <v>645</v>
      </c>
      <c r="E21" s="211" t="s">
        <v>646</v>
      </c>
      <c r="F21" s="211" t="s">
        <v>633</v>
      </c>
      <c r="G21" s="211" t="s">
        <v>647</v>
      </c>
    </row>
    <row r="22" spans="2:7" ht="48" customHeight="1">
      <c r="B22" s="211" t="s">
        <v>648</v>
      </c>
      <c r="C22" s="211" t="s">
        <v>156</v>
      </c>
      <c r="D22" s="211" t="s">
        <v>649</v>
      </c>
      <c r="E22" s="211" t="s">
        <v>650</v>
      </c>
      <c r="F22" s="211" t="s">
        <v>651</v>
      </c>
      <c r="G22" s="211" t="s">
        <v>652</v>
      </c>
    </row>
    <row r="23" spans="2:7" ht="48" customHeight="1">
      <c r="B23" s="211" t="s">
        <v>653</v>
      </c>
      <c r="C23" s="211" t="s">
        <v>157</v>
      </c>
      <c r="D23" s="211" t="s">
        <v>654</v>
      </c>
      <c r="E23" s="211" t="s">
        <v>655</v>
      </c>
      <c r="F23" s="211" t="s">
        <v>656</v>
      </c>
      <c r="G23" s="211" t="s">
        <v>657</v>
      </c>
    </row>
    <row r="24" spans="2:7" ht="48" customHeight="1">
      <c r="B24" s="211" t="s">
        <v>658</v>
      </c>
      <c r="C24" s="211" t="s">
        <v>158</v>
      </c>
      <c r="D24" s="211" t="s">
        <v>604</v>
      </c>
      <c r="E24" s="211" t="s">
        <v>659</v>
      </c>
      <c r="F24" s="211" t="s">
        <v>660</v>
      </c>
      <c r="G24" s="211" t="s">
        <v>661</v>
      </c>
    </row>
    <row r="25" spans="2:7" ht="48" customHeight="1">
      <c r="B25" s="211" t="s">
        <v>662</v>
      </c>
      <c r="C25" s="211" t="s">
        <v>159</v>
      </c>
      <c r="D25" s="211" t="s">
        <v>663</v>
      </c>
      <c r="E25" s="211" t="s">
        <v>664</v>
      </c>
      <c r="F25" s="211" t="s">
        <v>322</v>
      </c>
      <c r="G25" s="211" t="s">
        <v>665</v>
      </c>
    </row>
    <row r="26" spans="2:7" ht="48" customHeight="1">
      <c r="B26" s="211" t="s">
        <v>666</v>
      </c>
      <c r="C26" s="211" t="s">
        <v>160</v>
      </c>
      <c r="D26" s="211" t="s">
        <v>667</v>
      </c>
      <c r="E26" s="211" t="s">
        <v>600</v>
      </c>
      <c r="F26" s="211" t="s">
        <v>668</v>
      </c>
      <c r="G26" s="211" t="s">
        <v>669</v>
      </c>
    </row>
    <row r="27" spans="2:7" ht="48" customHeight="1">
      <c r="B27" s="211" t="s">
        <v>670</v>
      </c>
      <c r="C27" s="211" t="s">
        <v>161</v>
      </c>
      <c r="D27" s="211" t="s">
        <v>671</v>
      </c>
      <c r="E27" s="211" t="s">
        <v>672</v>
      </c>
      <c r="F27" s="211" t="s">
        <v>673</v>
      </c>
      <c r="G27" s="211" t="s">
        <v>674</v>
      </c>
    </row>
    <row r="28" spans="2:7" ht="48" customHeight="1">
      <c r="B28" s="211" t="s">
        <v>675</v>
      </c>
      <c r="C28" s="211" t="s">
        <v>162</v>
      </c>
      <c r="D28" s="211" t="s">
        <v>676</v>
      </c>
      <c r="E28" s="211" t="s">
        <v>672</v>
      </c>
      <c r="F28" s="211" t="s">
        <v>677</v>
      </c>
      <c r="G28" s="211" t="s">
        <v>678</v>
      </c>
    </row>
    <row r="29" spans="2:7" ht="48" customHeight="1">
      <c r="B29" s="211" t="s">
        <v>679</v>
      </c>
      <c r="C29" s="211" t="s">
        <v>163</v>
      </c>
      <c r="D29" s="211" t="s">
        <v>680</v>
      </c>
      <c r="E29" s="211" t="s">
        <v>681</v>
      </c>
      <c r="F29" s="211" t="s">
        <v>682</v>
      </c>
      <c r="G29" s="211" t="s">
        <v>683</v>
      </c>
    </row>
    <row r="30" spans="2:7" ht="48" customHeight="1">
      <c r="B30" s="211" t="s">
        <v>684</v>
      </c>
      <c r="C30" s="211" t="s">
        <v>164</v>
      </c>
      <c r="D30" s="211" t="s">
        <v>685</v>
      </c>
      <c r="E30" s="211" t="s">
        <v>686</v>
      </c>
      <c r="F30" s="211" t="s">
        <v>687</v>
      </c>
      <c r="G30" s="211" t="s">
        <v>688</v>
      </c>
    </row>
    <row r="31" spans="2:7" ht="48" customHeight="1">
      <c r="B31" s="211" t="s">
        <v>689</v>
      </c>
      <c r="C31" s="211" t="s">
        <v>165</v>
      </c>
      <c r="D31" s="211" t="s">
        <v>680</v>
      </c>
      <c r="E31" s="211" t="s">
        <v>690</v>
      </c>
      <c r="F31" s="211" t="s">
        <v>691</v>
      </c>
      <c r="G31" s="211" t="s">
        <v>692</v>
      </c>
    </row>
    <row r="32" spans="2:7" ht="48" customHeight="1">
      <c r="B32" s="211" t="s">
        <v>693</v>
      </c>
      <c r="C32" s="211" t="s">
        <v>166</v>
      </c>
      <c r="D32" s="211" t="s">
        <v>694</v>
      </c>
      <c r="E32" s="211" t="s">
        <v>695</v>
      </c>
      <c r="F32" s="211" t="s">
        <v>677</v>
      </c>
      <c r="G32" s="211" t="s">
        <v>696</v>
      </c>
    </row>
    <row r="33" spans="2:7" ht="48" customHeight="1">
      <c r="B33" s="211" t="s">
        <v>697</v>
      </c>
      <c r="C33" s="211" t="s">
        <v>167</v>
      </c>
      <c r="D33" s="211" t="s">
        <v>698</v>
      </c>
      <c r="E33" s="211" t="s">
        <v>699</v>
      </c>
      <c r="F33" s="211" t="s">
        <v>700</v>
      </c>
      <c r="G33" s="211" t="s">
        <v>701</v>
      </c>
    </row>
    <row r="34" spans="2:7" ht="48" customHeight="1">
      <c r="B34" s="211" t="s">
        <v>702</v>
      </c>
      <c r="C34" s="211" t="s">
        <v>168</v>
      </c>
      <c r="D34" s="211" t="s">
        <v>680</v>
      </c>
      <c r="E34" s="211" t="s">
        <v>614</v>
      </c>
      <c r="F34" s="211" t="s">
        <v>703</v>
      </c>
      <c r="G34" s="211" t="s">
        <v>704</v>
      </c>
    </row>
    <row r="35" spans="2:7" ht="48" customHeight="1">
      <c r="B35" s="211" t="s">
        <v>705</v>
      </c>
      <c r="C35" s="211" t="s">
        <v>169</v>
      </c>
      <c r="D35" s="211" t="s">
        <v>694</v>
      </c>
      <c r="E35" s="211" t="s">
        <v>706</v>
      </c>
      <c r="F35" s="211" t="s">
        <v>610</v>
      </c>
      <c r="G35" s="211" t="s">
        <v>707</v>
      </c>
    </row>
    <row r="36" spans="2:7" ht="48" customHeight="1">
      <c r="B36" s="211" t="s">
        <v>708</v>
      </c>
      <c r="C36" s="211" t="s">
        <v>170</v>
      </c>
      <c r="D36" s="211" t="s">
        <v>709</v>
      </c>
      <c r="E36" s="211" t="s">
        <v>710</v>
      </c>
      <c r="F36" s="211" t="s">
        <v>711</v>
      </c>
      <c r="G36" s="211" t="s">
        <v>712</v>
      </c>
    </row>
    <row r="37" spans="2:7" ht="48" customHeight="1">
      <c r="B37" s="211" t="s">
        <v>713</v>
      </c>
      <c r="C37" s="211" t="s">
        <v>171</v>
      </c>
      <c r="D37" s="211" t="s">
        <v>714</v>
      </c>
      <c r="E37" s="211" t="s">
        <v>715</v>
      </c>
      <c r="F37" s="211" t="s">
        <v>633</v>
      </c>
      <c r="G37" s="211" t="s">
        <v>716</v>
      </c>
    </row>
    <row r="38" spans="2:7" ht="48" customHeight="1">
      <c r="B38" s="211" t="s">
        <v>717</v>
      </c>
      <c r="C38" s="211" t="s">
        <v>172</v>
      </c>
      <c r="D38" s="211" t="s">
        <v>714</v>
      </c>
      <c r="E38" s="211" t="s">
        <v>715</v>
      </c>
      <c r="F38" s="211" t="s">
        <v>633</v>
      </c>
      <c r="G38" s="211" t="s">
        <v>718</v>
      </c>
    </row>
    <row r="39" spans="2:7" ht="48" customHeight="1">
      <c r="B39" s="211" t="s">
        <v>719</v>
      </c>
      <c r="C39" s="211" t="s">
        <v>173</v>
      </c>
      <c r="D39" s="211" t="s">
        <v>720</v>
      </c>
      <c r="E39" s="211" t="s">
        <v>600</v>
      </c>
      <c r="F39" s="211" t="s">
        <v>721</v>
      </c>
      <c r="G39" s="211" t="s">
        <v>722</v>
      </c>
    </row>
    <row r="40" spans="2:7" ht="48" customHeight="1">
      <c r="B40" s="211" t="s">
        <v>174</v>
      </c>
      <c r="C40" s="211" t="s">
        <v>175</v>
      </c>
      <c r="D40" s="211" t="s">
        <v>723</v>
      </c>
      <c r="E40" s="211" t="s">
        <v>724</v>
      </c>
      <c r="F40" s="211" t="s">
        <v>725</v>
      </c>
      <c r="G40" s="211" t="s">
        <v>726</v>
      </c>
    </row>
    <row r="41" spans="2:7" ht="48" customHeight="1">
      <c r="B41" s="211" t="s">
        <v>176</v>
      </c>
      <c r="C41" s="211" t="s">
        <v>727</v>
      </c>
      <c r="D41" s="211" t="s">
        <v>728</v>
      </c>
      <c r="E41" s="211" t="s">
        <v>729</v>
      </c>
      <c r="F41" s="211" t="s">
        <v>730</v>
      </c>
      <c r="G41" s="211" t="s">
        <v>731</v>
      </c>
    </row>
    <row r="42" spans="2:7" ht="48" customHeight="1">
      <c r="B42" s="211" t="s">
        <v>732</v>
      </c>
      <c r="C42" s="211" t="s">
        <v>177</v>
      </c>
      <c r="D42" s="211" t="s">
        <v>733</v>
      </c>
      <c r="E42" s="211" t="s">
        <v>734</v>
      </c>
      <c r="F42" s="211" t="s">
        <v>735</v>
      </c>
      <c r="G42" s="211" t="s">
        <v>736</v>
      </c>
    </row>
    <row r="43" spans="2:7" ht="48" customHeight="1">
      <c r="B43" s="211" t="s">
        <v>737</v>
      </c>
      <c r="C43" s="211" t="s">
        <v>178</v>
      </c>
      <c r="D43" s="211" t="s">
        <v>599</v>
      </c>
      <c r="E43" s="211" t="s">
        <v>600</v>
      </c>
      <c r="F43" s="211" t="s">
        <v>738</v>
      </c>
      <c r="G43" s="211" t="s">
        <v>739</v>
      </c>
    </row>
    <row r="44" spans="2:7" ht="48" customHeight="1">
      <c r="B44" s="211" t="s">
        <v>740</v>
      </c>
      <c r="C44" s="211" t="s">
        <v>179</v>
      </c>
      <c r="D44" s="211" t="s">
        <v>741</v>
      </c>
      <c r="E44" s="211" t="s">
        <v>742</v>
      </c>
      <c r="F44" s="211" t="s">
        <v>743</v>
      </c>
      <c r="G44" s="211" t="s">
        <v>744</v>
      </c>
    </row>
    <row r="45" spans="2:7" ht="48" customHeight="1">
      <c r="B45" s="211" t="s">
        <v>745</v>
      </c>
      <c r="C45" s="211" t="s">
        <v>180</v>
      </c>
      <c r="D45" s="211" t="s">
        <v>746</v>
      </c>
      <c r="E45" s="211" t="s">
        <v>747</v>
      </c>
      <c r="F45" s="211" t="s">
        <v>748</v>
      </c>
      <c r="G45" s="211" t="s">
        <v>749</v>
      </c>
    </row>
    <row r="46" spans="2:7" ht="48" customHeight="1">
      <c r="B46" s="211" t="s">
        <v>750</v>
      </c>
      <c r="C46" s="211" t="s">
        <v>751</v>
      </c>
      <c r="D46" s="211" t="s">
        <v>752</v>
      </c>
      <c r="E46" s="211" t="s">
        <v>747</v>
      </c>
      <c r="F46" s="211" t="s">
        <v>748</v>
      </c>
      <c r="G46" s="211" t="s">
        <v>753</v>
      </c>
    </row>
    <row r="47" spans="2:7" ht="48" customHeight="1">
      <c r="B47" s="211" t="s">
        <v>754</v>
      </c>
      <c r="C47" s="211" t="s">
        <v>755</v>
      </c>
      <c r="D47" s="211" t="s">
        <v>752</v>
      </c>
      <c r="E47" s="211" t="s">
        <v>747</v>
      </c>
      <c r="F47" s="211" t="s">
        <v>748</v>
      </c>
      <c r="G47" s="211" t="s">
        <v>756</v>
      </c>
    </row>
    <row r="48" spans="2:7" ht="48" customHeight="1">
      <c r="B48" s="211" t="s">
        <v>757</v>
      </c>
      <c r="C48" s="211" t="s">
        <v>181</v>
      </c>
      <c r="D48" s="211" t="s">
        <v>758</v>
      </c>
      <c r="E48" s="211" t="s">
        <v>759</v>
      </c>
      <c r="F48" s="211" t="s">
        <v>760</v>
      </c>
      <c r="G48" s="211" t="s">
        <v>761</v>
      </c>
    </row>
    <row r="49" spans="2:7" ht="48" customHeight="1">
      <c r="B49" s="211" t="s">
        <v>762</v>
      </c>
      <c r="C49" s="211" t="s">
        <v>182</v>
      </c>
      <c r="D49" s="211" t="s">
        <v>763</v>
      </c>
      <c r="E49" s="211" t="s">
        <v>764</v>
      </c>
      <c r="F49" s="211" t="s">
        <v>760</v>
      </c>
      <c r="G49" s="211" t="s">
        <v>765</v>
      </c>
    </row>
    <row r="50" spans="2:7" ht="48" customHeight="1">
      <c r="B50" s="211" t="s">
        <v>766</v>
      </c>
      <c r="C50" s="211" t="s">
        <v>767</v>
      </c>
      <c r="D50" s="211" t="s">
        <v>768</v>
      </c>
      <c r="E50" s="211" t="s">
        <v>769</v>
      </c>
      <c r="F50" s="211" t="s">
        <v>770</v>
      </c>
      <c r="G50" s="211" t="s">
        <v>771</v>
      </c>
    </row>
  </sheetData>
  <autoFilter ref="B3:G50" xr:uid="{00000000-0009-0000-0000-000002000000}"/>
  <pageMargins left="0.75" right="0.75" top="1" bottom="1" header="0.5" footer="0.5"/>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45D2F-779E-4590-B380-D67667F56A8A}">
  <sheetPr codeName="Hoja16"/>
  <dimension ref="B2:F116"/>
  <sheetViews>
    <sheetView showGridLines="0" workbookViewId="0">
      <selection activeCell="B4" sqref="B4"/>
    </sheetView>
  </sheetViews>
  <sheetFormatPr baseColWidth="10" defaultColWidth="9.140625" defaultRowHeight="15"/>
  <cols>
    <col min="1" max="1" width="9.140625" style="108"/>
    <col min="2" max="2" width="17" style="108" customWidth="1"/>
    <col min="3" max="3" width="40" style="108" customWidth="1"/>
    <col min="4" max="4" width="32" style="108" customWidth="1"/>
    <col min="5" max="5" width="30" style="108" customWidth="1"/>
    <col min="6" max="6" width="40" style="108" customWidth="1"/>
    <col min="7" max="16384" width="9.140625" style="108"/>
  </cols>
  <sheetData>
    <row r="2" spans="2:6" ht="21.75" customHeight="1"/>
    <row r="3" spans="2:6">
      <c r="B3" s="212" t="s">
        <v>772</v>
      </c>
      <c r="C3" s="212" t="s">
        <v>320</v>
      </c>
      <c r="D3" s="212" t="s">
        <v>773</v>
      </c>
      <c r="E3" s="212" t="s">
        <v>774</v>
      </c>
      <c r="F3" s="213" t="s">
        <v>775</v>
      </c>
    </row>
    <row r="4" spans="2:6">
      <c r="B4" s="245">
        <v>1</v>
      </c>
      <c r="C4" s="211" t="s">
        <v>776</v>
      </c>
      <c r="D4" s="211"/>
      <c r="E4" s="211" t="s">
        <v>777</v>
      </c>
      <c r="F4" s="151" t="s">
        <v>778</v>
      </c>
    </row>
    <row r="5" spans="2:6">
      <c r="B5" s="245">
        <v>2</v>
      </c>
      <c r="C5" s="211" t="s">
        <v>779</v>
      </c>
      <c r="D5" s="211" t="s">
        <v>780</v>
      </c>
      <c r="E5" s="211" t="s">
        <v>777</v>
      </c>
      <c r="F5" s="151" t="s">
        <v>781</v>
      </c>
    </row>
    <row r="6" spans="2:6" ht="30">
      <c r="B6" s="245">
        <v>3</v>
      </c>
      <c r="C6" s="211" t="s">
        <v>782</v>
      </c>
      <c r="D6" s="211"/>
      <c r="E6" s="211" t="s">
        <v>777</v>
      </c>
      <c r="F6" s="151" t="s">
        <v>778</v>
      </c>
    </row>
    <row r="7" spans="2:6">
      <c r="B7" s="245">
        <v>4</v>
      </c>
      <c r="C7" s="211" t="s">
        <v>783</v>
      </c>
      <c r="D7" s="211"/>
      <c r="E7" s="211" t="s">
        <v>777</v>
      </c>
      <c r="F7" s="151" t="s">
        <v>778</v>
      </c>
    </row>
    <row r="8" spans="2:6">
      <c r="B8" s="245">
        <v>5</v>
      </c>
      <c r="C8" s="211" t="s">
        <v>784</v>
      </c>
      <c r="D8" s="211"/>
      <c r="E8" s="211" t="s">
        <v>777</v>
      </c>
      <c r="F8" s="151" t="s">
        <v>778</v>
      </c>
    </row>
    <row r="9" spans="2:6">
      <c r="B9" s="245">
        <v>6</v>
      </c>
      <c r="C9" s="211" t="s">
        <v>785</v>
      </c>
      <c r="D9" s="211"/>
      <c r="E9" s="211" t="s">
        <v>777</v>
      </c>
      <c r="F9" s="151" t="s">
        <v>778</v>
      </c>
    </row>
    <row r="10" spans="2:6">
      <c r="B10" s="245">
        <v>7</v>
      </c>
      <c r="C10" s="211" t="s">
        <v>786</v>
      </c>
      <c r="D10" s="211" t="s">
        <v>787</v>
      </c>
      <c r="E10" s="211" t="s">
        <v>777</v>
      </c>
      <c r="F10" s="151" t="s">
        <v>788</v>
      </c>
    </row>
    <row r="11" spans="2:6">
      <c r="B11" s="245">
        <v>8</v>
      </c>
      <c r="C11" s="211" t="s">
        <v>789</v>
      </c>
      <c r="D11" s="211"/>
      <c r="E11" s="211" t="s">
        <v>777</v>
      </c>
      <c r="F11" s="151" t="s">
        <v>778</v>
      </c>
    </row>
    <row r="12" spans="2:6" ht="45">
      <c r="B12" s="245">
        <v>9</v>
      </c>
      <c r="C12" s="211" t="s">
        <v>790</v>
      </c>
      <c r="D12" s="211"/>
      <c r="E12" s="211" t="s">
        <v>777</v>
      </c>
      <c r="F12" s="151" t="s">
        <v>778</v>
      </c>
    </row>
    <row r="13" spans="2:6">
      <c r="B13" s="245">
        <v>10</v>
      </c>
      <c r="C13" s="211" t="s">
        <v>791</v>
      </c>
      <c r="D13" s="211"/>
      <c r="E13" s="211" t="s">
        <v>777</v>
      </c>
      <c r="F13" s="151" t="s">
        <v>778</v>
      </c>
    </row>
    <row r="14" spans="2:6">
      <c r="B14" s="245">
        <v>11</v>
      </c>
      <c r="C14" s="211" t="s">
        <v>792</v>
      </c>
      <c r="D14" s="211" t="s">
        <v>793</v>
      </c>
      <c r="E14" s="211" t="s">
        <v>777</v>
      </c>
      <c r="F14" s="151" t="s">
        <v>778</v>
      </c>
    </row>
    <row r="15" spans="2:6">
      <c r="B15" s="245">
        <v>12</v>
      </c>
      <c r="C15" s="211" t="s">
        <v>794</v>
      </c>
      <c r="D15" s="211"/>
      <c r="E15" s="211" t="s">
        <v>777</v>
      </c>
      <c r="F15" s="151" t="s">
        <v>778</v>
      </c>
    </row>
    <row r="16" spans="2:6">
      <c r="B16" s="245">
        <v>13</v>
      </c>
      <c r="C16" s="211" t="s">
        <v>795</v>
      </c>
      <c r="D16" s="211"/>
      <c r="E16" s="211" t="s">
        <v>777</v>
      </c>
      <c r="F16" s="151" t="s">
        <v>778</v>
      </c>
    </row>
    <row r="17" spans="2:6">
      <c r="B17" s="245">
        <v>14</v>
      </c>
      <c r="C17" s="211" t="s">
        <v>796</v>
      </c>
      <c r="D17" s="211"/>
      <c r="E17" s="211" t="s">
        <v>777</v>
      </c>
      <c r="F17" s="151" t="s">
        <v>778</v>
      </c>
    </row>
    <row r="18" spans="2:6">
      <c r="B18" s="245">
        <v>15</v>
      </c>
      <c r="C18" s="211" t="s">
        <v>797</v>
      </c>
      <c r="D18" s="211"/>
      <c r="E18" s="211" t="s">
        <v>777</v>
      </c>
      <c r="F18" s="151" t="s">
        <v>778</v>
      </c>
    </row>
    <row r="19" spans="2:6">
      <c r="B19" s="245">
        <v>16</v>
      </c>
      <c r="C19" s="211" t="s">
        <v>798</v>
      </c>
      <c r="D19" s="211"/>
      <c r="E19" s="211" t="s">
        <v>777</v>
      </c>
      <c r="F19" s="151" t="s">
        <v>778</v>
      </c>
    </row>
    <row r="20" spans="2:6" ht="30">
      <c r="B20" s="245">
        <v>17</v>
      </c>
      <c r="C20" s="211" t="s">
        <v>799</v>
      </c>
      <c r="D20" s="211"/>
      <c r="E20" s="211" t="s">
        <v>777</v>
      </c>
      <c r="F20" s="151" t="s">
        <v>778</v>
      </c>
    </row>
    <row r="21" spans="2:6" ht="45">
      <c r="B21" s="245">
        <v>18</v>
      </c>
      <c r="C21" s="211" t="s">
        <v>800</v>
      </c>
      <c r="D21" s="211"/>
      <c r="E21" s="211" t="s">
        <v>777</v>
      </c>
      <c r="F21" s="151" t="s">
        <v>778</v>
      </c>
    </row>
    <row r="22" spans="2:6">
      <c r="B22" s="245">
        <v>19</v>
      </c>
      <c r="C22" s="211" t="s">
        <v>801</v>
      </c>
      <c r="D22" s="211"/>
      <c r="E22" s="211" t="s">
        <v>777</v>
      </c>
      <c r="F22" s="151" t="s">
        <v>778</v>
      </c>
    </row>
    <row r="23" spans="2:6">
      <c r="B23" s="245">
        <v>20</v>
      </c>
      <c r="C23" s="211" t="s">
        <v>802</v>
      </c>
      <c r="D23" s="211" t="s">
        <v>803</v>
      </c>
      <c r="E23" s="211" t="s">
        <v>777</v>
      </c>
      <c r="F23" s="151" t="s">
        <v>778</v>
      </c>
    </row>
    <row r="24" spans="2:6">
      <c r="B24" s="245">
        <v>21</v>
      </c>
      <c r="C24" s="211" t="s">
        <v>804</v>
      </c>
      <c r="D24" s="211" t="s">
        <v>805</v>
      </c>
      <c r="E24" s="211" t="s">
        <v>777</v>
      </c>
      <c r="F24" s="151" t="s">
        <v>778</v>
      </c>
    </row>
    <row r="25" spans="2:6">
      <c r="B25" s="245">
        <v>22</v>
      </c>
      <c r="C25" s="211" t="s">
        <v>806</v>
      </c>
      <c r="D25" s="211" t="s">
        <v>807</v>
      </c>
      <c r="E25" s="211" t="s">
        <v>777</v>
      </c>
      <c r="F25" s="151" t="s">
        <v>778</v>
      </c>
    </row>
    <row r="26" spans="2:6">
      <c r="B26" s="245">
        <v>23</v>
      </c>
      <c r="C26" s="211" t="s">
        <v>808</v>
      </c>
      <c r="D26" s="211"/>
      <c r="E26" s="211" t="s">
        <v>777</v>
      </c>
      <c r="F26" s="151" t="s">
        <v>778</v>
      </c>
    </row>
    <row r="27" spans="2:6" ht="30">
      <c r="B27" s="245">
        <v>24</v>
      </c>
      <c r="C27" s="211" t="s">
        <v>809</v>
      </c>
      <c r="D27" s="211" t="s">
        <v>810</v>
      </c>
      <c r="E27" s="211" t="s">
        <v>777</v>
      </c>
      <c r="F27" s="151" t="s">
        <v>781</v>
      </c>
    </row>
    <row r="28" spans="2:6" ht="30">
      <c r="B28" s="245">
        <v>25</v>
      </c>
      <c r="C28" s="211" t="s">
        <v>811</v>
      </c>
      <c r="D28" s="211" t="s">
        <v>810</v>
      </c>
      <c r="E28" s="211" t="s">
        <v>777</v>
      </c>
      <c r="F28" s="151" t="s">
        <v>781</v>
      </c>
    </row>
    <row r="29" spans="2:6" ht="30">
      <c r="B29" s="245">
        <v>26</v>
      </c>
      <c r="C29" s="211" t="s">
        <v>812</v>
      </c>
      <c r="D29" s="211" t="s">
        <v>813</v>
      </c>
      <c r="E29" s="211" t="s">
        <v>777</v>
      </c>
      <c r="F29" s="151" t="s">
        <v>781</v>
      </c>
    </row>
    <row r="30" spans="2:6" ht="30">
      <c r="B30" s="245">
        <v>27</v>
      </c>
      <c r="C30" s="211" t="s">
        <v>814</v>
      </c>
      <c r="D30" s="211" t="s">
        <v>813</v>
      </c>
      <c r="E30" s="211" t="s">
        <v>777</v>
      </c>
      <c r="F30" s="151" t="s">
        <v>781</v>
      </c>
    </row>
    <row r="31" spans="2:6" ht="30">
      <c r="B31" s="245">
        <v>28</v>
      </c>
      <c r="C31" s="211" t="s">
        <v>815</v>
      </c>
      <c r="D31" s="211"/>
      <c r="E31" s="211" t="s">
        <v>777</v>
      </c>
      <c r="F31" s="151" t="s">
        <v>778</v>
      </c>
    </row>
    <row r="32" spans="2:6">
      <c r="B32" s="245">
        <v>29</v>
      </c>
      <c r="C32" s="211" t="s">
        <v>816</v>
      </c>
      <c r="D32" s="211"/>
      <c r="E32" s="211" t="s">
        <v>777</v>
      </c>
      <c r="F32" s="151" t="s">
        <v>778</v>
      </c>
    </row>
    <row r="33" spans="2:6">
      <c r="B33" s="245">
        <v>30</v>
      </c>
      <c r="C33" s="211" t="s">
        <v>817</v>
      </c>
      <c r="D33" s="211"/>
      <c r="E33" s="211" t="s">
        <v>777</v>
      </c>
      <c r="F33" s="151" t="s">
        <v>778</v>
      </c>
    </row>
    <row r="34" spans="2:6" ht="30">
      <c r="B34" s="245">
        <v>31</v>
      </c>
      <c r="C34" s="211" t="s">
        <v>818</v>
      </c>
      <c r="D34" s="211"/>
      <c r="E34" s="211" t="s">
        <v>777</v>
      </c>
      <c r="F34" s="151" t="s">
        <v>778</v>
      </c>
    </row>
    <row r="35" spans="2:6" ht="30">
      <c r="B35" s="245">
        <v>32</v>
      </c>
      <c r="C35" s="211" t="s">
        <v>819</v>
      </c>
      <c r="D35" s="211"/>
      <c r="E35" s="211" t="s">
        <v>777</v>
      </c>
      <c r="F35" s="151" t="s">
        <v>778</v>
      </c>
    </row>
    <row r="36" spans="2:6">
      <c r="B36" s="245">
        <v>33</v>
      </c>
      <c r="C36" s="211" t="s">
        <v>820</v>
      </c>
      <c r="D36" s="211"/>
      <c r="E36" s="211" t="s">
        <v>777</v>
      </c>
      <c r="F36" s="151" t="s">
        <v>778</v>
      </c>
    </row>
    <row r="37" spans="2:6" ht="30">
      <c r="B37" s="245">
        <v>34</v>
      </c>
      <c r="C37" s="211" t="s">
        <v>821</v>
      </c>
      <c r="D37" s="211"/>
      <c r="E37" s="211" t="s">
        <v>777</v>
      </c>
      <c r="F37" s="151" t="s">
        <v>778</v>
      </c>
    </row>
    <row r="38" spans="2:6" ht="30">
      <c r="B38" s="245">
        <v>35</v>
      </c>
      <c r="C38" s="211" t="s">
        <v>822</v>
      </c>
      <c r="D38" s="211"/>
      <c r="E38" s="211" t="s">
        <v>777</v>
      </c>
      <c r="F38" s="151" t="s">
        <v>778</v>
      </c>
    </row>
    <row r="39" spans="2:6">
      <c r="B39" s="245">
        <v>36</v>
      </c>
      <c r="C39" s="211" t="s">
        <v>823</v>
      </c>
      <c r="D39" s="211"/>
      <c r="E39" s="211" t="s">
        <v>777</v>
      </c>
      <c r="F39" s="151" t="s">
        <v>824</v>
      </c>
    </row>
    <row r="40" spans="2:6" ht="30">
      <c r="B40" s="245">
        <v>37</v>
      </c>
      <c r="C40" s="211" t="s">
        <v>825</v>
      </c>
      <c r="D40" s="211"/>
      <c r="E40" s="211" t="s">
        <v>777</v>
      </c>
      <c r="F40" s="151" t="s">
        <v>778</v>
      </c>
    </row>
    <row r="41" spans="2:6">
      <c r="B41" s="245">
        <v>38</v>
      </c>
      <c r="C41" s="211" t="s">
        <v>826</v>
      </c>
      <c r="D41" s="211"/>
      <c r="E41" s="211" t="s">
        <v>777</v>
      </c>
      <c r="F41" s="151" t="s">
        <v>778</v>
      </c>
    </row>
    <row r="42" spans="2:6">
      <c r="B42" s="245">
        <v>39</v>
      </c>
      <c r="C42" s="211" t="s">
        <v>827</v>
      </c>
      <c r="D42" s="211"/>
      <c r="E42" s="211" t="s">
        <v>777</v>
      </c>
      <c r="F42" s="151" t="s">
        <v>778</v>
      </c>
    </row>
    <row r="43" spans="2:6">
      <c r="B43" s="245">
        <v>40</v>
      </c>
      <c r="C43" s="211" t="s">
        <v>828</v>
      </c>
      <c r="D43" s="211" t="s">
        <v>829</v>
      </c>
      <c r="E43" s="211" t="s">
        <v>777</v>
      </c>
      <c r="F43" s="151" t="s">
        <v>781</v>
      </c>
    </row>
    <row r="44" spans="2:6">
      <c r="B44" s="245">
        <v>41</v>
      </c>
      <c r="C44" s="211" t="s">
        <v>830</v>
      </c>
      <c r="D44" s="211" t="s">
        <v>829</v>
      </c>
      <c r="E44" s="211" t="s">
        <v>777</v>
      </c>
      <c r="F44" s="151" t="s">
        <v>781</v>
      </c>
    </row>
    <row r="45" spans="2:6">
      <c r="B45" s="245">
        <v>42</v>
      </c>
      <c r="C45" s="211" t="s">
        <v>831</v>
      </c>
      <c r="D45" s="211" t="s">
        <v>832</v>
      </c>
      <c r="E45" s="211" t="s">
        <v>777</v>
      </c>
      <c r="F45" s="151" t="s">
        <v>781</v>
      </c>
    </row>
    <row r="46" spans="2:6">
      <c r="B46" s="245">
        <v>43</v>
      </c>
      <c r="C46" s="211" t="s">
        <v>833</v>
      </c>
      <c r="D46" s="211" t="s">
        <v>832</v>
      </c>
      <c r="E46" s="211" t="s">
        <v>777</v>
      </c>
      <c r="F46" s="151" t="s">
        <v>781</v>
      </c>
    </row>
    <row r="47" spans="2:6">
      <c r="B47" s="245">
        <v>44</v>
      </c>
      <c r="C47" s="211" t="s">
        <v>834</v>
      </c>
      <c r="D47" s="211"/>
      <c r="E47" s="211" t="s">
        <v>777</v>
      </c>
      <c r="F47" s="151" t="s">
        <v>778</v>
      </c>
    </row>
    <row r="48" spans="2:6">
      <c r="B48" s="245">
        <v>45</v>
      </c>
      <c r="C48" s="211" t="s">
        <v>835</v>
      </c>
      <c r="D48" s="211"/>
      <c r="E48" s="211" t="s">
        <v>777</v>
      </c>
      <c r="F48" s="151" t="s">
        <v>778</v>
      </c>
    </row>
    <row r="49" spans="2:6">
      <c r="B49" s="245">
        <v>46</v>
      </c>
      <c r="C49" s="211" t="s">
        <v>836</v>
      </c>
      <c r="D49" s="211"/>
      <c r="E49" s="211" t="s">
        <v>777</v>
      </c>
      <c r="F49" s="151" t="s">
        <v>778</v>
      </c>
    </row>
    <row r="50" spans="2:6">
      <c r="B50" s="245">
        <v>47</v>
      </c>
      <c r="C50" s="211" t="s">
        <v>837</v>
      </c>
      <c r="D50" s="211"/>
      <c r="E50" s="211" t="s">
        <v>777</v>
      </c>
      <c r="F50" s="151" t="s">
        <v>778</v>
      </c>
    </row>
    <row r="51" spans="2:6">
      <c r="B51" s="245">
        <v>48</v>
      </c>
      <c r="C51" s="211" t="s">
        <v>838</v>
      </c>
      <c r="D51" s="211"/>
      <c r="E51" s="211" t="s">
        <v>777</v>
      </c>
      <c r="F51" s="151" t="s">
        <v>778</v>
      </c>
    </row>
    <row r="52" spans="2:6">
      <c r="B52" s="245">
        <v>49</v>
      </c>
      <c r="C52" s="211" t="s">
        <v>839</v>
      </c>
      <c r="D52" s="211"/>
      <c r="E52" s="211" t="s">
        <v>777</v>
      </c>
      <c r="F52" s="151" t="s">
        <v>778</v>
      </c>
    </row>
    <row r="53" spans="2:6">
      <c r="B53" s="245">
        <v>50</v>
      </c>
      <c r="C53" s="211" t="s">
        <v>840</v>
      </c>
      <c r="D53" s="211"/>
      <c r="E53" s="211" t="s">
        <v>777</v>
      </c>
      <c r="F53" s="151" t="s">
        <v>778</v>
      </c>
    </row>
    <row r="54" spans="2:6">
      <c r="B54" s="245">
        <v>51</v>
      </c>
      <c r="C54" s="211" t="s">
        <v>841</v>
      </c>
      <c r="D54" s="211"/>
      <c r="E54" s="211" t="s">
        <v>777</v>
      </c>
      <c r="F54" s="151" t="s">
        <v>778</v>
      </c>
    </row>
    <row r="55" spans="2:6" ht="30">
      <c r="B55" s="245">
        <v>52</v>
      </c>
      <c r="C55" s="211" t="s">
        <v>842</v>
      </c>
      <c r="D55" s="211"/>
      <c r="E55" s="211" t="s">
        <v>777</v>
      </c>
      <c r="F55" s="151" t="s">
        <v>778</v>
      </c>
    </row>
    <row r="56" spans="2:6">
      <c r="B56" s="245">
        <v>53</v>
      </c>
      <c r="C56" s="211" t="s">
        <v>843</v>
      </c>
      <c r="D56" s="211"/>
      <c r="E56" s="211" t="s">
        <v>777</v>
      </c>
      <c r="F56" s="151" t="s">
        <v>778</v>
      </c>
    </row>
    <row r="57" spans="2:6">
      <c r="B57" s="245">
        <v>54</v>
      </c>
      <c r="C57" s="211" t="s">
        <v>844</v>
      </c>
      <c r="D57" s="211"/>
      <c r="E57" s="211" t="s">
        <v>777</v>
      </c>
      <c r="F57" s="151" t="s">
        <v>778</v>
      </c>
    </row>
    <row r="58" spans="2:6">
      <c r="B58" s="245">
        <v>55</v>
      </c>
      <c r="C58" s="211" t="s">
        <v>845</v>
      </c>
      <c r="D58" s="211"/>
      <c r="E58" s="211" t="s">
        <v>777</v>
      </c>
      <c r="F58" s="151" t="s">
        <v>778</v>
      </c>
    </row>
    <row r="59" spans="2:6">
      <c r="B59" s="245">
        <v>56</v>
      </c>
      <c r="C59" s="211" t="s">
        <v>846</v>
      </c>
      <c r="D59" s="211"/>
      <c r="E59" s="211" t="s">
        <v>777</v>
      </c>
      <c r="F59" s="151" t="s">
        <v>778</v>
      </c>
    </row>
    <row r="60" spans="2:6">
      <c r="B60" s="245">
        <v>57</v>
      </c>
      <c r="C60" s="211" t="s">
        <v>847</v>
      </c>
      <c r="D60" s="211"/>
      <c r="E60" s="211" t="s">
        <v>777</v>
      </c>
      <c r="F60" s="151" t="s">
        <v>778</v>
      </c>
    </row>
    <row r="61" spans="2:6">
      <c r="B61" s="245">
        <v>58</v>
      </c>
      <c r="C61" s="211" t="s">
        <v>848</v>
      </c>
      <c r="D61" s="211"/>
      <c r="E61" s="211" t="s">
        <v>777</v>
      </c>
      <c r="F61" s="151" t="s">
        <v>778</v>
      </c>
    </row>
    <row r="62" spans="2:6" ht="30">
      <c r="B62" s="245">
        <v>59</v>
      </c>
      <c r="C62" s="211" t="s">
        <v>849</v>
      </c>
      <c r="D62" s="211"/>
      <c r="E62" s="211" t="s">
        <v>777</v>
      </c>
      <c r="F62" s="151" t="s">
        <v>778</v>
      </c>
    </row>
    <row r="63" spans="2:6">
      <c r="B63" s="245">
        <v>60</v>
      </c>
      <c r="C63" s="211" t="s">
        <v>850</v>
      </c>
      <c r="D63" s="211"/>
      <c r="E63" s="211" t="s">
        <v>777</v>
      </c>
      <c r="F63" s="151" t="s">
        <v>778</v>
      </c>
    </row>
    <row r="64" spans="2:6">
      <c r="B64" s="245">
        <v>61</v>
      </c>
      <c r="C64" s="211" t="s">
        <v>851</v>
      </c>
      <c r="D64" s="211"/>
      <c r="E64" s="211" t="s">
        <v>777</v>
      </c>
      <c r="F64" s="151" t="s">
        <v>778</v>
      </c>
    </row>
    <row r="65" spans="2:6" ht="30">
      <c r="B65" s="245">
        <v>62</v>
      </c>
      <c r="C65" s="211" t="s">
        <v>852</v>
      </c>
      <c r="D65" s="211"/>
      <c r="E65" s="211" t="s">
        <v>777</v>
      </c>
      <c r="F65" s="151" t="s">
        <v>778</v>
      </c>
    </row>
    <row r="66" spans="2:6" ht="30">
      <c r="B66" s="245">
        <v>63</v>
      </c>
      <c r="C66" s="211" t="s">
        <v>853</v>
      </c>
      <c r="D66" s="211"/>
      <c r="E66" s="211" t="s">
        <v>777</v>
      </c>
      <c r="F66" s="151" t="s">
        <v>778</v>
      </c>
    </row>
    <row r="67" spans="2:6" ht="30">
      <c r="B67" s="245">
        <v>64</v>
      </c>
      <c r="C67" s="211" t="s">
        <v>854</v>
      </c>
      <c r="D67" s="211"/>
      <c r="E67" s="211" t="s">
        <v>777</v>
      </c>
      <c r="F67" s="151" t="s">
        <v>778</v>
      </c>
    </row>
    <row r="68" spans="2:6" ht="45">
      <c r="B68" s="245">
        <v>65</v>
      </c>
      <c r="C68" s="211" t="s">
        <v>855</v>
      </c>
      <c r="D68" s="211"/>
      <c r="E68" s="211" t="s">
        <v>777</v>
      </c>
      <c r="F68" s="151" t="s">
        <v>778</v>
      </c>
    </row>
    <row r="69" spans="2:6" ht="45">
      <c r="B69" s="245">
        <v>66</v>
      </c>
      <c r="C69" s="211" t="s">
        <v>856</v>
      </c>
      <c r="D69" s="211"/>
      <c r="E69" s="211" t="s">
        <v>777</v>
      </c>
      <c r="F69" s="151" t="s">
        <v>778</v>
      </c>
    </row>
    <row r="70" spans="2:6" ht="30">
      <c r="B70" s="245">
        <v>67</v>
      </c>
      <c r="C70" s="211" t="s">
        <v>857</v>
      </c>
      <c r="D70" s="211"/>
      <c r="E70" s="211" t="s">
        <v>777</v>
      </c>
      <c r="F70" s="151" t="s">
        <v>778</v>
      </c>
    </row>
    <row r="71" spans="2:6" ht="30">
      <c r="B71" s="245">
        <v>68</v>
      </c>
      <c r="C71" s="211" t="s">
        <v>858</v>
      </c>
      <c r="D71" s="211"/>
      <c r="E71" s="211" t="s">
        <v>777</v>
      </c>
      <c r="F71" s="151" t="s">
        <v>778</v>
      </c>
    </row>
    <row r="72" spans="2:6" ht="30">
      <c r="B72" s="245">
        <v>69</v>
      </c>
      <c r="C72" s="211" t="s">
        <v>859</v>
      </c>
      <c r="D72" s="211"/>
      <c r="E72" s="211" t="s">
        <v>777</v>
      </c>
      <c r="F72" s="151" t="s">
        <v>778</v>
      </c>
    </row>
    <row r="73" spans="2:6" ht="30">
      <c r="B73" s="245">
        <v>70</v>
      </c>
      <c r="C73" s="211" t="s">
        <v>860</v>
      </c>
      <c r="D73" s="211"/>
      <c r="E73" s="211" t="s">
        <v>777</v>
      </c>
      <c r="F73" s="151" t="s">
        <v>778</v>
      </c>
    </row>
    <row r="74" spans="2:6" ht="30">
      <c r="B74" s="245">
        <v>71</v>
      </c>
      <c r="C74" s="211" t="s">
        <v>861</v>
      </c>
      <c r="D74" s="211"/>
      <c r="E74" s="211" t="s">
        <v>777</v>
      </c>
      <c r="F74" s="151" t="s">
        <v>824</v>
      </c>
    </row>
    <row r="75" spans="2:6" ht="30">
      <c r="B75" s="245">
        <v>72</v>
      </c>
      <c r="C75" s="211" t="s">
        <v>862</v>
      </c>
      <c r="D75" s="211"/>
      <c r="E75" s="211" t="s">
        <v>777</v>
      </c>
      <c r="F75" s="151" t="s">
        <v>778</v>
      </c>
    </row>
    <row r="76" spans="2:6" ht="30">
      <c r="B76" s="245">
        <v>73</v>
      </c>
      <c r="C76" s="211" t="s">
        <v>863</v>
      </c>
      <c r="D76" s="211"/>
      <c r="E76" s="211" t="s">
        <v>777</v>
      </c>
      <c r="F76" s="151" t="s">
        <v>778</v>
      </c>
    </row>
    <row r="77" spans="2:6">
      <c r="B77" s="245">
        <v>74</v>
      </c>
      <c r="C77" s="211" t="s">
        <v>864</v>
      </c>
      <c r="D77" s="211"/>
      <c r="E77" s="211" t="s">
        <v>777</v>
      </c>
      <c r="F77" s="151" t="s">
        <v>788</v>
      </c>
    </row>
    <row r="78" spans="2:6">
      <c r="B78" s="245">
        <v>75</v>
      </c>
      <c r="C78" s="211" t="s">
        <v>865</v>
      </c>
      <c r="D78" s="211"/>
      <c r="E78" s="211" t="s">
        <v>777</v>
      </c>
      <c r="F78" s="151" t="s">
        <v>788</v>
      </c>
    </row>
    <row r="79" spans="2:6">
      <c r="B79" s="245">
        <v>76</v>
      </c>
      <c r="C79" s="211" t="s">
        <v>866</v>
      </c>
      <c r="D79" s="211"/>
      <c r="E79" s="211" t="s">
        <v>777</v>
      </c>
      <c r="F79" s="151" t="s">
        <v>778</v>
      </c>
    </row>
    <row r="80" spans="2:6">
      <c r="B80" s="245">
        <v>77</v>
      </c>
      <c r="C80" s="211" t="s">
        <v>867</v>
      </c>
      <c r="D80" s="211"/>
      <c r="E80" s="211" t="s">
        <v>777</v>
      </c>
      <c r="F80" s="151" t="s">
        <v>778</v>
      </c>
    </row>
    <row r="81" spans="2:6">
      <c r="B81" s="245">
        <v>78</v>
      </c>
      <c r="C81" s="211" t="s">
        <v>868</v>
      </c>
      <c r="D81" s="211"/>
      <c r="E81" s="211" t="s">
        <v>777</v>
      </c>
      <c r="F81" s="151" t="s">
        <v>778</v>
      </c>
    </row>
    <row r="82" spans="2:6" ht="45">
      <c r="B82" s="245">
        <v>79</v>
      </c>
      <c r="C82" s="211" t="s">
        <v>869</v>
      </c>
      <c r="D82" s="211"/>
      <c r="E82" s="211" t="s">
        <v>777</v>
      </c>
      <c r="F82" s="151" t="s">
        <v>778</v>
      </c>
    </row>
    <row r="83" spans="2:6">
      <c r="B83" s="245">
        <v>80</v>
      </c>
      <c r="C83" s="211" t="s">
        <v>870</v>
      </c>
      <c r="D83" s="211"/>
      <c r="E83" s="211" t="s">
        <v>777</v>
      </c>
      <c r="F83" s="151" t="s">
        <v>778</v>
      </c>
    </row>
    <row r="84" spans="2:6" ht="30">
      <c r="B84" s="245">
        <v>81</v>
      </c>
      <c r="C84" s="211" t="s">
        <v>871</v>
      </c>
      <c r="D84" s="211"/>
      <c r="E84" s="211" t="s">
        <v>777</v>
      </c>
      <c r="F84" s="151" t="s">
        <v>778</v>
      </c>
    </row>
    <row r="85" spans="2:6">
      <c r="B85" s="245">
        <v>82</v>
      </c>
      <c r="C85" s="211" t="s">
        <v>872</v>
      </c>
      <c r="D85" s="211"/>
      <c r="E85" s="211" t="s">
        <v>777</v>
      </c>
      <c r="F85" s="151" t="s">
        <v>778</v>
      </c>
    </row>
    <row r="86" spans="2:6">
      <c r="B86" s="245">
        <v>83</v>
      </c>
      <c r="C86" s="211" t="s">
        <v>873</v>
      </c>
      <c r="D86" s="211"/>
      <c r="E86" s="211" t="s">
        <v>777</v>
      </c>
      <c r="F86" s="151" t="s">
        <v>778</v>
      </c>
    </row>
    <row r="87" spans="2:6">
      <c r="B87" s="245">
        <v>84</v>
      </c>
      <c r="C87" s="211" t="s">
        <v>874</v>
      </c>
      <c r="D87" s="211"/>
      <c r="E87" s="211" t="s">
        <v>777</v>
      </c>
      <c r="F87" s="151" t="s">
        <v>778</v>
      </c>
    </row>
    <row r="88" spans="2:6" ht="30">
      <c r="B88" s="245">
        <v>85</v>
      </c>
      <c r="C88" s="211" t="s">
        <v>875</v>
      </c>
      <c r="D88" s="211"/>
      <c r="E88" s="211" t="s">
        <v>777</v>
      </c>
      <c r="F88" s="151" t="s">
        <v>778</v>
      </c>
    </row>
    <row r="89" spans="2:6" ht="30">
      <c r="B89" s="245">
        <v>86</v>
      </c>
      <c r="C89" s="211" t="s">
        <v>876</v>
      </c>
      <c r="D89" s="211"/>
      <c r="E89" s="211" t="s">
        <v>777</v>
      </c>
      <c r="F89" s="151" t="s">
        <v>824</v>
      </c>
    </row>
    <row r="90" spans="2:6" ht="30">
      <c r="B90" s="245">
        <v>87</v>
      </c>
      <c r="C90" s="211" t="s">
        <v>877</v>
      </c>
      <c r="D90" s="211"/>
      <c r="E90" s="211" t="s">
        <v>777</v>
      </c>
      <c r="F90" s="151" t="s">
        <v>778</v>
      </c>
    </row>
    <row r="91" spans="2:6">
      <c r="B91" s="245">
        <v>88</v>
      </c>
      <c r="C91" s="211" t="s">
        <v>878</v>
      </c>
      <c r="D91" s="211"/>
      <c r="E91" s="211" t="s">
        <v>777</v>
      </c>
      <c r="F91" s="151" t="s">
        <v>778</v>
      </c>
    </row>
    <row r="92" spans="2:6">
      <c r="B92" s="245">
        <v>89</v>
      </c>
      <c r="C92" s="211" t="s">
        <v>879</v>
      </c>
      <c r="D92" s="211"/>
      <c r="E92" s="211" t="s">
        <v>777</v>
      </c>
      <c r="F92" s="151" t="s">
        <v>778</v>
      </c>
    </row>
    <row r="93" spans="2:6">
      <c r="B93" s="245">
        <v>90</v>
      </c>
      <c r="C93" s="211" t="s">
        <v>880</v>
      </c>
      <c r="D93" s="211"/>
      <c r="E93" s="211" t="s">
        <v>777</v>
      </c>
      <c r="F93" s="151" t="s">
        <v>778</v>
      </c>
    </row>
    <row r="94" spans="2:6">
      <c r="B94" s="245">
        <v>91</v>
      </c>
      <c r="C94" s="211" t="s">
        <v>881</v>
      </c>
      <c r="D94" s="211"/>
      <c r="E94" s="211" t="s">
        <v>777</v>
      </c>
      <c r="F94" s="151" t="s">
        <v>778</v>
      </c>
    </row>
    <row r="95" spans="2:6">
      <c r="B95" s="245">
        <v>92</v>
      </c>
      <c r="C95" s="211" t="s">
        <v>882</v>
      </c>
      <c r="D95" s="211"/>
      <c r="E95" s="211" t="s">
        <v>777</v>
      </c>
      <c r="F95" s="151" t="s">
        <v>778</v>
      </c>
    </row>
    <row r="96" spans="2:6">
      <c r="B96" s="245">
        <v>93</v>
      </c>
      <c r="C96" s="211" t="s">
        <v>883</v>
      </c>
      <c r="D96" s="211"/>
      <c r="E96" s="211" t="s">
        <v>777</v>
      </c>
      <c r="F96" s="151" t="s">
        <v>778</v>
      </c>
    </row>
    <row r="97" spans="2:6" ht="30">
      <c r="B97" s="245">
        <v>94</v>
      </c>
      <c r="C97" s="211" t="s">
        <v>884</v>
      </c>
      <c r="D97" s="211"/>
      <c r="E97" s="211" t="s">
        <v>777</v>
      </c>
      <c r="F97" s="151" t="s">
        <v>778</v>
      </c>
    </row>
    <row r="98" spans="2:6">
      <c r="B98" s="245">
        <v>95</v>
      </c>
      <c r="C98" s="211" t="s">
        <v>885</v>
      </c>
      <c r="D98" s="211"/>
      <c r="E98" s="211" t="s">
        <v>777</v>
      </c>
      <c r="F98" s="151" t="s">
        <v>778</v>
      </c>
    </row>
    <row r="99" spans="2:6">
      <c r="B99" s="245">
        <v>96</v>
      </c>
      <c r="C99" s="211" t="s">
        <v>886</v>
      </c>
      <c r="D99" s="211"/>
      <c r="E99" s="211" t="s">
        <v>777</v>
      </c>
      <c r="F99" s="151" t="s">
        <v>778</v>
      </c>
    </row>
    <row r="100" spans="2:6" ht="30">
      <c r="B100" s="245">
        <v>97</v>
      </c>
      <c r="C100" s="211" t="s">
        <v>887</v>
      </c>
      <c r="D100" s="211"/>
      <c r="E100" s="211" t="s">
        <v>777</v>
      </c>
      <c r="F100" s="151" t="s">
        <v>778</v>
      </c>
    </row>
    <row r="101" spans="2:6" ht="30">
      <c r="B101" s="245">
        <v>98</v>
      </c>
      <c r="C101" s="211" t="s">
        <v>888</v>
      </c>
      <c r="D101" s="211"/>
      <c r="E101" s="211" t="s">
        <v>777</v>
      </c>
      <c r="F101" s="151" t="s">
        <v>778</v>
      </c>
    </row>
    <row r="102" spans="2:6" ht="30">
      <c r="B102" s="245">
        <v>99</v>
      </c>
      <c r="C102" s="211" t="s">
        <v>889</v>
      </c>
      <c r="D102" s="211"/>
      <c r="E102" s="211" t="s">
        <v>777</v>
      </c>
      <c r="F102" s="151" t="s">
        <v>778</v>
      </c>
    </row>
    <row r="103" spans="2:6">
      <c r="B103" s="245">
        <v>100</v>
      </c>
      <c r="C103" s="211" t="s">
        <v>890</v>
      </c>
      <c r="D103" s="211"/>
      <c r="E103" s="211" t="s">
        <v>777</v>
      </c>
      <c r="F103" s="151" t="s">
        <v>778</v>
      </c>
    </row>
    <row r="104" spans="2:6">
      <c r="B104" s="245">
        <v>101</v>
      </c>
      <c r="C104" s="211" t="s">
        <v>891</v>
      </c>
      <c r="D104" s="211" t="s">
        <v>892</v>
      </c>
      <c r="E104" s="211" t="s">
        <v>777</v>
      </c>
      <c r="F104" s="151" t="s">
        <v>781</v>
      </c>
    </row>
    <row r="105" spans="2:6" ht="60">
      <c r="B105" s="245">
        <v>102</v>
      </c>
      <c r="C105" s="211" t="s">
        <v>893</v>
      </c>
      <c r="D105" s="211"/>
      <c r="E105" s="211" t="s">
        <v>777</v>
      </c>
      <c r="F105" s="151" t="s">
        <v>778</v>
      </c>
    </row>
    <row r="106" spans="2:6" ht="75">
      <c r="B106" s="245">
        <v>103</v>
      </c>
      <c r="C106" s="211" t="s">
        <v>894</v>
      </c>
      <c r="D106" s="211"/>
      <c r="E106" s="211" t="s">
        <v>777</v>
      </c>
      <c r="F106" s="151" t="s">
        <v>778</v>
      </c>
    </row>
    <row r="107" spans="2:6" ht="75">
      <c r="B107" s="245">
        <v>104</v>
      </c>
      <c r="C107" s="211" t="s">
        <v>895</v>
      </c>
      <c r="D107" s="211"/>
      <c r="E107" s="211" t="s">
        <v>777</v>
      </c>
      <c r="F107" s="151" t="s">
        <v>778</v>
      </c>
    </row>
    <row r="108" spans="2:6" ht="75">
      <c r="B108" s="245">
        <v>105</v>
      </c>
      <c r="C108" s="211" t="s">
        <v>896</v>
      </c>
      <c r="D108" s="211"/>
      <c r="E108" s="211" t="s">
        <v>777</v>
      </c>
      <c r="F108" s="151" t="s">
        <v>778</v>
      </c>
    </row>
    <row r="109" spans="2:6" ht="75">
      <c r="B109" s="245">
        <v>106</v>
      </c>
      <c r="C109" s="211" t="s">
        <v>897</v>
      </c>
      <c r="D109" s="211"/>
      <c r="E109" s="211" t="s">
        <v>777</v>
      </c>
      <c r="F109" s="151" t="s">
        <v>778</v>
      </c>
    </row>
    <row r="110" spans="2:6">
      <c r="B110" s="245">
        <v>107</v>
      </c>
      <c r="C110" s="211" t="s">
        <v>898</v>
      </c>
      <c r="D110" s="211"/>
      <c r="E110" s="211" t="s">
        <v>777</v>
      </c>
      <c r="F110" s="151" t="s">
        <v>824</v>
      </c>
    </row>
    <row r="111" spans="2:6" ht="30">
      <c r="B111" s="245">
        <v>108</v>
      </c>
      <c r="C111" s="211" t="s">
        <v>899</v>
      </c>
      <c r="D111" s="211"/>
      <c r="E111" s="211" t="s">
        <v>777</v>
      </c>
      <c r="F111" s="151" t="s">
        <v>778</v>
      </c>
    </row>
    <row r="112" spans="2:6" ht="30">
      <c r="B112" s="245">
        <v>109</v>
      </c>
      <c r="C112" s="211" t="s">
        <v>900</v>
      </c>
      <c r="D112" s="211"/>
      <c r="E112" s="211" t="s">
        <v>777</v>
      </c>
      <c r="F112" s="151" t="s">
        <v>778</v>
      </c>
    </row>
    <row r="113" spans="2:6" ht="30">
      <c r="B113" s="245">
        <v>110</v>
      </c>
      <c r="C113" s="211" t="s">
        <v>901</v>
      </c>
      <c r="D113" s="211"/>
      <c r="E113" s="211" t="s">
        <v>777</v>
      </c>
      <c r="F113" s="151" t="s">
        <v>778</v>
      </c>
    </row>
    <row r="114" spans="2:6" ht="30">
      <c r="B114" s="245">
        <v>111</v>
      </c>
      <c r="C114" s="211" t="s">
        <v>902</v>
      </c>
      <c r="D114" s="211"/>
      <c r="E114" s="211" t="s">
        <v>777</v>
      </c>
      <c r="F114" s="151" t="s">
        <v>778</v>
      </c>
    </row>
    <row r="115" spans="2:6" ht="30">
      <c r="B115" s="245">
        <v>112</v>
      </c>
      <c r="C115" s="211" t="s">
        <v>903</v>
      </c>
      <c r="D115" s="211"/>
      <c r="E115" s="211" t="s">
        <v>777</v>
      </c>
      <c r="F115" s="151" t="s">
        <v>781</v>
      </c>
    </row>
    <row r="116" spans="2:6" ht="30">
      <c r="B116" s="245">
        <v>113</v>
      </c>
      <c r="C116" s="211" t="s">
        <v>904</v>
      </c>
      <c r="D116" s="211"/>
      <c r="E116" s="211" t="s">
        <v>777</v>
      </c>
      <c r="F116" s="151" t="s">
        <v>781</v>
      </c>
    </row>
  </sheetData>
  <pageMargins left="0.75" right="0.75" top="1" bottom="1" header="0.5" footer="0.5"/>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8EA51-4E2C-4AFF-99C9-97641E5EB0D0}">
  <sheetPr codeName="Hoja17"/>
  <dimension ref="B1:G54"/>
  <sheetViews>
    <sheetView showGridLines="0" workbookViewId="0">
      <selection activeCell="B6" sqref="B6"/>
    </sheetView>
  </sheetViews>
  <sheetFormatPr baseColWidth="10" defaultRowHeight="14.25"/>
  <cols>
    <col min="1" max="1" width="5.140625" style="230" customWidth="1"/>
    <col min="2" max="2" width="16" style="241" customWidth="1"/>
    <col min="3" max="3" width="46" style="230" customWidth="1"/>
    <col min="4" max="4" width="18" style="230" customWidth="1"/>
    <col min="5" max="5" width="55" style="230" customWidth="1"/>
    <col min="6" max="6" width="18" style="230" customWidth="1"/>
    <col min="7" max="7" width="55" style="230" customWidth="1"/>
    <col min="8" max="256" width="11.42578125" style="230"/>
    <col min="257" max="257" width="27.85546875" style="230" customWidth="1"/>
    <col min="258" max="258" width="89.7109375" style="230" customWidth="1"/>
    <col min="259" max="260" width="17.28515625" style="230" customWidth="1"/>
    <col min="261" max="512" width="11.42578125" style="230"/>
    <col min="513" max="513" width="27.85546875" style="230" customWidth="1"/>
    <col min="514" max="514" width="89.7109375" style="230" customWidth="1"/>
    <col min="515" max="516" width="17.28515625" style="230" customWidth="1"/>
    <col min="517" max="768" width="11.42578125" style="230"/>
    <col min="769" max="769" width="27.85546875" style="230" customWidth="1"/>
    <col min="770" max="770" width="89.7109375" style="230" customWidth="1"/>
    <col min="771" max="772" width="17.28515625" style="230" customWidth="1"/>
    <col min="773" max="1024" width="11.42578125" style="230"/>
    <col min="1025" max="1025" width="27.85546875" style="230" customWidth="1"/>
    <col min="1026" max="1026" width="89.7109375" style="230" customWidth="1"/>
    <col min="1027" max="1028" width="17.28515625" style="230" customWidth="1"/>
    <col min="1029" max="1280" width="11.42578125" style="230"/>
    <col min="1281" max="1281" width="27.85546875" style="230" customWidth="1"/>
    <col min="1282" max="1282" width="89.7109375" style="230" customWidth="1"/>
    <col min="1283" max="1284" width="17.28515625" style="230" customWidth="1"/>
    <col min="1285" max="1536" width="11.42578125" style="230"/>
    <col min="1537" max="1537" width="27.85546875" style="230" customWidth="1"/>
    <col min="1538" max="1538" width="89.7109375" style="230" customWidth="1"/>
    <col min="1539" max="1540" width="17.28515625" style="230" customWidth="1"/>
    <col min="1541" max="1792" width="11.42578125" style="230"/>
    <col min="1793" max="1793" width="27.85546875" style="230" customWidth="1"/>
    <col min="1794" max="1794" width="89.7109375" style="230" customWidth="1"/>
    <col min="1795" max="1796" width="17.28515625" style="230" customWidth="1"/>
    <col min="1797" max="2048" width="11.42578125" style="230"/>
    <col min="2049" max="2049" width="27.85546875" style="230" customWidth="1"/>
    <col min="2050" max="2050" width="89.7109375" style="230" customWidth="1"/>
    <col min="2051" max="2052" width="17.28515625" style="230" customWidth="1"/>
    <col min="2053" max="2304" width="11.42578125" style="230"/>
    <col min="2305" max="2305" width="27.85546875" style="230" customWidth="1"/>
    <col min="2306" max="2306" width="89.7109375" style="230" customWidth="1"/>
    <col min="2307" max="2308" width="17.28515625" style="230" customWidth="1"/>
    <col min="2309" max="2560" width="11.42578125" style="230"/>
    <col min="2561" max="2561" width="27.85546875" style="230" customWidth="1"/>
    <col min="2562" max="2562" width="89.7109375" style="230" customWidth="1"/>
    <col min="2563" max="2564" width="17.28515625" style="230" customWidth="1"/>
    <col min="2565" max="2816" width="11.42578125" style="230"/>
    <col min="2817" max="2817" width="27.85546875" style="230" customWidth="1"/>
    <col min="2818" max="2818" width="89.7109375" style="230" customWidth="1"/>
    <col min="2819" max="2820" width="17.28515625" style="230" customWidth="1"/>
    <col min="2821" max="3072" width="11.42578125" style="230"/>
    <col min="3073" max="3073" width="27.85546875" style="230" customWidth="1"/>
    <col min="3074" max="3074" width="89.7109375" style="230" customWidth="1"/>
    <col min="3075" max="3076" width="17.28515625" style="230" customWidth="1"/>
    <col min="3077" max="3328" width="11.42578125" style="230"/>
    <col min="3329" max="3329" width="27.85546875" style="230" customWidth="1"/>
    <col min="3330" max="3330" width="89.7109375" style="230" customWidth="1"/>
    <col min="3331" max="3332" width="17.28515625" style="230" customWidth="1"/>
    <col min="3333" max="3584" width="11.42578125" style="230"/>
    <col min="3585" max="3585" width="27.85546875" style="230" customWidth="1"/>
    <col min="3586" max="3586" width="89.7109375" style="230" customWidth="1"/>
    <col min="3587" max="3588" width="17.28515625" style="230" customWidth="1"/>
    <col min="3589" max="3840" width="11.42578125" style="230"/>
    <col min="3841" max="3841" width="27.85546875" style="230" customWidth="1"/>
    <col min="3842" max="3842" width="89.7109375" style="230" customWidth="1"/>
    <col min="3843" max="3844" width="17.28515625" style="230" customWidth="1"/>
    <col min="3845" max="4096" width="11.42578125" style="230"/>
    <col min="4097" max="4097" width="27.85546875" style="230" customWidth="1"/>
    <col min="4098" max="4098" width="89.7109375" style="230" customWidth="1"/>
    <col min="4099" max="4100" width="17.28515625" style="230" customWidth="1"/>
    <col min="4101" max="4352" width="11.42578125" style="230"/>
    <col min="4353" max="4353" width="27.85546875" style="230" customWidth="1"/>
    <col min="4354" max="4354" width="89.7109375" style="230" customWidth="1"/>
    <col min="4355" max="4356" width="17.28515625" style="230" customWidth="1"/>
    <col min="4357" max="4608" width="11.42578125" style="230"/>
    <col min="4609" max="4609" width="27.85546875" style="230" customWidth="1"/>
    <col min="4610" max="4610" width="89.7109375" style="230" customWidth="1"/>
    <col min="4611" max="4612" width="17.28515625" style="230" customWidth="1"/>
    <col min="4613" max="4864" width="11.42578125" style="230"/>
    <col min="4865" max="4865" width="27.85546875" style="230" customWidth="1"/>
    <col min="4866" max="4866" width="89.7109375" style="230" customWidth="1"/>
    <col min="4867" max="4868" width="17.28515625" style="230" customWidth="1"/>
    <col min="4869" max="5120" width="11.42578125" style="230"/>
    <col min="5121" max="5121" width="27.85546875" style="230" customWidth="1"/>
    <col min="5122" max="5122" width="89.7109375" style="230" customWidth="1"/>
    <col min="5123" max="5124" width="17.28515625" style="230" customWidth="1"/>
    <col min="5125" max="5376" width="11.42578125" style="230"/>
    <col min="5377" max="5377" width="27.85546875" style="230" customWidth="1"/>
    <col min="5378" max="5378" width="89.7109375" style="230" customWidth="1"/>
    <col min="5379" max="5380" width="17.28515625" style="230" customWidth="1"/>
    <col min="5381" max="5632" width="11.42578125" style="230"/>
    <col min="5633" max="5633" width="27.85546875" style="230" customWidth="1"/>
    <col min="5634" max="5634" width="89.7109375" style="230" customWidth="1"/>
    <col min="5635" max="5636" width="17.28515625" style="230" customWidth="1"/>
    <col min="5637" max="5888" width="11.42578125" style="230"/>
    <col min="5889" max="5889" width="27.85546875" style="230" customWidth="1"/>
    <col min="5890" max="5890" width="89.7109375" style="230" customWidth="1"/>
    <col min="5891" max="5892" width="17.28515625" style="230" customWidth="1"/>
    <col min="5893" max="6144" width="11.42578125" style="230"/>
    <col min="6145" max="6145" width="27.85546875" style="230" customWidth="1"/>
    <col min="6146" max="6146" width="89.7109375" style="230" customWidth="1"/>
    <col min="6147" max="6148" width="17.28515625" style="230" customWidth="1"/>
    <col min="6149" max="6400" width="11.42578125" style="230"/>
    <col min="6401" max="6401" width="27.85546875" style="230" customWidth="1"/>
    <col min="6402" max="6402" width="89.7109375" style="230" customWidth="1"/>
    <col min="6403" max="6404" width="17.28515625" style="230" customWidth="1"/>
    <col min="6405" max="6656" width="11.42578125" style="230"/>
    <col min="6657" max="6657" width="27.85546875" style="230" customWidth="1"/>
    <col min="6658" max="6658" width="89.7109375" style="230" customWidth="1"/>
    <col min="6659" max="6660" width="17.28515625" style="230" customWidth="1"/>
    <col min="6661" max="6912" width="11.42578125" style="230"/>
    <col min="6913" max="6913" width="27.85546875" style="230" customWidth="1"/>
    <col min="6914" max="6914" width="89.7109375" style="230" customWidth="1"/>
    <col min="6915" max="6916" width="17.28515625" style="230" customWidth="1"/>
    <col min="6917" max="7168" width="11.42578125" style="230"/>
    <col min="7169" max="7169" width="27.85546875" style="230" customWidth="1"/>
    <col min="7170" max="7170" width="89.7109375" style="230" customWidth="1"/>
    <col min="7171" max="7172" width="17.28515625" style="230" customWidth="1"/>
    <col min="7173" max="7424" width="11.42578125" style="230"/>
    <col min="7425" max="7425" width="27.85546875" style="230" customWidth="1"/>
    <col min="7426" max="7426" width="89.7109375" style="230" customWidth="1"/>
    <col min="7427" max="7428" width="17.28515625" style="230" customWidth="1"/>
    <col min="7429" max="7680" width="11.42578125" style="230"/>
    <col min="7681" max="7681" width="27.85546875" style="230" customWidth="1"/>
    <col min="7682" max="7682" width="89.7109375" style="230" customWidth="1"/>
    <col min="7683" max="7684" width="17.28515625" style="230" customWidth="1"/>
    <col min="7685" max="7936" width="11.42578125" style="230"/>
    <col min="7937" max="7937" width="27.85546875" style="230" customWidth="1"/>
    <col min="7938" max="7938" width="89.7109375" style="230" customWidth="1"/>
    <col min="7939" max="7940" width="17.28515625" style="230" customWidth="1"/>
    <col min="7941" max="8192" width="11.42578125" style="230"/>
    <col min="8193" max="8193" width="27.85546875" style="230" customWidth="1"/>
    <col min="8194" max="8194" width="89.7109375" style="230" customWidth="1"/>
    <col min="8195" max="8196" width="17.28515625" style="230" customWidth="1"/>
    <col min="8197" max="8448" width="11.42578125" style="230"/>
    <col min="8449" max="8449" width="27.85546875" style="230" customWidth="1"/>
    <col min="8450" max="8450" width="89.7109375" style="230" customWidth="1"/>
    <col min="8451" max="8452" width="17.28515625" style="230" customWidth="1"/>
    <col min="8453" max="8704" width="11.42578125" style="230"/>
    <col min="8705" max="8705" width="27.85546875" style="230" customWidth="1"/>
    <col min="8706" max="8706" width="89.7109375" style="230" customWidth="1"/>
    <col min="8707" max="8708" width="17.28515625" style="230" customWidth="1"/>
    <col min="8709" max="8960" width="11.42578125" style="230"/>
    <col min="8961" max="8961" width="27.85546875" style="230" customWidth="1"/>
    <col min="8962" max="8962" width="89.7109375" style="230" customWidth="1"/>
    <col min="8963" max="8964" width="17.28515625" style="230" customWidth="1"/>
    <col min="8965" max="9216" width="11.42578125" style="230"/>
    <col min="9217" max="9217" width="27.85546875" style="230" customWidth="1"/>
    <col min="9218" max="9218" width="89.7109375" style="230" customWidth="1"/>
    <col min="9219" max="9220" width="17.28515625" style="230" customWidth="1"/>
    <col min="9221" max="9472" width="11.42578125" style="230"/>
    <col min="9473" max="9473" width="27.85546875" style="230" customWidth="1"/>
    <col min="9474" max="9474" width="89.7109375" style="230" customWidth="1"/>
    <col min="9475" max="9476" width="17.28515625" style="230" customWidth="1"/>
    <col min="9477" max="9728" width="11.42578125" style="230"/>
    <col min="9729" max="9729" width="27.85546875" style="230" customWidth="1"/>
    <col min="9730" max="9730" width="89.7109375" style="230" customWidth="1"/>
    <col min="9731" max="9732" width="17.28515625" style="230" customWidth="1"/>
    <col min="9733" max="9984" width="11.42578125" style="230"/>
    <col min="9985" max="9985" width="27.85546875" style="230" customWidth="1"/>
    <col min="9986" max="9986" width="89.7109375" style="230" customWidth="1"/>
    <col min="9987" max="9988" width="17.28515625" style="230" customWidth="1"/>
    <col min="9989" max="10240" width="11.42578125" style="230"/>
    <col min="10241" max="10241" width="27.85546875" style="230" customWidth="1"/>
    <col min="10242" max="10242" width="89.7109375" style="230" customWidth="1"/>
    <col min="10243" max="10244" width="17.28515625" style="230" customWidth="1"/>
    <col min="10245" max="10496" width="11.42578125" style="230"/>
    <col min="10497" max="10497" width="27.85546875" style="230" customWidth="1"/>
    <col min="10498" max="10498" width="89.7109375" style="230" customWidth="1"/>
    <col min="10499" max="10500" width="17.28515625" style="230" customWidth="1"/>
    <col min="10501" max="10752" width="11.42578125" style="230"/>
    <col min="10753" max="10753" width="27.85546875" style="230" customWidth="1"/>
    <col min="10754" max="10754" width="89.7109375" style="230" customWidth="1"/>
    <col min="10755" max="10756" width="17.28515625" style="230" customWidth="1"/>
    <col min="10757" max="11008" width="11.42578125" style="230"/>
    <col min="11009" max="11009" width="27.85546875" style="230" customWidth="1"/>
    <col min="11010" max="11010" width="89.7109375" style="230" customWidth="1"/>
    <col min="11011" max="11012" width="17.28515625" style="230" customWidth="1"/>
    <col min="11013" max="11264" width="11.42578125" style="230"/>
    <col min="11265" max="11265" width="27.85546875" style="230" customWidth="1"/>
    <col min="11266" max="11266" width="89.7109375" style="230" customWidth="1"/>
    <col min="11267" max="11268" width="17.28515625" style="230" customWidth="1"/>
    <col min="11269" max="11520" width="11.42578125" style="230"/>
    <col min="11521" max="11521" width="27.85546875" style="230" customWidth="1"/>
    <col min="11522" max="11522" width="89.7109375" style="230" customWidth="1"/>
    <col min="11523" max="11524" width="17.28515625" style="230" customWidth="1"/>
    <col min="11525" max="11776" width="11.42578125" style="230"/>
    <col min="11777" max="11777" width="27.85546875" style="230" customWidth="1"/>
    <col min="11778" max="11778" width="89.7109375" style="230" customWidth="1"/>
    <col min="11779" max="11780" width="17.28515625" style="230" customWidth="1"/>
    <col min="11781" max="12032" width="11.42578125" style="230"/>
    <col min="12033" max="12033" width="27.85546875" style="230" customWidth="1"/>
    <col min="12034" max="12034" width="89.7109375" style="230" customWidth="1"/>
    <col min="12035" max="12036" width="17.28515625" style="230" customWidth="1"/>
    <col min="12037" max="12288" width="11.42578125" style="230"/>
    <col min="12289" max="12289" width="27.85546875" style="230" customWidth="1"/>
    <col min="12290" max="12290" width="89.7109375" style="230" customWidth="1"/>
    <col min="12291" max="12292" width="17.28515625" style="230" customWidth="1"/>
    <col min="12293" max="12544" width="11.42578125" style="230"/>
    <col min="12545" max="12545" width="27.85546875" style="230" customWidth="1"/>
    <col min="12546" max="12546" width="89.7109375" style="230" customWidth="1"/>
    <col min="12547" max="12548" width="17.28515625" style="230" customWidth="1"/>
    <col min="12549" max="12800" width="11.42578125" style="230"/>
    <col min="12801" max="12801" width="27.85546875" style="230" customWidth="1"/>
    <col min="12802" max="12802" width="89.7109375" style="230" customWidth="1"/>
    <col min="12803" max="12804" width="17.28515625" style="230" customWidth="1"/>
    <col min="12805" max="13056" width="11.42578125" style="230"/>
    <col min="13057" max="13057" width="27.85546875" style="230" customWidth="1"/>
    <col min="13058" max="13058" width="89.7109375" style="230" customWidth="1"/>
    <col min="13059" max="13060" width="17.28515625" style="230" customWidth="1"/>
    <col min="13061" max="13312" width="11.42578125" style="230"/>
    <col min="13313" max="13313" width="27.85546875" style="230" customWidth="1"/>
    <col min="13314" max="13314" width="89.7109375" style="230" customWidth="1"/>
    <col min="13315" max="13316" width="17.28515625" style="230" customWidth="1"/>
    <col min="13317" max="13568" width="11.42578125" style="230"/>
    <col min="13569" max="13569" width="27.85546875" style="230" customWidth="1"/>
    <col min="13570" max="13570" width="89.7109375" style="230" customWidth="1"/>
    <col min="13571" max="13572" width="17.28515625" style="230" customWidth="1"/>
    <col min="13573" max="13824" width="11.42578125" style="230"/>
    <col min="13825" max="13825" width="27.85546875" style="230" customWidth="1"/>
    <col min="13826" max="13826" width="89.7109375" style="230" customWidth="1"/>
    <col min="13827" max="13828" width="17.28515625" style="230" customWidth="1"/>
    <col min="13829" max="14080" width="11.42578125" style="230"/>
    <col min="14081" max="14081" width="27.85546875" style="230" customWidth="1"/>
    <col min="14082" max="14082" width="89.7109375" style="230" customWidth="1"/>
    <col min="14083" max="14084" width="17.28515625" style="230" customWidth="1"/>
    <col min="14085" max="14336" width="11.42578125" style="230"/>
    <col min="14337" max="14337" width="27.85546875" style="230" customWidth="1"/>
    <col min="14338" max="14338" width="89.7109375" style="230" customWidth="1"/>
    <col min="14339" max="14340" width="17.28515625" style="230" customWidth="1"/>
    <col min="14341" max="14592" width="11.42578125" style="230"/>
    <col min="14593" max="14593" width="27.85546875" style="230" customWidth="1"/>
    <col min="14594" max="14594" width="89.7109375" style="230" customWidth="1"/>
    <col min="14595" max="14596" width="17.28515625" style="230" customWidth="1"/>
    <col min="14597" max="14848" width="11.42578125" style="230"/>
    <col min="14849" max="14849" width="27.85546875" style="230" customWidth="1"/>
    <col min="14850" max="14850" width="89.7109375" style="230" customWidth="1"/>
    <col min="14851" max="14852" width="17.28515625" style="230" customWidth="1"/>
    <col min="14853" max="15104" width="11.42578125" style="230"/>
    <col min="15105" max="15105" width="27.85546875" style="230" customWidth="1"/>
    <col min="15106" max="15106" width="89.7109375" style="230" customWidth="1"/>
    <col min="15107" max="15108" width="17.28515625" style="230" customWidth="1"/>
    <col min="15109" max="15360" width="11.42578125" style="230"/>
    <col min="15361" max="15361" width="27.85546875" style="230" customWidth="1"/>
    <col min="15362" max="15362" width="89.7109375" style="230" customWidth="1"/>
    <col min="15363" max="15364" width="17.28515625" style="230" customWidth="1"/>
    <col min="15365" max="15616" width="11.42578125" style="230"/>
    <col min="15617" max="15617" width="27.85546875" style="230" customWidth="1"/>
    <col min="15618" max="15618" width="89.7109375" style="230" customWidth="1"/>
    <col min="15619" max="15620" width="17.28515625" style="230" customWidth="1"/>
    <col min="15621" max="15872" width="11.42578125" style="230"/>
    <col min="15873" max="15873" width="27.85546875" style="230" customWidth="1"/>
    <col min="15874" max="15874" width="89.7109375" style="230" customWidth="1"/>
    <col min="15875" max="15876" width="17.28515625" style="230" customWidth="1"/>
    <col min="15877" max="16128" width="11.42578125" style="230"/>
    <col min="16129" max="16129" width="27.85546875" style="230" customWidth="1"/>
    <col min="16130" max="16130" width="89.7109375" style="230" customWidth="1"/>
    <col min="16131" max="16132" width="17.28515625" style="230" customWidth="1"/>
    <col min="16133" max="16384" width="11.42578125" style="230"/>
  </cols>
  <sheetData>
    <row r="1" spans="2:7" ht="15">
      <c r="B1"/>
      <c r="C1"/>
      <c r="D1"/>
      <c r="E1"/>
      <c r="F1"/>
      <c r="G1"/>
    </row>
    <row r="2" spans="2:7" ht="15">
      <c r="B2"/>
      <c r="C2"/>
      <c r="D2"/>
      <c r="E2"/>
      <c r="F2"/>
      <c r="G2"/>
    </row>
    <row r="3" spans="2:7" ht="15">
      <c r="B3"/>
      <c r="C3"/>
      <c r="D3"/>
      <c r="E3"/>
      <c r="F3"/>
      <c r="G3"/>
    </row>
    <row r="4" spans="2:7" ht="15.75" customHeight="1" thickBot="1">
      <c r="B4"/>
      <c r="C4"/>
      <c r="D4" s="322" t="s">
        <v>939</v>
      </c>
      <c r="E4" s="322"/>
      <c r="F4" s="323" t="s">
        <v>940</v>
      </c>
      <c r="G4" s="323"/>
    </row>
    <row r="5" spans="2:7" ht="30">
      <c r="B5" s="231" t="s">
        <v>941</v>
      </c>
      <c r="C5" s="232" t="s">
        <v>320</v>
      </c>
      <c r="D5" s="242" t="s">
        <v>942</v>
      </c>
      <c r="E5" s="242" t="s">
        <v>320</v>
      </c>
      <c r="F5" s="243" t="s">
        <v>942</v>
      </c>
      <c r="G5" s="243" t="s">
        <v>320</v>
      </c>
    </row>
    <row r="6" spans="2:7" ht="15">
      <c r="B6" s="233">
        <v>1</v>
      </c>
      <c r="C6" s="234" t="s">
        <v>943</v>
      </c>
      <c r="D6" s="235"/>
      <c r="E6" s="236"/>
      <c r="F6" s="237">
        <v>99</v>
      </c>
      <c r="G6" s="236" t="s">
        <v>889</v>
      </c>
    </row>
    <row r="7" spans="2:7" ht="15">
      <c r="B7" s="233">
        <v>2</v>
      </c>
      <c r="C7" s="234" t="s">
        <v>140</v>
      </c>
      <c r="D7" s="238">
        <v>24</v>
      </c>
      <c r="E7" s="236" t="s">
        <v>809</v>
      </c>
      <c r="F7" s="237">
        <v>25</v>
      </c>
      <c r="G7" s="236" t="s">
        <v>811</v>
      </c>
    </row>
    <row r="8" spans="2:7" ht="30">
      <c r="B8" s="233">
        <v>3</v>
      </c>
      <c r="C8" s="234" t="s">
        <v>141</v>
      </c>
      <c r="D8" s="238">
        <v>26</v>
      </c>
      <c r="E8" s="236" t="s">
        <v>812</v>
      </c>
      <c r="F8" s="237">
        <v>27</v>
      </c>
      <c r="G8" s="236" t="s">
        <v>814</v>
      </c>
    </row>
    <row r="9" spans="2:7" ht="30">
      <c r="B9" s="233">
        <v>4</v>
      </c>
      <c r="C9" s="234" t="s">
        <v>142</v>
      </c>
      <c r="D9" s="238">
        <v>28</v>
      </c>
      <c r="E9" s="236" t="s">
        <v>815</v>
      </c>
      <c r="F9" s="237"/>
      <c r="G9" s="236"/>
    </row>
    <row r="10" spans="2:7" ht="15">
      <c r="B10" s="233">
        <v>5</v>
      </c>
      <c r="C10" s="234" t="s">
        <v>143</v>
      </c>
      <c r="D10" s="238">
        <v>29</v>
      </c>
      <c r="E10" s="236" t="s">
        <v>816</v>
      </c>
      <c r="F10" s="237">
        <v>82</v>
      </c>
      <c r="G10" s="236" t="s">
        <v>872</v>
      </c>
    </row>
    <row r="11" spans="2:7" ht="15">
      <c r="B11" s="233">
        <v>6</v>
      </c>
      <c r="C11" s="234" t="s">
        <v>144</v>
      </c>
      <c r="D11" s="238">
        <v>30</v>
      </c>
      <c r="E11" s="236" t="s">
        <v>817</v>
      </c>
      <c r="F11" s="237">
        <v>83</v>
      </c>
      <c r="G11" s="236" t="s">
        <v>873</v>
      </c>
    </row>
    <row r="12" spans="2:7" ht="30">
      <c r="B12" s="233">
        <v>9</v>
      </c>
      <c r="C12" s="234" t="s">
        <v>145</v>
      </c>
      <c r="D12" s="238">
        <v>31</v>
      </c>
      <c r="E12" s="236" t="s">
        <v>818</v>
      </c>
      <c r="F12" s="237"/>
      <c r="G12" s="236"/>
    </row>
    <row r="13" spans="2:7" ht="15">
      <c r="B13" s="233">
        <v>10</v>
      </c>
      <c r="C13" s="234" t="s">
        <v>146</v>
      </c>
      <c r="D13" s="238"/>
      <c r="E13" s="236"/>
      <c r="F13" s="237">
        <v>32</v>
      </c>
      <c r="G13" s="236" t="s">
        <v>819</v>
      </c>
    </row>
    <row r="14" spans="2:7" ht="15">
      <c r="B14" s="233">
        <v>11</v>
      </c>
      <c r="C14" s="234" t="s">
        <v>147</v>
      </c>
      <c r="D14" s="238">
        <v>33</v>
      </c>
      <c r="E14" s="236" t="s">
        <v>820</v>
      </c>
      <c r="F14" s="237">
        <v>84</v>
      </c>
      <c r="G14" s="236" t="s">
        <v>874</v>
      </c>
    </row>
    <row r="15" spans="2:7" ht="15">
      <c r="B15" s="233">
        <v>12</v>
      </c>
      <c r="C15" s="234" t="s">
        <v>148</v>
      </c>
      <c r="D15" s="238">
        <v>34</v>
      </c>
      <c r="E15" s="236" t="s">
        <v>821</v>
      </c>
      <c r="F15" s="237">
        <v>85</v>
      </c>
      <c r="G15" s="236" t="s">
        <v>875</v>
      </c>
    </row>
    <row r="16" spans="2:7" ht="15">
      <c r="B16" s="233">
        <v>13</v>
      </c>
      <c r="C16" s="234" t="s">
        <v>149</v>
      </c>
      <c r="D16" s="238"/>
      <c r="E16" s="236"/>
      <c r="F16" s="237">
        <v>35</v>
      </c>
      <c r="G16" s="236" t="s">
        <v>822</v>
      </c>
    </row>
    <row r="17" spans="2:7" ht="15">
      <c r="B17" s="233">
        <v>14</v>
      </c>
      <c r="C17" s="234" t="s">
        <v>150</v>
      </c>
      <c r="D17" s="238">
        <v>36</v>
      </c>
      <c r="E17" s="236" t="s">
        <v>823</v>
      </c>
      <c r="F17" s="237">
        <v>86</v>
      </c>
      <c r="G17" s="236" t="s">
        <v>876</v>
      </c>
    </row>
    <row r="18" spans="2:7" ht="15">
      <c r="B18" s="233">
        <v>15</v>
      </c>
      <c r="C18" s="234" t="s">
        <v>151</v>
      </c>
      <c r="D18" s="238">
        <v>37</v>
      </c>
      <c r="E18" s="236" t="s">
        <v>825</v>
      </c>
      <c r="F18" s="237">
        <v>87</v>
      </c>
      <c r="G18" s="236" t="s">
        <v>877</v>
      </c>
    </row>
    <row r="19" spans="2:7" ht="15">
      <c r="B19" s="233">
        <v>19</v>
      </c>
      <c r="C19" s="234" t="s">
        <v>152</v>
      </c>
      <c r="D19" s="238">
        <v>38</v>
      </c>
      <c r="E19" s="236" t="s">
        <v>826</v>
      </c>
      <c r="F19" s="237">
        <v>39</v>
      </c>
      <c r="G19" s="236" t="s">
        <v>827</v>
      </c>
    </row>
    <row r="20" spans="2:7" ht="15">
      <c r="B20" s="233">
        <v>20</v>
      </c>
      <c r="C20" s="234" t="s">
        <v>153</v>
      </c>
      <c r="D20" s="238">
        <v>40</v>
      </c>
      <c r="E20" s="236" t="s">
        <v>828</v>
      </c>
      <c r="F20" s="237">
        <v>41</v>
      </c>
      <c r="G20" s="236" t="s">
        <v>830</v>
      </c>
    </row>
    <row r="21" spans="2:7" ht="15">
      <c r="B21" s="233">
        <v>21</v>
      </c>
      <c r="C21" s="234" t="s">
        <v>132</v>
      </c>
      <c r="D21" s="238">
        <v>42</v>
      </c>
      <c r="E21" s="236" t="s">
        <v>831</v>
      </c>
      <c r="F21" s="237">
        <v>43</v>
      </c>
      <c r="G21" s="236" t="s">
        <v>833</v>
      </c>
    </row>
    <row r="22" spans="2:7" ht="15">
      <c r="B22" s="233">
        <v>22</v>
      </c>
      <c r="C22" s="234" t="s">
        <v>154</v>
      </c>
      <c r="D22" s="238">
        <v>44</v>
      </c>
      <c r="E22" s="236" t="s">
        <v>834</v>
      </c>
      <c r="F22" s="237">
        <v>45</v>
      </c>
      <c r="G22" s="236" t="s">
        <v>835</v>
      </c>
    </row>
    <row r="23" spans="2:7" ht="30">
      <c r="B23" s="233">
        <v>23</v>
      </c>
      <c r="C23" s="234" t="s">
        <v>155</v>
      </c>
      <c r="D23" s="238">
        <v>46</v>
      </c>
      <c r="E23" s="236" t="s">
        <v>836</v>
      </c>
      <c r="F23" s="237">
        <v>47</v>
      </c>
      <c r="G23" s="236" t="s">
        <v>944</v>
      </c>
    </row>
    <row r="24" spans="2:7" ht="15">
      <c r="B24" s="233">
        <v>24</v>
      </c>
      <c r="C24" s="234" t="s">
        <v>156</v>
      </c>
      <c r="D24" s="238">
        <v>48</v>
      </c>
      <c r="E24" s="236" t="s">
        <v>838</v>
      </c>
      <c r="F24" s="237">
        <v>88</v>
      </c>
      <c r="G24" s="236" t="s">
        <v>878</v>
      </c>
    </row>
    <row r="25" spans="2:7" ht="15">
      <c r="B25" s="233">
        <v>25</v>
      </c>
      <c r="C25" s="234" t="s">
        <v>157</v>
      </c>
      <c r="D25" s="238">
        <v>49</v>
      </c>
      <c r="E25" s="236" t="s">
        <v>839</v>
      </c>
      <c r="F25" s="237">
        <v>50</v>
      </c>
      <c r="G25" s="236" t="s">
        <v>840</v>
      </c>
    </row>
    <row r="26" spans="2:7" ht="15">
      <c r="B26" s="233">
        <v>26</v>
      </c>
      <c r="C26" s="234" t="s">
        <v>158</v>
      </c>
      <c r="D26" s="238">
        <v>51</v>
      </c>
      <c r="E26" s="236" t="s">
        <v>841</v>
      </c>
      <c r="F26" s="237"/>
      <c r="G26" s="236"/>
    </row>
    <row r="27" spans="2:7" ht="30">
      <c r="B27" s="233">
        <v>27</v>
      </c>
      <c r="C27" s="234" t="s">
        <v>159</v>
      </c>
      <c r="D27" s="238">
        <v>52</v>
      </c>
      <c r="E27" s="236" t="s">
        <v>842</v>
      </c>
      <c r="F27" s="237"/>
      <c r="G27" s="236"/>
    </row>
    <row r="28" spans="2:7" ht="15">
      <c r="B28" s="233">
        <v>28</v>
      </c>
      <c r="C28" s="234" t="s">
        <v>160</v>
      </c>
      <c r="D28" s="238"/>
      <c r="E28" s="236"/>
      <c r="F28" s="237">
        <v>53</v>
      </c>
      <c r="G28" s="236" t="s">
        <v>843</v>
      </c>
    </row>
    <row r="29" spans="2:7" ht="15">
      <c r="B29" s="233">
        <v>29</v>
      </c>
      <c r="C29" s="234" t="s">
        <v>161</v>
      </c>
      <c r="D29" s="238">
        <v>54</v>
      </c>
      <c r="E29" s="236" t="s">
        <v>844</v>
      </c>
      <c r="F29" s="237">
        <v>89</v>
      </c>
      <c r="G29" s="236" t="s">
        <v>879</v>
      </c>
    </row>
    <row r="30" spans="2:7" ht="15">
      <c r="B30" s="233">
        <v>30</v>
      </c>
      <c r="C30" s="234" t="s">
        <v>162</v>
      </c>
      <c r="D30" s="238">
        <v>55</v>
      </c>
      <c r="E30" s="236" t="s">
        <v>845</v>
      </c>
      <c r="F30" s="237">
        <v>90</v>
      </c>
      <c r="G30" s="236" t="s">
        <v>880</v>
      </c>
    </row>
    <row r="31" spans="2:7" ht="15">
      <c r="B31" s="233">
        <v>31</v>
      </c>
      <c r="C31" s="234" t="s">
        <v>163</v>
      </c>
      <c r="D31" s="238">
        <v>56</v>
      </c>
      <c r="E31" s="236" t="s">
        <v>846</v>
      </c>
      <c r="F31" s="237">
        <v>91</v>
      </c>
      <c r="G31" s="236" t="s">
        <v>881</v>
      </c>
    </row>
    <row r="32" spans="2:7" ht="15">
      <c r="B32" s="233">
        <v>32</v>
      </c>
      <c r="C32" s="234" t="s">
        <v>164</v>
      </c>
      <c r="D32" s="238">
        <v>57</v>
      </c>
      <c r="E32" s="236" t="s">
        <v>847</v>
      </c>
      <c r="F32" s="237">
        <v>92</v>
      </c>
      <c r="G32" s="236" t="s">
        <v>882</v>
      </c>
    </row>
    <row r="33" spans="2:7" ht="15">
      <c r="B33" s="233">
        <v>33</v>
      </c>
      <c r="C33" s="234" t="s">
        <v>165</v>
      </c>
      <c r="D33" s="238">
        <v>58</v>
      </c>
      <c r="E33" s="236" t="s">
        <v>848</v>
      </c>
      <c r="F33" s="237">
        <v>93</v>
      </c>
      <c r="G33" s="236" t="s">
        <v>883</v>
      </c>
    </row>
    <row r="34" spans="2:7" ht="15">
      <c r="B34" s="233">
        <v>34</v>
      </c>
      <c r="C34" s="234" t="s">
        <v>166</v>
      </c>
      <c r="D34" s="238">
        <v>59</v>
      </c>
      <c r="E34" s="236" t="s">
        <v>849</v>
      </c>
      <c r="F34" s="237">
        <v>94</v>
      </c>
      <c r="G34" s="236" t="s">
        <v>884</v>
      </c>
    </row>
    <row r="35" spans="2:7" ht="15">
      <c r="B35" s="233">
        <v>35</v>
      </c>
      <c r="C35" s="234" t="s">
        <v>167</v>
      </c>
      <c r="D35" s="238">
        <v>60</v>
      </c>
      <c r="E35" s="236" t="s">
        <v>850</v>
      </c>
      <c r="F35" s="237">
        <v>95</v>
      </c>
      <c r="G35" s="236" t="s">
        <v>885</v>
      </c>
    </row>
    <row r="36" spans="2:7" ht="15">
      <c r="B36" s="233">
        <v>36</v>
      </c>
      <c r="C36" s="234" t="s">
        <v>168</v>
      </c>
      <c r="D36" s="238">
        <v>61</v>
      </c>
      <c r="E36" s="236" t="s">
        <v>851</v>
      </c>
      <c r="F36" s="237">
        <v>96</v>
      </c>
      <c r="G36" s="236" t="s">
        <v>886</v>
      </c>
    </row>
    <row r="37" spans="2:7" ht="15">
      <c r="B37" s="233">
        <v>37</v>
      </c>
      <c r="C37" s="234" t="s">
        <v>169</v>
      </c>
      <c r="D37" s="238">
        <v>62</v>
      </c>
      <c r="E37" s="236" t="s">
        <v>852</v>
      </c>
      <c r="F37" s="237">
        <v>97</v>
      </c>
      <c r="G37" s="236" t="s">
        <v>887</v>
      </c>
    </row>
    <row r="38" spans="2:7" ht="30">
      <c r="B38" s="233">
        <v>38</v>
      </c>
      <c r="C38" s="234" t="s">
        <v>170</v>
      </c>
      <c r="D38" s="238">
        <v>63</v>
      </c>
      <c r="E38" s="236" t="s">
        <v>853</v>
      </c>
      <c r="F38" s="237">
        <v>64</v>
      </c>
      <c r="G38" s="236" t="s">
        <v>945</v>
      </c>
    </row>
    <row r="39" spans="2:7" ht="30">
      <c r="B39" s="233">
        <v>39</v>
      </c>
      <c r="C39" s="234" t="s">
        <v>171</v>
      </c>
      <c r="D39" s="238">
        <v>65</v>
      </c>
      <c r="E39" s="236" t="s">
        <v>855</v>
      </c>
      <c r="F39" s="237">
        <v>66</v>
      </c>
      <c r="G39" s="236" t="s">
        <v>856</v>
      </c>
    </row>
    <row r="40" spans="2:7" ht="30">
      <c r="B40" s="233">
        <v>44</v>
      </c>
      <c r="C40" s="234" t="s">
        <v>172</v>
      </c>
      <c r="D40" s="238">
        <v>69</v>
      </c>
      <c r="E40" s="236" t="s">
        <v>859</v>
      </c>
      <c r="F40" s="237">
        <v>70</v>
      </c>
      <c r="G40" s="236" t="s">
        <v>860</v>
      </c>
    </row>
    <row r="41" spans="2:7" ht="30">
      <c r="B41" s="233">
        <v>45</v>
      </c>
      <c r="C41" s="234" t="s">
        <v>173</v>
      </c>
      <c r="D41" s="238">
        <v>72</v>
      </c>
      <c r="E41" s="236" t="s">
        <v>862</v>
      </c>
      <c r="F41" s="237">
        <v>73</v>
      </c>
      <c r="G41" s="236" t="s">
        <v>863</v>
      </c>
    </row>
    <row r="42" spans="2:7" ht="15">
      <c r="B42" s="233" t="s">
        <v>946</v>
      </c>
      <c r="C42" s="238" t="s">
        <v>175</v>
      </c>
      <c r="D42" s="238"/>
      <c r="E42" s="236"/>
      <c r="F42" s="237">
        <v>98</v>
      </c>
      <c r="G42" s="236" t="s">
        <v>888</v>
      </c>
    </row>
    <row r="43" spans="2:7" ht="28.5">
      <c r="B43" s="233" t="s">
        <v>947</v>
      </c>
      <c r="C43" s="239" t="s">
        <v>948</v>
      </c>
      <c r="D43" s="239">
        <v>74</v>
      </c>
      <c r="E43" s="236" t="s">
        <v>864</v>
      </c>
      <c r="F43" s="237">
        <v>75</v>
      </c>
      <c r="G43" s="236" t="s">
        <v>865</v>
      </c>
    </row>
    <row r="44" spans="2:7" ht="15">
      <c r="B44" s="233">
        <v>48</v>
      </c>
      <c r="C44" s="238" t="s">
        <v>177</v>
      </c>
      <c r="D44" s="238">
        <v>76</v>
      </c>
      <c r="E44" s="236" t="s">
        <v>866</v>
      </c>
      <c r="F44" s="237">
        <v>77</v>
      </c>
      <c r="G44" s="236" t="s">
        <v>867</v>
      </c>
    </row>
    <row r="45" spans="2:7" ht="15">
      <c r="B45" s="233">
        <v>49</v>
      </c>
      <c r="C45" s="238" t="s">
        <v>178</v>
      </c>
      <c r="D45" s="238"/>
      <c r="E45" s="236"/>
      <c r="F45" s="237">
        <v>78</v>
      </c>
      <c r="G45" s="236" t="s">
        <v>868</v>
      </c>
    </row>
    <row r="46" spans="2:7" ht="30">
      <c r="B46" s="233">
        <v>50</v>
      </c>
      <c r="C46" s="238" t="s">
        <v>179</v>
      </c>
      <c r="D46" s="238" t="s">
        <v>949</v>
      </c>
      <c r="E46" s="236" t="s">
        <v>950</v>
      </c>
      <c r="F46" s="237">
        <v>80</v>
      </c>
      <c r="G46" s="236" t="s">
        <v>870</v>
      </c>
    </row>
    <row r="47" spans="2:7" ht="57">
      <c r="B47" s="233">
        <v>51</v>
      </c>
      <c r="C47" s="239" t="s">
        <v>180</v>
      </c>
      <c r="D47" s="239"/>
      <c r="E47" s="236"/>
      <c r="F47" s="237">
        <v>102</v>
      </c>
      <c r="G47" s="236" t="s">
        <v>893</v>
      </c>
    </row>
    <row r="48" spans="2:7" ht="57">
      <c r="B48" s="233">
        <v>52</v>
      </c>
      <c r="C48" s="239" t="s">
        <v>951</v>
      </c>
      <c r="D48" s="239">
        <v>104</v>
      </c>
      <c r="E48" s="236" t="s">
        <v>952</v>
      </c>
      <c r="F48" s="237">
        <v>103</v>
      </c>
      <c r="G48" s="236" t="s">
        <v>953</v>
      </c>
    </row>
    <row r="49" spans="2:7" ht="57">
      <c r="B49" s="233">
        <v>53</v>
      </c>
      <c r="C49" s="239" t="s">
        <v>954</v>
      </c>
      <c r="D49" s="239">
        <v>106</v>
      </c>
      <c r="E49" s="236" t="s">
        <v>955</v>
      </c>
      <c r="F49" s="237">
        <v>105</v>
      </c>
      <c r="G49" s="236" t="s">
        <v>956</v>
      </c>
    </row>
    <row r="50" spans="2:7" ht="15">
      <c r="B50" s="233">
        <v>54</v>
      </c>
      <c r="C50" s="240" t="s">
        <v>181</v>
      </c>
      <c r="D50" s="240">
        <v>109</v>
      </c>
      <c r="E50" s="236" t="s">
        <v>900</v>
      </c>
      <c r="F50" s="237">
        <v>108</v>
      </c>
      <c r="G50" s="236" t="s">
        <v>899</v>
      </c>
    </row>
    <row r="51" spans="2:7" ht="15">
      <c r="B51" s="233">
        <v>55</v>
      </c>
      <c r="C51" s="234" t="s">
        <v>182</v>
      </c>
      <c r="D51" s="238">
        <v>111</v>
      </c>
      <c r="E51" s="236" t="s">
        <v>902</v>
      </c>
      <c r="F51" s="237">
        <v>110</v>
      </c>
      <c r="G51" s="236" t="s">
        <v>901</v>
      </c>
    </row>
    <row r="52" spans="2:7" ht="30">
      <c r="B52" s="233">
        <v>56</v>
      </c>
      <c r="C52" s="234" t="s">
        <v>957</v>
      </c>
      <c r="D52" s="238">
        <v>113</v>
      </c>
      <c r="E52" s="236" t="s">
        <v>904</v>
      </c>
      <c r="F52" s="237">
        <v>112</v>
      </c>
      <c r="G52" s="236" t="s">
        <v>903</v>
      </c>
    </row>
    <row r="54" spans="2:7" ht="42" customHeight="1">
      <c r="B54" s="324" t="s">
        <v>958</v>
      </c>
      <c r="C54" s="325"/>
      <c r="D54" s="325"/>
      <c r="E54" s="325"/>
      <c r="F54" s="325"/>
      <c r="G54" s="325"/>
    </row>
  </sheetData>
  <mergeCells count="3">
    <mergeCell ref="D4:E4"/>
    <mergeCell ref="F4:G4"/>
    <mergeCell ref="B54:G54"/>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6078F-877D-4392-83A8-BB8C14D96CF7}">
  <sheetPr codeName="Hoja18"/>
  <dimension ref="B2:K41"/>
  <sheetViews>
    <sheetView showGridLines="0" zoomScale="120" zoomScaleNormal="120" workbookViewId="0">
      <selection activeCell="B4" sqref="B4"/>
    </sheetView>
  </sheetViews>
  <sheetFormatPr baseColWidth="10" defaultRowHeight="15"/>
  <cols>
    <col min="1" max="1" width="4.7109375" style="108" customWidth="1"/>
    <col min="2" max="2" width="49.42578125" style="108" customWidth="1"/>
    <col min="3" max="3" width="18" style="108" customWidth="1"/>
    <col min="4" max="4" width="18.28515625" style="108" customWidth="1"/>
    <col min="5" max="5" width="11.42578125" style="108"/>
    <col min="6" max="6" width="8.28515625" style="108" customWidth="1"/>
    <col min="7" max="7" width="9.7109375" style="108" customWidth="1"/>
    <col min="8" max="8" width="8.7109375" style="108" customWidth="1"/>
    <col min="9" max="10" width="9.28515625" style="108" customWidth="1"/>
    <col min="11" max="11" width="8.7109375" style="108" customWidth="1"/>
    <col min="12" max="12" width="9.85546875" style="108" customWidth="1"/>
    <col min="13" max="16384" width="11.42578125" style="108"/>
  </cols>
  <sheetData>
    <row r="2" spans="2:6" ht="32.25" customHeight="1"/>
    <row r="3" spans="2:6">
      <c r="B3" s="217" t="s">
        <v>905</v>
      </c>
      <c r="C3" s="327" t="s">
        <v>906</v>
      </c>
      <c r="D3" s="327"/>
      <c r="E3" s="327"/>
      <c r="F3" s="327"/>
    </row>
    <row r="4" spans="2:6" ht="45" customHeight="1">
      <c r="B4" s="209" t="s">
        <v>907</v>
      </c>
      <c r="C4" s="318" t="s">
        <v>908</v>
      </c>
      <c r="D4" s="318"/>
      <c r="E4" s="318"/>
      <c r="F4" s="318"/>
    </row>
    <row r="5" spans="2:6" ht="126.75" customHeight="1">
      <c r="B5" s="148" t="s">
        <v>909</v>
      </c>
      <c r="C5" s="261" t="s">
        <v>910</v>
      </c>
      <c r="D5" s="261"/>
      <c r="E5" s="261"/>
      <c r="F5" s="261"/>
    </row>
    <row r="6" spans="2:6" ht="15.75" thickBot="1">
      <c r="B6" s="333"/>
      <c r="C6" s="218" t="s">
        <v>911</v>
      </c>
      <c r="D6" s="219" t="s">
        <v>912</v>
      </c>
    </row>
    <row r="7" spans="2:6" ht="15.75" thickBot="1">
      <c r="B7" s="334"/>
      <c r="C7" s="220">
        <v>2026</v>
      </c>
      <c r="D7" s="221">
        <v>48</v>
      </c>
    </row>
    <row r="8" spans="2:6" ht="15.75" thickBot="1">
      <c r="B8" s="334"/>
      <c r="C8" s="220">
        <v>2027</v>
      </c>
      <c r="D8" s="221">
        <v>46</v>
      </c>
    </row>
    <row r="9" spans="2:6" ht="15.75" thickBot="1">
      <c r="B9" s="334"/>
      <c r="C9" s="220">
        <v>2028</v>
      </c>
      <c r="D9" s="221">
        <v>44</v>
      </c>
    </row>
    <row r="10" spans="2:6" ht="15.75" thickBot="1">
      <c r="B10" s="334"/>
      <c r="C10" s="220">
        <v>2029</v>
      </c>
      <c r="D10" s="221">
        <v>42</v>
      </c>
    </row>
    <row r="11" spans="2:6">
      <c r="B11" s="334"/>
      <c r="C11" s="222">
        <v>2030</v>
      </c>
      <c r="D11" s="223">
        <v>40</v>
      </c>
    </row>
    <row r="12" spans="2:6" ht="51.75" customHeight="1">
      <c r="B12" s="166" t="s">
        <v>913</v>
      </c>
      <c r="C12" s="261" t="s">
        <v>914</v>
      </c>
      <c r="D12" s="261"/>
      <c r="E12" s="261"/>
      <c r="F12" s="261"/>
    </row>
    <row r="13" spans="2:6" ht="132" customHeight="1">
      <c r="B13" s="166" t="s">
        <v>915</v>
      </c>
      <c r="C13" s="261" t="s">
        <v>916</v>
      </c>
      <c r="D13" s="261"/>
      <c r="E13" s="261"/>
      <c r="F13" s="261"/>
    </row>
    <row r="14" spans="2:6" ht="78" customHeight="1">
      <c r="B14" s="335"/>
      <c r="C14" s="261" t="s">
        <v>917</v>
      </c>
      <c r="D14" s="261"/>
      <c r="E14" s="261"/>
      <c r="F14" s="261"/>
    </row>
    <row r="15" spans="2:6" ht="15.75" thickBot="1">
      <c r="B15" s="336"/>
      <c r="C15" s="218" t="s">
        <v>911</v>
      </c>
      <c r="D15" s="219" t="s">
        <v>918</v>
      </c>
    </row>
    <row r="16" spans="2:6" ht="15.75" thickBot="1">
      <c r="B16" s="336"/>
      <c r="C16" s="220">
        <v>2026</v>
      </c>
      <c r="D16" s="221">
        <v>9</v>
      </c>
    </row>
    <row r="17" spans="2:11" ht="15.75" thickBot="1">
      <c r="B17" s="336"/>
      <c r="C17" s="220">
        <v>2027</v>
      </c>
      <c r="D17" s="221">
        <v>9</v>
      </c>
    </row>
    <row r="18" spans="2:11" ht="15.75" thickBot="1">
      <c r="B18" s="336"/>
      <c r="C18" s="220">
        <v>2028</v>
      </c>
      <c r="D18" s="221">
        <v>10</v>
      </c>
    </row>
    <row r="19" spans="2:11" ht="15.75" thickBot="1">
      <c r="B19" s="336"/>
      <c r="C19" s="220">
        <v>2029</v>
      </c>
      <c r="D19" s="221">
        <v>11</v>
      </c>
    </row>
    <row r="20" spans="2:11">
      <c r="B20" s="336"/>
      <c r="C20" s="222">
        <v>2030</v>
      </c>
      <c r="D20" s="223">
        <v>12</v>
      </c>
    </row>
    <row r="21" spans="2:11" ht="191.25" customHeight="1">
      <c r="B21" s="148" t="s">
        <v>919</v>
      </c>
      <c r="C21" s="261" t="s">
        <v>920</v>
      </c>
      <c r="D21" s="261"/>
      <c r="E21" s="261"/>
      <c r="F21" s="261"/>
    </row>
    <row r="24" spans="2:11">
      <c r="B24" s="144" t="s">
        <v>911</v>
      </c>
      <c r="C24" s="224">
        <v>2026</v>
      </c>
      <c r="E24" s="116"/>
      <c r="F24" s="116"/>
      <c r="G24" s="116"/>
      <c r="H24" s="116"/>
      <c r="I24" s="116"/>
      <c r="J24" s="116"/>
      <c r="K24" s="116"/>
    </row>
    <row r="25" spans="2:11">
      <c r="B25" s="168" t="s">
        <v>921</v>
      </c>
      <c r="C25" s="168" t="s">
        <v>922</v>
      </c>
      <c r="D25" s="225" t="s">
        <v>923</v>
      </c>
      <c r="E25" s="226" t="s">
        <v>924</v>
      </c>
      <c r="F25" s="226" t="s">
        <v>925</v>
      </c>
      <c r="G25" s="226" t="s">
        <v>926</v>
      </c>
      <c r="H25" s="226" t="s">
        <v>927</v>
      </c>
      <c r="I25" s="226" t="s">
        <v>928</v>
      </c>
      <c r="J25" s="226" t="s">
        <v>929</v>
      </c>
      <c r="K25" s="226" t="s">
        <v>930</v>
      </c>
    </row>
    <row r="26" spans="2:11">
      <c r="B26" s="151" t="s">
        <v>490</v>
      </c>
      <c r="C26" s="151">
        <v>8</v>
      </c>
      <c r="D26" s="151">
        <f>IFERROR(VLOOKUP($C$24,$C$16:$D$20,2,FALSE),"")</f>
        <v>9</v>
      </c>
      <c r="E26" s="150"/>
      <c r="F26" s="150"/>
      <c r="G26" s="150"/>
      <c r="H26" s="150"/>
      <c r="I26" s="150"/>
      <c r="J26" s="150"/>
      <c r="K26" s="150"/>
    </row>
    <row r="27" spans="2:11">
      <c r="B27" s="151" t="s">
        <v>492</v>
      </c>
      <c r="C27" s="151">
        <v>7</v>
      </c>
      <c r="D27" s="151">
        <f>IFERROR(VLOOKUP($C$24,$C$16:$D$20,2,FALSE),"")</f>
        <v>9</v>
      </c>
      <c r="E27" s="150"/>
      <c r="F27" s="150"/>
      <c r="G27" s="150"/>
      <c r="H27" s="150"/>
      <c r="I27" s="150"/>
      <c r="J27" s="150"/>
      <c r="K27" s="150"/>
    </row>
    <row r="28" spans="2:11">
      <c r="B28" s="151" t="s">
        <v>493</v>
      </c>
      <c r="C28" s="151">
        <v>7.5</v>
      </c>
      <c r="D28" s="151">
        <f>IFERROR(VLOOKUP($C$24,$C$16:$D$20,2,FALSE),"")</f>
        <v>9</v>
      </c>
      <c r="E28" s="150"/>
      <c r="F28" s="150"/>
      <c r="G28" s="150"/>
      <c r="H28" s="150"/>
      <c r="I28" s="150"/>
      <c r="J28" s="150"/>
      <c r="K28" s="150"/>
    </row>
    <row r="29" spans="2:11">
      <c r="C29"/>
      <c r="D29" t="s">
        <v>931</v>
      </c>
      <c r="E29" s="108">
        <f>IFERROR(IF(AND(E26&lt;&gt;"",E27="",E28=""),E26-$D26,IF(AND(E26="",E27&lt;&gt;"",E28=""),E27-D27,IF(AND(E26="",E27="",E28&lt;&gt;""),E28-D28,0))),0)</f>
        <v>0</v>
      </c>
      <c r="F29" s="108">
        <f t="shared" ref="F29:K29" si="0">IFERROR(IF(AND(F26&lt;&gt;"",F27="",F28=""),F26-$D26,IF(AND(F26="",F27&lt;&gt;"",F28=""),F27-E27,IF(AND(F26="",F27="",F28&lt;&gt;""),F28-E28,0))),0)</f>
        <v>0</v>
      </c>
      <c r="G29" s="108">
        <f t="shared" si="0"/>
        <v>0</v>
      </c>
      <c r="H29" s="108">
        <f t="shared" si="0"/>
        <v>0</v>
      </c>
      <c r="I29" s="108">
        <f t="shared" si="0"/>
        <v>0</v>
      </c>
      <c r="J29" s="108">
        <f t="shared" si="0"/>
        <v>0</v>
      </c>
      <c r="K29" s="108">
        <f t="shared" si="0"/>
        <v>0</v>
      </c>
    </row>
    <row r="30" spans="2:11">
      <c r="D30" s="227" t="s">
        <v>932</v>
      </c>
      <c r="E30" s="108">
        <f>IFERROR(IF(AND(E26&lt;&gt;"",E27="",E28=""),C26,IF(AND(E26="",E27&lt;&gt;"",E28=""),C27,IF(AND(E26="",E27="",E28&lt;&gt;""),C28,0))),0)</f>
        <v>0</v>
      </c>
      <c r="F30" s="108">
        <f t="shared" ref="F30:K30" si="1">IFERROR(IF(AND(F26&lt;&gt;"",F27="",F28=""),D26,IF(AND(F26="",F27&lt;&gt;"",F28=""),D27,IF(AND(F26="",F27="",F28&lt;&gt;""),D28,0))),0)</f>
        <v>0</v>
      </c>
      <c r="G30" s="108">
        <f t="shared" si="1"/>
        <v>0</v>
      </c>
      <c r="H30" s="108">
        <f t="shared" si="1"/>
        <v>0</v>
      </c>
      <c r="I30" s="108">
        <f t="shared" si="1"/>
        <v>0</v>
      </c>
      <c r="J30" s="108">
        <f t="shared" si="1"/>
        <v>0</v>
      </c>
      <c r="K30" s="108">
        <f t="shared" si="1"/>
        <v>0</v>
      </c>
    </row>
    <row r="31" spans="2:11">
      <c r="D31" s="227" t="s">
        <v>933</v>
      </c>
      <c r="E31" s="108">
        <f>SUM(E29:E30)</f>
        <v>0</v>
      </c>
      <c r="F31" s="108">
        <f t="shared" ref="F31:K31" si="2">SUM(F29:F30)</f>
        <v>0</v>
      </c>
      <c r="G31" s="108">
        <f t="shared" si="2"/>
        <v>0</v>
      </c>
      <c r="H31" s="108">
        <f t="shared" si="2"/>
        <v>0</v>
      </c>
      <c r="I31" s="108">
        <f t="shared" si="2"/>
        <v>0</v>
      </c>
      <c r="J31" s="108">
        <f t="shared" si="2"/>
        <v>0</v>
      </c>
      <c r="K31" s="108">
        <f t="shared" si="2"/>
        <v>0</v>
      </c>
    </row>
    <row r="32" spans="2:11">
      <c r="C32" s="337" t="s">
        <v>934</v>
      </c>
      <c r="D32" s="337"/>
      <c r="E32" s="228">
        <v>12</v>
      </c>
      <c r="F32" s="228">
        <v>12</v>
      </c>
      <c r="G32" s="228">
        <v>12</v>
      </c>
      <c r="H32" s="228">
        <v>12</v>
      </c>
      <c r="I32" s="228">
        <v>12</v>
      </c>
      <c r="J32" s="228">
        <v>12</v>
      </c>
      <c r="K32" s="228">
        <v>12</v>
      </c>
    </row>
    <row r="34" spans="2:11">
      <c r="B34" s="326" t="s">
        <v>935</v>
      </c>
      <c r="C34" s="326"/>
      <c r="D34" s="326"/>
      <c r="E34" s="229">
        <f>IFERROR(IF(E31&gt;E32,E31-E32,0),0)</f>
        <v>0</v>
      </c>
      <c r="F34" s="229">
        <f t="shared" ref="F34:K34" si="3">IFERROR(IF(F31&gt;F32,F31-F32,0),0)</f>
        <v>0</v>
      </c>
      <c r="G34" s="229">
        <f t="shared" si="3"/>
        <v>0</v>
      </c>
      <c r="H34" s="229">
        <f t="shared" si="3"/>
        <v>0</v>
      </c>
      <c r="I34" s="229">
        <f t="shared" si="3"/>
        <v>0</v>
      </c>
      <c r="J34" s="229">
        <f t="shared" si="3"/>
        <v>0</v>
      </c>
      <c r="K34" s="229">
        <f t="shared" si="3"/>
        <v>0</v>
      </c>
    </row>
    <row r="39" spans="2:11" ht="123" customHeight="1">
      <c r="B39" s="328" t="s">
        <v>936</v>
      </c>
      <c r="C39" s="288"/>
      <c r="D39" s="288"/>
      <c r="E39" s="288"/>
      <c r="F39" s="288"/>
      <c r="G39" s="288"/>
      <c r="H39" s="288"/>
    </row>
    <row r="40" spans="2:11" ht="63.75" customHeight="1">
      <c r="B40" s="329" t="s">
        <v>937</v>
      </c>
      <c r="C40" s="330"/>
      <c r="D40" s="330"/>
      <c r="E40" s="330"/>
      <c r="F40" s="330"/>
      <c r="G40" s="330"/>
      <c r="H40" s="330"/>
    </row>
    <row r="41" spans="2:11" ht="85.5" customHeight="1">
      <c r="B41" s="331" t="s">
        <v>938</v>
      </c>
      <c r="C41" s="332"/>
      <c r="D41" s="332"/>
      <c r="E41" s="332"/>
      <c r="F41" s="332"/>
      <c r="G41" s="332"/>
      <c r="H41" s="332"/>
    </row>
  </sheetData>
  <mergeCells count="14">
    <mergeCell ref="B34:D34"/>
    <mergeCell ref="C3:F3"/>
    <mergeCell ref="B39:H39"/>
    <mergeCell ref="B40:H40"/>
    <mergeCell ref="B41:H41"/>
    <mergeCell ref="C21:F21"/>
    <mergeCell ref="B6:B11"/>
    <mergeCell ref="B14:B20"/>
    <mergeCell ref="C32:D32"/>
    <mergeCell ref="C4:F4"/>
    <mergeCell ref="C5:F5"/>
    <mergeCell ref="C12:F12"/>
    <mergeCell ref="C13:F13"/>
    <mergeCell ref="C14:F14"/>
  </mergeCells>
  <conditionalFormatting sqref="E24:K24">
    <cfRule type="iconSet" priority="4">
      <iconSet iconSet="3Symbols2" showValue="0">
        <cfvo type="percent" val="0"/>
        <cfvo type="percent" val="33"/>
        <cfvo type="percent" val="67"/>
      </iconSet>
    </cfRule>
  </conditionalFormatting>
  <dataValidations count="1">
    <dataValidation type="custom" allowBlank="1" showInputMessage="1" showErrorMessage="1" errorTitle="Restricción de acceso" error="No a capturado la clave de acceso en la hoja de portada" sqref="E26:K28" xr:uid="{49F7EC68-F476-477D-8467-133156022B5E}">
      <formula1>ACCESO=TRUE</formula1>
    </dataValidation>
  </dataValidation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9"/>
  <dimension ref="B3:L97"/>
  <sheetViews>
    <sheetView showGridLines="0" zoomScaleNormal="100" workbookViewId="0">
      <pane ySplit="6" topLeftCell="A7" activePane="bottomLeft" state="frozen"/>
      <selection pane="bottomLeft" activeCell="B8" sqref="B8"/>
    </sheetView>
  </sheetViews>
  <sheetFormatPr baseColWidth="10" defaultColWidth="8.7109375" defaultRowHeight="15" customHeight="1"/>
  <cols>
    <col min="2" max="3" width="18" customWidth="1"/>
    <col min="4" max="4" width="16" customWidth="1"/>
    <col min="5" max="5" width="15" customWidth="1"/>
    <col min="6" max="6" width="18" customWidth="1"/>
    <col min="9" max="9" width="21.5703125" customWidth="1"/>
    <col min="10" max="10" width="15" customWidth="1"/>
    <col min="11" max="11" width="13.140625" customWidth="1"/>
    <col min="12" max="12" width="12.85546875" customWidth="1"/>
  </cols>
  <sheetData>
    <row r="3" spans="2:7" ht="15" customHeight="1">
      <c r="B3" s="257" t="s">
        <v>1</v>
      </c>
      <c r="C3" s="258"/>
      <c r="D3" s="258"/>
      <c r="E3" s="258"/>
      <c r="F3" s="258"/>
      <c r="G3" s="258"/>
    </row>
    <row r="4" spans="2:7" ht="15" customHeight="1">
      <c r="B4" s="256" t="s">
        <v>2</v>
      </c>
      <c r="C4" s="255"/>
      <c r="D4" s="255"/>
      <c r="E4" s="255"/>
      <c r="F4" s="255"/>
      <c r="G4" s="255"/>
    </row>
    <row r="5" spans="2:7" ht="15" customHeight="1">
      <c r="B5" s="3"/>
      <c r="C5" s="3"/>
      <c r="D5" s="3"/>
      <c r="E5" s="3"/>
      <c r="F5" s="3"/>
      <c r="G5" s="3"/>
    </row>
    <row r="6" spans="2:7" ht="15" customHeight="1">
      <c r="B6" s="338" t="s">
        <v>3</v>
      </c>
      <c r="C6" s="339"/>
      <c r="D6" s="339"/>
      <c r="E6" s="339"/>
      <c r="F6" s="339"/>
      <c r="G6" s="3"/>
    </row>
    <row r="7" spans="2:7" ht="15" customHeight="1">
      <c r="B7" s="1" t="s">
        <v>4</v>
      </c>
      <c r="C7" s="29" t="s">
        <v>5</v>
      </c>
      <c r="D7" s="29" t="s">
        <v>6</v>
      </c>
      <c r="E7" s="29" t="s">
        <v>7</v>
      </c>
      <c r="F7" s="29" t="s">
        <v>8</v>
      </c>
      <c r="G7" s="3"/>
    </row>
    <row r="8" spans="2:7" ht="15" customHeight="1">
      <c r="B8" s="30">
        <v>0.01</v>
      </c>
      <c r="C8" s="31">
        <v>10135.11</v>
      </c>
      <c r="D8" s="31">
        <v>0</v>
      </c>
      <c r="E8" s="32">
        <v>1.9199999999999998E-2</v>
      </c>
      <c r="F8" s="3" t="s">
        <v>3</v>
      </c>
      <c r="G8" s="3"/>
    </row>
    <row r="9" spans="2:7" ht="15" customHeight="1">
      <c r="B9" s="30">
        <v>10135.120000000001</v>
      </c>
      <c r="C9" s="31">
        <v>86022.11</v>
      </c>
      <c r="D9" s="31">
        <v>194.59</v>
      </c>
      <c r="E9" s="32">
        <v>6.4000000000000001E-2</v>
      </c>
      <c r="F9" s="3" t="s">
        <v>3</v>
      </c>
      <c r="G9" s="3"/>
    </row>
    <row r="10" spans="2:7" ht="15" customHeight="1">
      <c r="B10" s="30">
        <v>86022.12</v>
      </c>
      <c r="C10" s="31">
        <v>151176.19</v>
      </c>
      <c r="D10" s="31">
        <v>5051.37</v>
      </c>
      <c r="E10" s="32">
        <v>0.10879999999999999</v>
      </c>
      <c r="F10" s="3" t="s">
        <v>3</v>
      </c>
      <c r="G10" s="3"/>
    </row>
    <row r="11" spans="2:7" ht="15" customHeight="1">
      <c r="B11" s="30">
        <v>151176.20000000001</v>
      </c>
      <c r="C11" s="31">
        <v>175735.66</v>
      </c>
      <c r="D11" s="31">
        <v>12140.13</v>
      </c>
      <c r="E11" s="32">
        <v>0.16</v>
      </c>
      <c r="F11" s="3" t="s">
        <v>3</v>
      </c>
      <c r="G11" s="3"/>
    </row>
    <row r="12" spans="2:7" ht="15" customHeight="1">
      <c r="B12" s="30">
        <v>175735.67</v>
      </c>
      <c r="C12" s="31">
        <v>210403.69</v>
      </c>
      <c r="D12" s="31">
        <v>16069.64</v>
      </c>
      <c r="E12" s="32">
        <v>0.1792</v>
      </c>
      <c r="F12" s="3" t="s">
        <v>3</v>
      </c>
      <c r="G12" s="3"/>
    </row>
    <row r="13" spans="2:7" ht="15" customHeight="1">
      <c r="B13" s="30">
        <v>210403.7</v>
      </c>
      <c r="C13" s="31">
        <v>424353.97</v>
      </c>
      <c r="D13" s="31">
        <v>22282.14</v>
      </c>
      <c r="E13" s="32">
        <v>0.21360000000000001</v>
      </c>
      <c r="F13" s="3" t="s">
        <v>3</v>
      </c>
      <c r="G13" s="3"/>
    </row>
    <row r="14" spans="2:7" ht="15" customHeight="1">
      <c r="B14" s="30">
        <v>424353.98</v>
      </c>
      <c r="C14" s="31">
        <v>668840.14</v>
      </c>
      <c r="D14" s="31">
        <v>67981.919999999998</v>
      </c>
      <c r="E14" s="32">
        <v>0.23519999999999999</v>
      </c>
      <c r="F14" s="3" t="s">
        <v>3</v>
      </c>
      <c r="G14" s="3"/>
    </row>
    <row r="15" spans="2:7" ht="15" customHeight="1">
      <c r="B15" s="30">
        <v>668840.15</v>
      </c>
      <c r="C15" s="31">
        <v>1276925.98</v>
      </c>
      <c r="D15" s="31">
        <v>125485.07</v>
      </c>
      <c r="E15" s="32">
        <v>0.3</v>
      </c>
      <c r="F15" s="3" t="s">
        <v>3</v>
      </c>
      <c r="G15" s="3"/>
    </row>
    <row r="16" spans="2:7" ht="15" customHeight="1">
      <c r="B16" s="30">
        <v>1276925.99</v>
      </c>
      <c r="C16" s="31">
        <v>1702567.97</v>
      </c>
      <c r="D16" s="31">
        <v>307910.81</v>
      </c>
      <c r="E16" s="32">
        <v>0.32</v>
      </c>
      <c r="F16" s="3" t="s">
        <v>3</v>
      </c>
      <c r="G16" s="3"/>
    </row>
    <row r="17" spans="2:12" ht="15" customHeight="1">
      <c r="B17" s="30">
        <v>1702567.98</v>
      </c>
      <c r="C17" s="31">
        <v>5107703.92</v>
      </c>
      <c r="D17" s="31">
        <v>444116.23</v>
      </c>
      <c r="E17" s="32">
        <v>0.34</v>
      </c>
      <c r="F17" s="3" t="s">
        <v>3</v>
      </c>
      <c r="G17" s="3"/>
    </row>
    <row r="18" spans="2:12" ht="15" customHeight="1">
      <c r="B18" s="30">
        <v>5107703.93</v>
      </c>
      <c r="C18" s="31">
        <v>999999999</v>
      </c>
      <c r="D18" s="31">
        <v>1601862.46</v>
      </c>
      <c r="E18" s="32">
        <v>0.35</v>
      </c>
      <c r="F18" s="3" t="s">
        <v>3</v>
      </c>
      <c r="G18" s="3"/>
    </row>
    <row r="19" spans="2:12" ht="15" customHeight="1">
      <c r="B19" s="3"/>
      <c r="C19" s="3"/>
      <c r="D19" s="3"/>
      <c r="E19" s="3"/>
      <c r="F19" s="3"/>
      <c r="G19" s="3"/>
    </row>
    <row r="20" spans="2:12" ht="15" customHeight="1">
      <c r="B20" s="3"/>
      <c r="C20" s="3"/>
      <c r="D20" s="3"/>
      <c r="E20" s="3"/>
      <c r="F20" s="3"/>
      <c r="G20" s="3"/>
    </row>
    <row r="21" spans="2:12" ht="15" customHeight="1">
      <c r="B21" s="254" t="s">
        <v>9</v>
      </c>
      <c r="C21" s="255"/>
      <c r="D21" s="255"/>
      <c r="E21" s="255"/>
      <c r="F21" s="255"/>
      <c r="G21" s="3"/>
    </row>
    <row r="22" spans="2:12" ht="15" customHeight="1">
      <c r="B22" s="1" t="s">
        <v>4</v>
      </c>
      <c r="C22" s="29" t="s">
        <v>5</v>
      </c>
      <c r="D22" s="29" t="s">
        <v>6</v>
      </c>
      <c r="E22" s="29" t="s">
        <v>7</v>
      </c>
      <c r="F22" s="29" t="s">
        <v>8</v>
      </c>
      <c r="G22" s="3"/>
      <c r="I22" s="1" t="s">
        <v>4</v>
      </c>
      <c r="J22" s="29" t="s">
        <v>5</v>
      </c>
      <c r="K22" s="29" t="s">
        <v>6</v>
      </c>
      <c r="L22" s="29" t="s">
        <v>7</v>
      </c>
    </row>
    <row r="23" spans="2:12" ht="15" customHeight="1">
      <c r="B23" s="30">
        <v>0.01</v>
      </c>
      <c r="C23" s="31">
        <v>27.78</v>
      </c>
      <c r="D23" s="31">
        <v>0</v>
      </c>
      <c r="E23" s="32">
        <v>1.9199999999999998E-2</v>
      </c>
      <c r="F23" s="3" t="s">
        <v>9</v>
      </c>
      <c r="G23" s="3"/>
      <c r="I23" s="30">
        <v>0.01</v>
      </c>
      <c r="J23" s="31">
        <f t="shared" ref="J23:J32" si="0">IFERROR(IF(DIAST&lt;30,ROUND(C23*DIAST,2),C23),C23)</f>
        <v>0</v>
      </c>
      <c r="K23" s="31">
        <f t="shared" ref="K23:K32" si="1">IFERROR(IF(DIAST&lt;30,ROUND(D23*DIAST,2),D23),D23)</f>
        <v>0</v>
      </c>
      <c r="L23" s="32">
        <v>1.9199999999999998E-2</v>
      </c>
    </row>
    <row r="24" spans="2:12" ht="15" customHeight="1">
      <c r="B24" s="30">
        <v>27.79</v>
      </c>
      <c r="C24" s="31">
        <v>235.81</v>
      </c>
      <c r="D24" s="31">
        <v>0.53</v>
      </c>
      <c r="E24" s="32">
        <v>6.4000000000000001E-2</v>
      </c>
      <c r="F24" s="3" t="s">
        <v>9</v>
      </c>
      <c r="G24" s="3"/>
      <c r="I24" s="30">
        <f>J23+0.01</f>
        <v>0.01</v>
      </c>
      <c r="J24" s="31">
        <f t="shared" si="0"/>
        <v>0</v>
      </c>
      <c r="K24" s="31">
        <f t="shared" si="1"/>
        <v>0</v>
      </c>
      <c r="L24" s="32">
        <v>6.4000000000000001E-2</v>
      </c>
    </row>
    <row r="25" spans="2:12" ht="15" customHeight="1">
      <c r="B25" s="30">
        <v>235.82</v>
      </c>
      <c r="C25" s="31">
        <v>414.41</v>
      </c>
      <c r="D25" s="31">
        <v>13.85</v>
      </c>
      <c r="E25" s="32">
        <v>0.10879999999999999</v>
      </c>
      <c r="F25" s="3" t="s">
        <v>9</v>
      </c>
      <c r="G25" s="3"/>
      <c r="I25" s="30">
        <f t="shared" ref="I25:I33" si="2">J24+0.01</f>
        <v>0.01</v>
      </c>
      <c r="J25" s="31">
        <f t="shared" si="0"/>
        <v>0</v>
      </c>
      <c r="K25" s="31">
        <f t="shared" si="1"/>
        <v>0</v>
      </c>
      <c r="L25" s="32">
        <v>0.10879999999999999</v>
      </c>
    </row>
    <row r="26" spans="2:12" ht="15" customHeight="1">
      <c r="B26" s="30">
        <v>414.42</v>
      </c>
      <c r="C26" s="31">
        <v>481.73</v>
      </c>
      <c r="D26" s="31">
        <v>33.28</v>
      </c>
      <c r="E26" s="32">
        <v>0.16</v>
      </c>
      <c r="F26" s="3" t="s">
        <v>9</v>
      </c>
      <c r="G26" s="3"/>
      <c r="I26" s="30">
        <f t="shared" si="2"/>
        <v>0.01</v>
      </c>
      <c r="J26" s="31">
        <f t="shared" si="0"/>
        <v>0</v>
      </c>
      <c r="K26" s="31">
        <f t="shared" si="1"/>
        <v>0</v>
      </c>
      <c r="L26" s="32">
        <v>0.16</v>
      </c>
    </row>
    <row r="27" spans="2:12" ht="15" customHeight="1">
      <c r="B27" s="30">
        <v>481.74</v>
      </c>
      <c r="C27" s="31">
        <v>576.76</v>
      </c>
      <c r="D27" s="31">
        <v>44.05</v>
      </c>
      <c r="E27" s="32">
        <v>0.1792</v>
      </c>
      <c r="F27" s="3" t="s">
        <v>9</v>
      </c>
      <c r="G27" s="3"/>
      <c r="I27" s="30">
        <f t="shared" si="2"/>
        <v>0.01</v>
      </c>
      <c r="J27" s="31">
        <f t="shared" si="0"/>
        <v>0</v>
      </c>
      <c r="K27" s="31">
        <f t="shared" si="1"/>
        <v>0</v>
      </c>
      <c r="L27" s="32">
        <v>0.1792</v>
      </c>
    </row>
    <row r="28" spans="2:12" ht="15" customHeight="1">
      <c r="B28" s="30">
        <v>576.77</v>
      </c>
      <c r="C28" s="31">
        <v>1163.25</v>
      </c>
      <c r="D28" s="31">
        <v>61.08</v>
      </c>
      <c r="E28" s="32">
        <v>0.21360000000000001</v>
      </c>
      <c r="F28" s="3" t="s">
        <v>9</v>
      </c>
      <c r="G28" s="3"/>
      <c r="I28" s="30">
        <f t="shared" si="2"/>
        <v>0.01</v>
      </c>
      <c r="J28" s="31">
        <f t="shared" si="0"/>
        <v>0</v>
      </c>
      <c r="K28" s="31">
        <f t="shared" si="1"/>
        <v>0</v>
      </c>
      <c r="L28" s="32">
        <v>0.21360000000000001</v>
      </c>
    </row>
    <row r="29" spans="2:12" ht="15" customHeight="1">
      <c r="B29" s="30">
        <v>1163.26</v>
      </c>
      <c r="C29" s="31">
        <v>1833.44</v>
      </c>
      <c r="D29" s="31">
        <v>186.35</v>
      </c>
      <c r="E29" s="32">
        <v>0.23519999999999999</v>
      </c>
      <c r="F29" s="3" t="s">
        <v>9</v>
      </c>
      <c r="G29" s="3"/>
      <c r="I29" s="30">
        <f t="shared" si="2"/>
        <v>0.01</v>
      </c>
      <c r="J29" s="31">
        <f t="shared" si="0"/>
        <v>0</v>
      </c>
      <c r="K29" s="31">
        <f t="shared" si="1"/>
        <v>0</v>
      </c>
      <c r="L29" s="32">
        <v>0.23519999999999999</v>
      </c>
    </row>
    <row r="30" spans="2:12" ht="15" customHeight="1">
      <c r="B30" s="30">
        <v>1833.45</v>
      </c>
      <c r="C30" s="31">
        <v>3500.35</v>
      </c>
      <c r="D30" s="31">
        <v>343.98</v>
      </c>
      <c r="E30" s="32">
        <v>0.3</v>
      </c>
      <c r="F30" s="3" t="s">
        <v>9</v>
      </c>
      <c r="G30" s="3"/>
      <c r="I30" s="30">
        <f t="shared" si="2"/>
        <v>0.01</v>
      </c>
      <c r="J30" s="31">
        <f t="shared" si="0"/>
        <v>0</v>
      </c>
      <c r="K30" s="31">
        <f t="shared" si="1"/>
        <v>0</v>
      </c>
      <c r="L30" s="32">
        <v>0.3</v>
      </c>
    </row>
    <row r="31" spans="2:12" ht="15" customHeight="1">
      <c r="B31" s="30">
        <v>3500.36</v>
      </c>
      <c r="C31" s="31">
        <v>4667.13</v>
      </c>
      <c r="D31" s="31">
        <v>844.05</v>
      </c>
      <c r="E31" s="32">
        <v>0.32</v>
      </c>
      <c r="F31" s="3" t="s">
        <v>9</v>
      </c>
      <c r="G31" s="3"/>
      <c r="I31" s="30">
        <f t="shared" si="2"/>
        <v>0.01</v>
      </c>
      <c r="J31" s="31">
        <f t="shared" si="0"/>
        <v>0</v>
      </c>
      <c r="K31" s="31">
        <f t="shared" si="1"/>
        <v>0</v>
      </c>
      <c r="L31" s="32">
        <v>0.32</v>
      </c>
    </row>
    <row r="32" spans="2:12" ht="15" customHeight="1">
      <c r="B32" s="30">
        <v>4667.1400000000003</v>
      </c>
      <c r="C32" s="31">
        <v>14001.38</v>
      </c>
      <c r="D32" s="31">
        <v>1217.42</v>
      </c>
      <c r="E32" s="32">
        <v>0.34</v>
      </c>
      <c r="F32" s="3" t="s">
        <v>9</v>
      </c>
      <c r="G32" s="3"/>
      <c r="I32" s="30">
        <f t="shared" si="2"/>
        <v>0.01</v>
      </c>
      <c r="J32" s="31">
        <f t="shared" si="0"/>
        <v>0</v>
      </c>
      <c r="K32" s="31">
        <f t="shared" si="1"/>
        <v>0</v>
      </c>
      <c r="L32" s="32">
        <v>0.34</v>
      </c>
    </row>
    <row r="33" spans="2:12" ht="15" customHeight="1">
      <c r="B33" s="30">
        <v>14001.39</v>
      </c>
      <c r="C33" s="31">
        <v>999999999</v>
      </c>
      <c r="D33" s="31">
        <v>4391.07</v>
      </c>
      <c r="E33" s="32">
        <v>0.35</v>
      </c>
      <c r="F33" s="3" t="s">
        <v>9</v>
      </c>
      <c r="G33" s="3"/>
      <c r="I33" s="30">
        <f t="shared" si="2"/>
        <v>0.01</v>
      </c>
      <c r="J33" s="31" t="s">
        <v>218</v>
      </c>
      <c r="K33" s="31">
        <f>IFERROR(IF(DIAST&lt;30,ROUND(D33*DIAST,2),D33),D33)</f>
        <v>0</v>
      </c>
      <c r="L33" s="32">
        <v>0.35</v>
      </c>
    </row>
    <row r="34" spans="2:12" ht="15" customHeight="1">
      <c r="B34" s="3"/>
      <c r="C34" s="3"/>
      <c r="D34" s="3"/>
      <c r="E34" s="3"/>
      <c r="F34" s="3"/>
      <c r="G34" s="3"/>
    </row>
    <row r="35" spans="2:12" ht="15" customHeight="1">
      <c r="B35" s="3"/>
      <c r="C35" s="3"/>
      <c r="D35" s="3"/>
      <c r="E35" s="3"/>
      <c r="F35" s="3"/>
      <c r="G35" s="3"/>
    </row>
    <row r="36" spans="2:12" ht="15" customHeight="1">
      <c r="B36" s="338" t="s">
        <v>10</v>
      </c>
      <c r="C36" s="339"/>
      <c r="D36" s="339"/>
      <c r="E36" s="339"/>
      <c r="F36" s="339"/>
      <c r="G36" s="3"/>
    </row>
    <row r="37" spans="2:12" ht="15" customHeight="1">
      <c r="B37" s="1" t="s">
        <v>4</v>
      </c>
      <c r="C37" s="29" t="s">
        <v>5</v>
      </c>
      <c r="D37" s="29" t="s">
        <v>6</v>
      </c>
      <c r="E37" s="29" t="s">
        <v>7</v>
      </c>
      <c r="F37" s="29" t="s">
        <v>8</v>
      </c>
      <c r="G37" s="3"/>
    </row>
    <row r="38" spans="2:12" ht="15" customHeight="1">
      <c r="B38" s="31">
        <v>0.01</v>
      </c>
      <c r="C38" s="31">
        <v>194.46</v>
      </c>
      <c r="D38" s="31">
        <v>0</v>
      </c>
      <c r="E38" s="32">
        <v>1.9199999999999998E-2</v>
      </c>
      <c r="F38" s="3" t="s">
        <v>10</v>
      </c>
      <c r="G38" s="3"/>
    </row>
    <row r="39" spans="2:12" ht="15" customHeight="1">
      <c r="B39" s="31">
        <v>194.47</v>
      </c>
      <c r="C39" s="31">
        <v>1650.67</v>
      </c>
      <c r="D39" s="31">
        <v>3.71</v>
      </c>
      <c r="E39" s="32">
        <v>6.4000000000000001E-2</v>
      </c>
      <c r="F39" s="3" t="s">
        <v>10</v>
      </c>
      <c r="G39" s="3"/>
    </row>
    <row r="40" spans="2:12" ht="15" customHeight="1">
      <c r="B40" s="31">
        <v>1650.68</v>
      </c>
      <c r="C40" s="31">
        <v>2900.87</v>
      </c>
      <c r="D40" s="31">
        <v>96.95</v>
      </c>
      <c r="E40" s="32">
        <v>0.10879999999999999</v>
      </c>
      <c r="F40" s="3" t="s">
        <v>10</v>
      </c>
      <c r="G40" s="3"/>
    </row>
    <row r="41" spans="2:12" ht="15" customHeight="1">
      <c r="B41" s="31">
        <v>2900.88</v>
      </c>
      <c r="C41" s="31">
        <v>3372.11</v>
      </c>
      <c r="D41" s="31">
        <v>232.96</v>
      </c>
      <c r="E41" s="32">
        <v>0.16</v>
      </c>
      <c r="F41" s="3" t="s">
        <v>10</v>
      </c>
      <c r="G41" s="3"/>
    </row>
    <row r="42" spans="2:12" ht="15" customHeight="1">
      <c r="B42" s="31">
        <v>3372.12</v>
      </c>
      <c r="C42" s="31">
        <v>4037.32</v>
      </c>
      <c r="D42" s="31">
        <v>308.35000000000002</v>
      </c>
      <c r="E42" s="32">
        <v>0.1792</v>
      </c>
      <c r="F42" s="3" t="s">
        <v>10</v>
      </c>
      <c r="G42" s="3"/>
    </row>
    <row r="43" spans="2:12" ht="15" customHeight="1">
      <c r="B43" s="31">
        <v>4037.33</v>
      </c>
      <c r="C43" s="31">
        <v>8142.75</v>
      </c>
      <c r="D43" s="31">
        <v>427.56</v>
      </c>
      <c r="E43" s="32">
        <v>0.21360000000000001</v>
      </c>
      <c r="F43" s="3" t="s">
        <v>10</v>
      </c>
      <c r="G43" s="3"/>
    </row>
    <row r="44" spans="2:12" ht="15" customHeight="1">
      <c r="B44" s="31">
        <v>8142.76</v>
      </c>
      <c r="C44" s="31">
        <v>12834.08</v>
      </c>
      <c r="D44" s="31">
        <v>1304.45</v>
      </c>
      <c r="E44" s="32">
        <v>0.23519999999999999</v>
      </c>
      <c r="F44" s="3" t="s">
        <v>10</v>
      </c>
      <c r="G44" s="3"/>
    </row>
    <row r="45" spans="2:12" ht="15" customHeight="1">
      <c r="B45" s="31">
        <v>12834.09</v>
      </c>
      <c r="C45" s="31">
        <v>24502.45</v>
      </c>
      <c r="D45" s="31">
        <v>2407.86</v>
      </c>
      <c r="E45" s="32">
        <v>0.3</v>
      </c>
      <c r="F45" s="3" t="s">
        <v>10</v>
      </c>
      <c r="G45" s="3"/>
    </row>
    <row r="46" spans="2:12" ht="15" customHeight="1">
      <c r="B46" s="31">
        <v>24502.46</v>
      </c>
      <c r="C46" s="31">
        <v>32669.91</v>
      </c>
      <c r="D46" s="31">
        <v>5908.35</v>
      </c>
      <c r="E46" s="32">
        <v>0.32</v>
      </c>
      <c r="F46" s="3" t="s">
        <v>10</v>
      </c>
      <c r="G46" s="3"/>
    </row>
    <row r="47" spans="2:12" ht="15" customHeight="1">
      <c r="B47" s="31">
        <v>32669.919999999998</v>
      </c>
      <c r="C47" s="31">
        <v>98009.66</v>
      </c>
      <c r="D47" s="31">
        <v>8521.94</v>
      </c>
      <c r="E47" s="32">
        <v>0.34</v>
      </c>
      <c r="F47" s="3" t="s">
        <v>10</v>
      </c>
      <c r="G47" s="3"/>
    </row>
    <row r="48" spans="2:12" ht="15" customHeight="1">
      <c r="B48" s="31">
        <v>98009.67</v>
      </c>
      <c r="C48" s="31">
        <v>999999999</v>
      </c>
      <c r="D48" s="31">
        <v>30737.49</v>
      </c>
      <c r="E48" s="32">
        <v>0.35</v>
      </c>
      <c r="F48" s="3" t="s">
        <v>10</v>
      </c>
      <c r="G48" s="3"/>
    </row>
    <row r="49" spans="2:7" ht="15" customHeight="1">
      <c r="B49" s="3"/>
      <c r="C49" s="3"/>
      <c r="D49" s="3"/>
      <c r="E49" s="3"/>
      <c r="F49" s="3"/>
      <c r="G49" s="3"/>
    </row>
    <row r="50" spans="2:7" ht="15" customHeight="1">
      <c r="B50" s="3"/>
      <c r="C50" s="3"/>
      <c r="D50" s="3"/>
      <c r="E50" s="3"/>
      <c r="F50" s="3"/>
      <c r="G50" s="3"/>
    </row>
    <row r="51" spans="2:7" ht="15" customHeight="1">
      <c r="B51" s="338" t="s">
        <v>11</v>
      </c>
      <c r="C51" s="339"/>
      <c r="D51" s="339"/>
      <c r="E51" s="339"/>
      <c r="F51" s="339"/>
      <c r="G51" s="3"/>
    </row>
    <row r="52" spans="2:7" ht="15" customHeight="1">
      <c r="B52" s="1" t="s">
        <v>4</v>
      </c>
      <c r="C52" s="29" t="s">
        <v>5</v>
      </c>
      <c r="D52" s="29" t="s">
        <v>6</v>
      </c>
      <c r="E52" s="29" t="s">
        <v>7</v>
      </c>
      <c r="F52" s="29" t="s">
        <v>8</v>
      </c>
      <c r="G52" s="3"/>
    </row>
    <row r="53" spans="2:7" ht="15" customHeight="1">
      <c r="B53" s="31">
        <v>0.01</v>
      </c>
      <c r="C53" s="31">
        <v>277.8</v>
      </c>
      <c r="D53" s="31">
        <v>0</v>
      </c>
      <c r="E53" s="32">
        <v>1.9199999999999998E-2</v>
      </c>
      <c r="F53" s="3" t="s">
        <v>11</v>
      </c>
      <c r="G53" s="3"/>
    </row>
    <row r="54" spans="2:7" ht="15" customHeight="1">
      <c r="B54" s="31">
        <v>277.81</v>
      </c>
      <c r="C54" s="31">
        <v>2358.1</v>
      </c>
      <c r="D54" s="31">
        <v>5.3</v>
      </c>
      <c r="E54" s="32">
        <v>6.4000000000000001E-2</v>
      </c>
      <c r="F54" s="3" t="s">
        <v>11</v>
      </c>
      <c r="G54" s="3"/>
    </row>
    <row r="55" spans="2:7" ht="15" customHeight="1">
      <c r="B55" s="31">
        <v>2358.11</v>
      </c>
      <c r="C55" s="31">
        <v>4144.1000000000004</v>
      </c>
      <c r="D55" s="31">
        <v>138.5</v>
      </c>
      <c r="E55" s="32">
        <v>0.10879999999999999</v>
      </c>
      <c r="F55" s="3" t="s">
        <v>11</v>
      </c>
      <c r="G55" s="3"/>
    </row>
    <row r="56" spans="2:7" ht="15" customHeight="1">
      <c r="B56" s="31">
        <v>4144.1099999999997</v>
      </c>
      <c r="C56" s="31">
        <v>4817.3</v>
      </c>
      <c r="D56" s="31">
        <v>332.8</v>
      </c>
      <c r="E56" s="32">
        <v>0.16</v>
      </c>
      <c r="F56" s="3" t="s">
        <v>11</v>
      </c>
      <c r="G56" s="3"/>
    </row>
    <row r="57" spans="2:7" ht="15" customHeight="1">
      <c r="B57" s="31">
        <v>4817.3100000000004</v>
      </c>
      <c r="C57" s="31">
        <v>5767.6</v>
      </c>
      <c r="D57" s="31">
        <v>440.5</v>
      </c>
      <c r="E57" s="32">
        <v>0.1792</v>
      </c>
      <c r="F57" s="3" t="s">
        <v>11</v>
      </c>
      <c r="G57" s="3"/>
    </row>
    <row r="58" spans="2:7" ht="15" customHeight="1">
      <c r="B58" s="31">
        <v>5767.61</v>
      </c>
      <c r="C58" s="31">
        <v>11632.5</v>
      </c>
      <c r="D58" s="31">
        <v>610.79999999999995</v>
      </c>
      <c r="E58" s="32">
        <v>0.21360000000000001</v>
      </c>
      <c r="F58" s="3" t="s">
        <v>11</v>
      </c>
      <c r="G58" s="3"/>
    </row>
    <row r="59" spans="2:7" ht="15" customHeight="1">
      <c r="B59" s="31">
        <v>11632.51</v>
      </c>
      <c r="C59" s="31">
        <v>18334.400000000001</v>
      </c>
      <c r="D59" s="31">
        <v>1863.5</v>
      </c>
      <c r="E59" s="32">
        <v>0.23519999999999999</v>
      </c>
      <c r="F59" s="3" t="s">
        <v>11</v>
      </c>
      <c r="G59" s="3"/>
    </row>
    <row r="60" spans="2:7" ht="15" customHeight="1">
      <c r="B60" s="31">
        <v>18334.41</v>
      </c>
      <c r="C60" s="31">
        <v>35003.5</v>
      </c>
      <c r="D60" s="31">
        <v>3439.8</v>
      </c>
      <c r="E60" s="32">
        <v>0.3</v>
      </c>
      <c r="F60" s="3" t="s">
        <v>11</v>
      </c>
      <c r="G60" s="3"/>
    </row>
    <row r="61" spans="2:7" ht="15" customHeight="1">
      <c r="B61" s="31">
        <v>35003.51</v>
      </c>
      <c r="C61" s="31">
        <v>46671.3</v>
      </c>
      <c r="D61" s="31">
        <v>8440.5</v>
      </c>
      <c r="E61" s="32">
        <v>0.32</v>
      </c>
      <c r="F61" s="3" t="s">
        <v>11</v>
      </c>
      <c r="G61" s="3"/>
    </row>
    <row r="62" spans="2:7" ht="15" customHeight="1">
      <c r="B62" s="31">
        <v>46671.31</v>
      </c>
      <c r="C62" s="31">
        <v>140013.79999999999</v>
      </c>
      <c r="D62" s="31">
        <v>12174.2</v>
      </c>
      <c r="E62" s="32">
        <v>0.34</v>
      </c>
      <c r="F62" s="3" t="s">
        <v>11</v>
      </c>
      <c r="G62" s="3"/>
    </row>
    <row r="63" spans="2:7" ht="15" customHeight="1">
      <c r="B63" s="31">
        <v>140013.81</v>
      </c>
      <c r="C63" s="31">
        <v>999999999</v>
      </c>
      <c r="D63" s="31">
        <v>43910.7</v>
      </c>
      <c r="E63" s="32">
        <v>0.35</v>
      </c>
      <c r="F63" s="3" t="s">
        <v>11</v>
      </c>
      <c r="G63" s="3"/>
    </row>
    <row r="64" spans="2:7" ht="15" customHeight="1">
      <c r="B64" s="3"/>
      <c r="C64" s="3"/>
      <c r="D64" s="3"/>
      <c r="E64" s="3"/>
      <c r="F64" s="3"/>
      <c r="G64" s="3"/>
    </row>
    <row r="65" spans="2:7" ht="15" customHeight="1">
      <c r="B65" s="3"/>
      <c r="C65" s="3"/>
      <c r="D65" s="3"/>
      <c r="E65" s="3"/>
      <c r="F65" s="3"/>
      <c r="G65" s="3"/>
    </row>
    <row r="66" spans="2:7" ht="15" customHeight="1">
      <c r="B66" s="338" t="s">
        <v>12</v>
      </c>
      <c r="C66" s="339"/>
      <c r="D66" s="339"/>
      <c r="E66" s="339"/>
      <c r="F66" s="339"/>
      <c r="G66" s="3"/>
    </row>
    <row r="67" spans="2:7" ht="15" customHeight="1">
      <c r="B67" s="1" t="s">
        <v>4</v>
      </c>
      <c r="C67" s="29" t="s">
        <v>5</v>
      </c>
      <c r="D67" s="29" t="s">
        <v>6</v>
      </c>
      <c r="E67" s="29" t="s">
        <v>7</v>
      </c>
      <c r="F67" s="29" t="s">
        <v>8</v>
      </c>
      <c r="G67" s="3"/>
    </row>
    <row r="68" spans="2:7" ht="15" customHeight="1">
      <c r="B68" s="31">
        <v>0.01</v>
      </c>
      <c r="C68" s="31">
        <v>416.7</v>
      </c>
      <c r="D68" s="31">
        <v>0</v>
      </c>
      <c r="E68" s="32">
        <v>1.9199999999999998E-2</v>
      </c>
      <c r="F68" s="3" t="s">
        <v>12</v>
      </c>
      <c r="G68" s="3"/>
    </row>
    <row r="69" spans="2:7" ht="15" customHeight="1">
      <c r="B69" s="31">
        <v>416.71</v>
      </c>
      <c r="C69" s="31">
        <v>3537.15</v>
      </c>
      <c r="D69" s="31">
        <v>7.95</v>
      </c>
      <c r="E69" s="32">
        <v>6.4000000000000001E-2</v>
      </c>
      <c r="F69" s="3" t="s">
        <v>12</v>
      </c>
      <c r="G69" s="3"/>
    </row>
    <row r="70" spans="2:7" ht="15" customHeight="1">
      <c r="B70" s="31">
        <v>3537.16</v>
      </c>
      <c r="C70" s="31">
        <v>6216.15</v>
      </c>
      <c r="D70" s="31">
        <v>207.75</v>
      </c>
      <c r="E70" s="32">
        <v>0.10879999999999999</v>
      </c>
      <c r="F70" s="3" t="s">
        <v>12</v>
      </c>
      <c r="G70" s="3"/>
    </row>
    <row r="71" spans="2:7" ht="15" customHeight="1">
      <c r="B71" s="31">
        <v>6216.16</v>
      </c>
      <c r="C71" s="31">
        <v>7225.95</v>
      </c>
      <c r="D71" s="31">
        <v>499.2</v>
      </c>
      <c r="E71" s="32">
        <v>0.16</v>
      </c>
      <c r="F71" s="3" t="s">
        <v>12</v>
      </c>
      <c r="G71" s="3"/>
    </row>
    <row r="72" spans="2:7" ht="15" customHeight="1">
      <c r="B72" s="31">
        <v>7225.96</v>
      </c>
      <c r="C72" s="31">
        <v>8651.4</v>
      </c>
      <c r="D72" s="31">
        <v>660.75</v>
      </c>
      <c r="E72" s="32">
        <v>0.1792</v>
      </c>
      <c r="F72" s="3" t="s">
        <v>12</v>
      </c>
      <c r="G72" s="3"/>
    </row>
    <row r="73" spans="2:7" ht="15" customHeight="1">
      <c r="B73" s="31">
        <v>8651.41</v>
      </c>
      <c r="C73" s="31">
        <v>17448.75</v>
      </c>
      <c r="D73" s="31">
        <v>916.2</v>
      </c>
      <c r="E73" s="32">
        <v>0.21360000000000001</v>
      </c>
      <c r="F73" s="3" t="s">
        <v>12</v>
      </c>
      <c r="G73" s="3"/>
    </row>
    <row r="74" spans="2:7" ht="15" customHeight="1">
      <c r="B74" s="31">
        <v>17448.759999999998</v>
      </c>
      <c r="C74" s="31">
        <v>27501.599999999999</v>
      </c>
      <c r="D74" s="31">
        <v>2795.25</v>
      </c>
      <c r="E74" s="32">
        <v>0.23519999999999999</v>
      </c>
      <c r="F74" s="3" t="s">
        <v>12</v>
      </c>
      <c r="G74" s="3"/>
    </row>
    <row r="75" spans="2:7" ht="15" customHeight="1">
      <c r="B75" s="31">
        <v>27501.61</v>
      </c>
      <c r="C75" s="31">
        <v>52505.25</v>
      </c>
      <c r="D75" s="31">
        <v>5159.7</v>
      </c>
      <c r="E75" s="32">
        <v>0.3</v>
      </c>
      <c r="F75" s="3" t="s">
        <v>12</v>
      </c>
      <c r="G75" s="3"/>
    </row>
    <row r="76" spans="2:7" ht="15" customHeight="1">
      <c r="B76" s="31">
        <v>52505.26</v>
      </c>
      <c r="C76" s="31">
        <v>70006.95</v>
      </c>
      <c r="D76" s="31">
        <v>12660.75</v>
      </c>
      <c r="E76" s="32">
        <v>0.32</v>
      </c>
      <c r="F76" s="3" t="s">
        <v>12</v>
      </c>
      <c r="G76" s="3"/>
    </row>
    <row r="77" spans="2:7" ht="15" customHeight="1">
      <c r="B77" s="31">
        <v>70006.960000000006</v>
      </c>
      <c r="C77" s="31">
        <v>210020.7</v>
      </c>
      <c r="D77" s="31">
        <v>18261.3</v>
      </c>
      <c r="E77" s="32">
        <v>0.34</v>
      </c>
      <c r="F77" s="3" t="s">
        <v>12</v>
      </c>
      <c r="G77" s="3"/>
    </row>
    <row r="78" spans="2:7" ht="15" customHeight="1">
      <c r="B78" s="31">
        <v>210020.71</v>
      </c>
      <c r="C78" s="31">
        <v>999999999</v>
      </c>
      <c r="D78" s="31">
        <v>65866.05</v>
      </c>
      <c r="E78" s="32">
        <v>0.35</v>
      </c>
      <c r="F78" s="3" t="s">
        <v>12</v>
      </c>
      <c r="G78" s="3"/>
    </row>
    <row r="79" spans="2:7" ht="15" customHeight="1">
      <c r="B79" s="3"/>
      <c r="C79" s="3"/>
      <c r="D79" s="3"/>
      <c r="E79" s="3"/>
      <c r="F79" s="3"/>
      <c r="G79" s="3"/>
    </row>
    <row r="80" spans="2:7" ht="15" customHeight="1">
      <c r="B80" s="3"/>
      <c r="C80" s="3"/>
      <c r="D80" s="3"/>
      <c r="E80" s="3"/>
      <c r="F80" s="3"/>
      <c r="G80" s="3"/>
    </row>
    <row r="81" spans="2:7" ht="15" customHeight="1">
      <c r="B81" s="338" t="s">
        <v>13</v>
      </c>
      <c r="C81" s="339"/>
      <c r="D81" s="339"/>
      <c r="E81" s="339"/>
      <c r="F81" s="339"/>
      <c r="G81" s="3"/>
    </row>
    <row r="82" spans="2:7" ht="15" customHeight="1">
      <c r="B82" s="1" t="s">
        <v>4</v>
      </c>
      <c r="C82" s="29" t="s">
        <v>5</v>
      </c>
      <c r="D82" s="29" t="s">
        <v>6</v>
      </c>
      <c r="E82" s="29" t="s">
        <v>7</v>
      </c>
      <c r="F82" s="29" t="s">
        <v>8</v>
      </c>
      <c r="G82" s="3"/>
    </row>
    <row r="83" spans="2:7" ht="15" customHeight="1">
      <c r="B83" s="31">
        <v>0.01</v>
      </c>
      <c r="C83" s="31">
        <v>844.59</v>
      </c>
      <c r="D83" s="31">
        <v>0</v>
      </c>
      <c r="E83" s="32">
        <v>1.9199999999999998E-2</v>
      </c>
      <c r="F83" s="3" t="s">
        <v>13</v>
      </c>
      <c r="G83" s="3"/>
    </row>
    <row r="84" spans="2:7" ht="15" customHeight="1">
      <c r="B84" s="31">
        <v>844.6</v>
      </c>
      <c r="C84" s="31">
        <v>7168.51</v>
      </c>
      <c r="D84" s="31">
        <v>16.22</v>
      </c>
      <c r="E84" s="32">
        <v>6.4000000000000001E-2</v>
      </c>
      <c r="F84" s="3" t="s">
        <v>13</v>
      </c>
      <c r="G84" s="3"/>
    </row>
    <row r="85" spans="2:7" ht="15" customHeight="1">
      <c r="B85" s="31">
        <v>7168.52</v>
      </c>
      <c r="C85" s="31">
        <v>12598.02</v>
      </c>
      <c r="D85" s="31">
        <v>420.95</v>
      </c>
      <c r="E85" s="32">
        <v>0.10879999999999999</v>
      </c>
      <c r="F85" s="3" t="s">
        <v>13</v>
      </c>
      <c r="G85" s="3"/>
    </row>
    <row r="86" spans="2:7" ht="15" customHeight="1">
      <c r="B86" s="31">
        <v>12598.03</v>
      </c>
      <c r="C86" s="31">
        <v>14644.64</v>
      </c>
      <c r="D86" s="31">
        <v>1011.68</v>
      </c>
      <c r="E86" s="32">
        <v>0.16</v>
      </c>
      <c r="F86" s="3" t="s">
        <v>13</v>
      </c>
      <c r="G86" s="3"/>
    </row>
    <row r="87" spans="2:7" ht="15" customHeight="1">
      <c r="B87" s="31">
        <v>14644.65</v>
      </c>
      <c r="C87" s="31">
        <v>17533.64</v>
      </c>
      <c r="D87" s="31">
        <v>1339.14</v>
      </c>
      <c r="E87" s="32">
        <v>0.1792</v>
      </c>
      <c r="F87" s="3" t="s">
        <v>13</v>
      </c>
      <c r="G87" s="3"/>
    </row>
    <row r="88" spans="2:7" ht="15" customHeight="1">
      <c r="B88" s="31">
        <v>17533.650000000001</v>
      </c>
      <c r="C88" s="31">
        <v>35362.83</v>
      </c>
      <c r="D88" s="31">
        <v>1856.84</v>
      </c>
      <c r="E88" s="32">
        <v>0.21360000000000001</v>
      </c>
      <c r="F88" s="3" t="s">
        <v>13</v>
      </c>
      <c r="G88" s="3"/>
    </row>
    <row r="89" spans="2:7" ht="15" customHeight="1">
      <c r="B89" s="31">
        <v>35362.839999999997</v>
      </c>
      <c r="C89" s="31">
        <v>55736.68</v>
      </c>
      <c r="D89" s="31">
        <v>5665.16</v>
      </c>
      <c r="E89" s="32">
        <v>0.23519999999999999</v>
      </c>
      <c r="F89" s="3" t="s">
        <v>13</v>
      </c>
      <c r="G89" s="3"/>
    </row>
    <row r="90" spans="2:7" ht="15" customHeight="1">
      <c r="B90" s="31">
        <v>55736.69</v>
      </c>
      <c r="C90" s="31">
        <v>106410.5</v>
      </c>
      <c r="D90" s="31">
        <v>10457.09</v>
      </c>
      <c r="E90" s="32">
        <v>0.3</v>
      </c>
      <c r="F90" s="3" t="s">
        <v>13</v>
      </c>
      <c r="G90" s="3"/>
    </row>
    <row r="91" spans="2:7" ht="15" customHeight="1">
      <c r="B91" s="31">
        <v>106410.51</v>
      </c>
      <c r="C91" s="31">
        <v>141880.66</v>
      </c>
      <c r="D91" s="31">
        <v>25659.23</v>
      </c>
      <c r="E91" s="32">
        <v>0.32</v>
      </c>
      <c r="F91" s="3" t="s">
        <v>13</v>
      </c>
      <c r="G91" s="3"/>
    </row>
    <row r="92" spans="2:7" ht="15" customHeight="1">
      <c r="B92" s="31">
        <v>141880.67000000001</v>
      </c>
      <c r="C92" s="31">
        <v>425641.99</v>
      </c>
      <c r="D92" s="31">
        <v>37009.69</v>
      </c>
      <c r="E92" s="32">
        <v>0.34</v>
      </c>
      <c r="F92" s="3" t="s">
        <v>13</v>
      </c>
      <c r="G92" s="3"/>
    </row>
    <row r="93" spans="2:7" ht="15" customHeight="1">
      <c r="B93" s="31">
        <v>425642</v>
      </c>
      <c r="C93" s="31">
        <v>999999999</v>
      </c>
      <c r="D93" s="31">
        <v>133488.54</v>
      </c>
      <c r="E93" s="32">
        <v>0.35</v>
      </c>
      <c r="F93" s="3" t="s">
        <v>13</v>
      </c>
      <c r="G93" s="3"/>
    </row>
    <row r="94" spans="2:7" ht="15" customHeight="1">
      <c r="B94" s="3"/>
      <c r="C94" s="3"/>
      <c r="D94" s="3"/>
      <c r="E94" s="3"/>
      <c r="F94" s="3"/>
      <c r="G94" s="3"/>
    </row>
    <row r="95" spans="2:7" ht="15" customHeight="1">
      <c r="B95" s="3"/>
      <c r="C95" s="3"/>
      <c r="D95" s="3"/>
      <c r="E95" s="3"/>
      <c r="F95" s="3"/>
      <c r="G95" s="3"/>
    </row>
    <row r="96" spans="2:7" ht="15" customHeight="1">
      <c r="B96" s="3"/>
      <c r="C96" s="3"/>
      <c r="D96" s="3"/>
      <c r="E96" s="3"/>
      <c r="F96" s="3"/>
      <c r="G96" s="3"/>
    </row>
    <row r="97" spans="2:7" ht="20.25" customHeight="1">
      <c r="B97" s="340" t="s">
        <v>183</v>
      </c>
      <c r="C97" s="340"/>
      <c r="D97" s="340"/>
      <c r="E97" s="340"/>
      <c r="F97" s="340"/>
      <c r="G97" s="3"/>
    </row>
  </sheetData>
  <sheetProtection algorithmName="SHA-512" hashValue="P7WcA8kXUFfPGoEU/8kP1s2ajyJ43Nx6ZRLzd6ZpnJoa4DfHPHxDU/vnwbcm/cgyejzocYPMl3dSmavVW7tz+w==" saltValue="opfngIGsvBtwpy8aNkFp/Q==" spinCount="100000" sheet="1" objects="1" scenarios="1"/>
  <mergeCells count="9">
    <mergeCell ref="B3:G3"/>
    <mergeCell ref="B21:F21"/>
    <mergeCell ref="B51:F51"/>
    <mergeCell ref="B81:F81"/>
    <mergeCell ref="B97:F97"/>
    <mergeCell ref="B4:G4"/>
    <mergeCell ref="B36:F36"/>
    <mergeCell ref="B6:F6"/>
    <mergeCell ref="B66:F66"/>
  </mergeCells>
  <pageMargins left="0.25" right="0.25" top="0.5" bottom="0.5" header="0.511811023622047" footer="0.511811023622047"/>
  <pageSetup orientation="landscape"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3EE53-AFE0-487B-B358-6F79B9DB29ED}">
  <sheetPr codeName="Hoja1"/>
  <dimension ref="B5:C22"/>
  <sheetViews>
    <sheetView showGridLines="0" showRowColHeaders="0" workbookViewId="0">
      <selection activeCell="B6" sqref="B6"/>
    </sheetView>
  </sheetViews>
  <sheetFormatPr baseColWidth="10" defaultRowHeight="15"/>
  <cols>
    <col min="1" max="1" width="12.7109375" customWidth="1"/>
    <col min="2" max="2" width="104.5703125" bestFit="1" customWidth="1"/>
    <col min="3" max="3" width="27.28515625" customWidth="1"/>
  </cols>
  <sheetData>
    <row r="5" spans="2:3" ht="18.75">
      <c r="B5" s="246" t="s">
        <v>320</v>
      </c>
      <c r="C5" s="247" t="s">
        <v>960</v>
      </c>
    </row>
    <row r="6" spans="2:3" ht="18.75">
      <c r="B6" s="248" t="s">
        <v>978</v>
      </c>
      <c r="C6" s="251" t="s">
        <v>961</v>
      </c>
    </row>
    <row r="7" spans="2:3" ht="18.75">
      <c r="B7" s="249" t="s">
        <v>15</v>
      </c>
      <c r="C7" s="252" t="s">
        <v>962</v>
      </c>
    </row>
    <row r="8" spans="2:3" ht="18.75">
      <c r="B8" s="248" t="s">
        <v>43</v>
      </c>
      <c r="C8" s="251" t="s">
        <v>963</v>
      </c>
    </row>
    <row r="9" spans="2:3" ht="18.75">
      <c r="B9" s="249" t="s">
        <v>62</v>
      </c>
      <c r="C9" s="252" t="s">
        <v>964</v>
      </c>
    </row>
    <row r="10" spans="2:3" ht="18.75">
      <c r="B10" s="248" t="s">
        <v>75</v>
      </c>
      <c r="C10" s="251" t="s">
        <v>965</v>
      </c>
    </row>
    <row r="11" spans="2:3" ht="18.75">
      <c r="B11" s="249" t="s">
        <v>86</v>
      </c>
      <c r="C11" s="252" t="s">
        <v>966</v>
      </c>
    </row>
    <row r="12" spans="2:3" ht="18.75">
      <c r="B12" s="248" t="s">
        <v>102</v>
      </c>
      <c r="C12" s="251" t="s">
        <v>967</v>
      </c>
    </row>
    <row r="13" spans="2:3" ht="18.75">
      <c r="B13" s="249" t="s">
        <v>220</v>
      </c>
      <c r="C13" s="252" t="s">
        <v>968</v>
      </c>
    </row>
    <row r="14" spans="2:3" ht="18.75">
      <c r="B14" s="248" t="s">
        <v>979</v>
      </c>
      <c r="C14" s="251" t="s">
        <v>969</v>
      </c>
    </row>
    <row r="15" spans="2:3" ht="18.75">
      <c r="B15" s="249" t="s">
        <v>980</v>
      </c>
      <c r="C15" s="252" t="s">
        <v>970</v>
      </c>
    </row>
    <row r="16" spans="2:3" ht="18.75">
      <c r="B16" s="248" t="s">
        <v>982</v>
      </c>
      <c r="C16" s="251" t="s">
        <v>971</v>
      </c>
    </row>
    <row r="17" spans="2:3" ht="18.75">
      <c r="B17" s="249" t="s">
        <v>981</v>
      </c>
      <c r="C17" s="252" t="s">
        <v>972</v>
      </c>
    </row>
    <row r="18" spans="2:3" ht="18.75">
      <c r="B18" s="248" t="s">
        <v>983</v>
      </c>
      <c r="C18" s="251" t="s">
        <v>973</v>
      </c>
    </row>
    <row r="19" spans="2:3" ht="18.75">
      <c r="B19" s="249" t="s">
        <v>984</v>
      </c>
      <c r="C19" s="252" t="s">
        <v>974</v>
      </c>
    </row>
    <row r="20" spans="2:3" ht="18.75">
      <c r="B20" s="248" t="s">
        <v>985</v>
      </c>
      <c r="C20" s="251" t="s">
        <v>975</v>
      </c>
    </row>
    <row r="21" spans="2:3" ht="18.75">
      <c r="B21" s="249" t="s">
        <v>986</v>
      </c>
      <c r="C21" s="252" t="s">
        <v>976</v>
      </c>
    </row>
    <row r="22" spans="2:3" ht="18.75">
      <c r="B22" s="250" t="s">
        <v>987</v>
      </c>
      <c r="C22" s="253" t="s">
        <v>977</v>
      </c>
    </row>
  </sheetData>
  <sheetProtection algorithmName="SHA-512" hashValue="BNkxXFpDUdrgX2lZZtraRdIPuKX0RIdMDkCA3BhYPqQgtxkIfPaSxImfIOitj1aJ7D6xhNpEGlZxSg9tM+rgUA==" saltValue="HkmTQkcVfm1q8X+jyy/qwg==" spinCount="100000" sheet="1" objects="1" scenarios="1"/>
  <hyperlinks>
    <hyperlink ref="C6" location="PARAMETRO!C4" display="PARAMETRO" xr:uid="{F6ED84F0-B582-4ABF-8F20-F149667ED562}"/>
    <hyperlink ref="C7" location="ART_163!C4" display="ART_163" xr:uid="{DBAA1598-F738-4CDE-86C2-DBC946CA43E6}"/>
    <hyperlink ref="C8" location="ART_174!C7" display="ART_174" xr:uid="{8B335DC2-6335-4627-BC43-7DF95827E30B}"/>
    <hyperlink ref="C9" location="ART_175!C7" display="ART_175" xr:uid="{583BA6E0-069C-4C2E-8476-6AFA9B400E6F}"/>
    <hyperlink ref="C10" location="ART_176!C7" display="ART_176" xr:uid="{15F37AAE-C0D6-4FEB-9BC8-EB94DF9F9113}"/>
    <hyperlink ref="C11" location="ART_177!C7" display="ART_177" xr:uid="{DC8EDCC6-EF20-4F15-9D2C-B737A915040C}"/>
    <hyperlink ref="C12" location="ART_173!C7" display="ART_173" xr:uid="{549A8CCC-1ECD-41E9-AE3B-CD7F0FB9F13D}"/>
    <hyperlink ref="C13" location="'ART_96 LISR'!C8" display="ART_96 LISR" xr:uid="{2532384F-893D-43C3-8E77-3C7837A00C41}"/>
    <hyperlink ref="C14" location="ASIMILADOS!D6" display="ASIMILADOS" xr:uid="{C4D62C18-87C5-46D8-8B1E-5C0280973C3D}"/>
    <hyperlink ref="C15" location="DSDI!C5" display="SBC" xr:uid="{A7464235-1AF0-465C-89C0-504A4CA8BBD7}"/>
    <hyperlink ref="C17" location="FCFDI!C4" display="FCFDI" xr:uid="{A2FC86EE-395D-45C3-AF72-E5DE86B32556}"/>
    <hyperlink ref="C16" location="DSDI!B5" display="DSDI" xr:uid="{45AF04E9-33B3-4AE5-B163-F0270F77D8CE}"/>
    <hyperlink ref="C18" location="PERCEP!B4" display="PERCEP" xr:uid="{169C2F8D-4A0C-4065-98C1-2CA287DAA68F}"/>
    <hyperlink ref="C19" location="DEDUC!B4" display="DEDUC" xr:uid="{0C281719-0269-4F36-AE1F-FA30ADABCF57}"/>
    <hyperlink ref="C20" location="PRELA!B6" display="PRELA" xr:uid="{B6A817C7-E6E9-4327-A3B9-E7031D77F48E}"/>
    <hyperlink ref="C21" location="REFORMA!B4" display="REFORMA" xr:uid="{6A6CA21C-3C85-47A3-BA94-F647DA370908}"/>
    <hyperlink ref="C22" location="TARIFAS!B8" display="TARIFAS" xr:uid="{B8937061-8ABE-4DC4-827D-0738F6A470B9}"/>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6935B-9EF8-4F9D-B718-39BC68488EF9}">
  <sheetPr codeName="Hoja20"/>
  <dimension ref="B3:D316"/>
  <sheetViews>
    <sheetView zoomScale="120" zoomScaleNormal="120" workbookViewId="0">
      <selection activeCell="C11" sqref="C11"/>
    </sheetView>
  </sheetViews>
  <sheetFormatPr baseColWidth="10" defaultRowHeight="15"/>
  <sheetData>
    <row r="3" spans="2:4">
      <c r="B3" s="25"/>
    </row>
    <row r="4" spans="2:4">
      <c r="B4" s="25" t="s">
        <v>258</v>
      </c>
      <c r="C4" s="24"/>
    </row>
    <row r="5" spans="2:4">
      <c r="B5" s="36" t="s">
        <v>259</v>
      </c>
      <c r="C5" s="37" t="s">
        <v>260</v>
      </c>
      <c r="D5" s="36" t="s">
        <v>261</v>
      </c>
    </row>
    <row r="6" spans="2:4">
      <c r="B6" s="38">
        <v>0</v>
      </c>
      <c r="C6" s="39">
        <v>1</v>
      </c>
      <c r="D6" s="38">
        <v>12</v>
      </c>
    </row>
    <row r="7" spans="2:4">
      <c r="B7" s="40">
        <f>C6+0.01</f>
        <v>1.01</v>
      </c>
      <c r="C7" s="39">
        <f>C6+1</f>
        <v>2</v>
      </c>
      <c r="D7" s="38">
        <f>D6+2</f>
        <v>14</v>
      </c>
    </row>
    <row r="8" spans="2:4">
      <c r="B8" s="40">
        <f t="shared" ref="B8:B20" si="0">C7+0.01</f>
        <v>2.0099999999999998</v>
      </c>
      <c r="C8" s="39">
        <f t="shared" ref="C8:C10" si="1">C7+1</f>
        <v>3</v>
      </c>
      <c r="D8" s="38">
        <f t="shared" ref="D8:D20" si="2">D7+2</f>
        <v>16</v>
      </c>
    </row>
    <row r="9" spans="2:4">
      <c r="B9" s="40">
        <f t="shared" si="0"/>
        <v>3.01</v>
      </c>
      <c r="C9" s="39">
        <f t="shared" si="1"/>
        <v>4</v>
      </c>
      <c r="D9" s="38">
        <f t="shared" si="2"/>
        <v>18</v>
      </c>
    </row>
    <row r="10" spans="2:4">
      <c r="B10" s="40">
        <f t="shared" si="0"/>
        <v>4.01</v>
      </c>
      <c r="C10" s="39">
        <f t="shared" si="1"/>
        <v>5</v>
      </c>
      <c r="D10" s="38">
        <f t="shared" si="2"/>
        <v>20</v>
      </c>
    </row>
    <row r="11" spans="2:4">
      <c r="B11" s="40">
        <f t="shared" si="0"/>
        <v>5.01</v>
      </c>
      <c r="C11" s="39">
        <f>C10+5</f>
        <v>10</v>
      </c>
      <c r="D11" s="38">
        <f t="shared" si="2"/>
        <v>22</v>
      </c>
    </row>
    <row r="12" spans="2:4">
      <c r="B12" s="40">
        <f t="shared" si="0"/>
        <v>10.01</v>
      </c>
      <c r="C12" s="39">
        <f t="shared" ref="C12:C20" si="3">C11+5</f>
        <v>15</v>
      </c>
      <c r="D12" s="38">
        <f t="shared" si="2"/>
        <v>24</v>
      </c>
    </row>
    <row r="13" spans="2:4">
      <c r="B13" s="40">
        <f t="shared" si="0"/>
        <v>15.01</v>
      </c>
      <c r="C13" s="39">
        <f t="shared" si="3"/>
        <v>20</v>
      </c>
      <c r="D13" s="38">
        <f t="shared" si="2"/>
        <v>26</v>
      </c>
    </row>
    <row r="14" spans="2:4">
      <c r="B14" s="40">
        <f t="shared" si="0"/>
        <v>20.010000000000002</v>
      </c>
      <c r="C14" s="39">
        <f t="shared" si="3"/>
        <v>25</v>
      </c>
      <c r="D14" s="38">
        <f t="shared" si="2"/>
        <v>28</v>
      </c>
    </row>
    <row r="15" spans="2:4">
      <c r="B15" s="40">
        <f t="shared" si="0"/>
        <v>25.01</v>
      </c>
      <c r="C15" s="39">
        <f t="shared" si="3"/>
        <v>30</v>
      </c>
      <c r="D15" s="38">
        <f t="shared" si="2"/>
        <v>30</v>
      </c>
    </row>
    <row r="16" spans="2:4">
      <c r="B16" s="40">
        <f t="shared" si="0"/>
        <v>30.01</v>
      </c>
      <c r="C16" s="39">
        <f t="shared" si="3"/>
        <v>35</v>
      </c>
      <c r="D16" s="38">
        <f t="shared" si="2"/>
        <v>32</v>
      </c>
    </row>
    <row r="17" spans="2:4">
      <c r="B17" s="40">
        <f t="shared" si="0"/>
        <v>35.01</v>
      </c>
      <c r="C17" s="39">
        <f t="shared" si="3"/>
        <v>40</v>
      </c>
      <c r="D17" s="38">
        <f t="shared" si="2"/>
        <v>34</v>
      </c>
    </row>
    <row r="18" spans="2:4">
      <c r="B18" s="40">
        <f t="shared" si="0"/>
        <v>40.01</v>
      </c>
      <c r="C18" s="39">
        <f t="shared" si="3"/>
        <v>45</v>
      </c>
      <c r="D18" s="38">
        <f t="shared" si="2"/>
        <v>36</v>
      </c>
    </row>
    <row r="19" spans="2:4">
      <c r="B19" s="40">
        <f t="shared" si="0"/>
        <v>45.01</v>
      </c>
      <c r="C19" s="39">
        <f t="shared" si="3"/>
        <v>50</v>
      </c>
      <c r="D19" s="38">
        <f t="shared" si="2"/>
        <v>38</v>
      </c>
    </row>
    <row r="20" spans="2:4">
      <c r="B20" s="40">
        <f t="shared" si="0"/>
        <v>50.01</v>
      </c>
      <c r="C20" s="39">
        <f t="shared" si="3"/>
        <v>55</v>
      </c>
      <c r="D20" s="38">
        <f t="shared" si="2"/>
        <v>40</v>
      </c>
    </row>
    <row r="273" spans="2:2">
      <c r="B273">
        <v>1</v>
      </c>
    </row>
    <row r="274" spans="2:2">
      <c r="B274">
        <v>2</v>
      </c>
    </row>
    <row r="275" spans="2:2">
      <c r="B275">
        <v>3</v>
      </c>
    </row>
    <row r="276" spans="2:2">
      <c r="B276">
        <v>4</v>
      </c>
    </row>
    <row r="277" spans="2:2">
      <c r="B277">
        <v>5</v>
      </c>
    </row>
    <row r="278" spans="2:2">
      <c r="B278">
        <v>6</v>
      </c>
    </row>
    <row r="279" spans="2:2">
      <c r="B279">
        <v>7</v>
      </c>
    </row>
    <row r="280" spans="2:2">
      <c r="B280">
        <v>8</v>
      </c>
    </row>
    <row r="281" spans="2:2">
      <c r="B281">
        <v>9</v>
      </c>
    </row>
    <row r="282" spans="2:2">
      <c r="B282">
        <v>10</v>
      </c>
    </row>
    <row r="283" spans="2:2">
      <c r="B283">
        <v>11</v>
      </c>
    </row>
    <row r="284" spans="2:2">
      <c r="B284">
        <v>12</v>
      </c>
    </row>
    <row r="285" spans="2:2">
      <c r="B285">
        <v>13</v>
      </c>
    </row>
    <row r="286" spans="2:2">
      <c r="B286">
        <v>14</v>
      </c>
    </row>
    <row r="287" spans="2:2">
      <c r="B287">
        <v>15</v>
      </c>
    </row>
    <row r="288" spans="2:2">
      <c r="B288">
        <v>16</v>
      </c>
    </row>
    <row r="289" spans="2:2">
      <c r="B289">
        <v>17</v>
      </c>
    </row>
    <row r="290" spans="2:2">
      <c r="B290">
        <v>18</v>
      </c>
    </row>
    <row r="291" spans="2:2">
      <c r="B291">
        <v>19</v>
      </c>
    </row>
    <row r="292" spans="2:2">
      <c r="B292">
        <v>20</v>
      </c>
    </row>
    <row r="293" spans="2:2">
      <c r="B293">
        <v>21</v>
      </c>
    </row>
    <row r="294" spans="2:2">
      <c r="B294">
        <v>22</v>
      </c>
    </row>
    <row r="295" spans="2:2">
      <c r="B295">
        <v>23</v>
      </c>
    </row>
    <row r="296" spans="2:2">
      <c r="B296">
        <v>24</v>
      </c>
    </row>
    <row r="297" spans="2:2">
      <c r="B297">
        <v>25</v>
      </c>
    </row>
    <row r="298" spans="2:2">
      <c r="B298">
        <v>26</v>
      </c>
    </row>
    <row r="299" spans="2:2">
      <c r="B299">
        <v>27</v>
      </c>
    </row>
    <row r="300" spans="2:2">
      <c r="B300">
        <v>28</v>
      </c>
    </row>
    <row r="301" spans="2:2">
      <c r="B301">
        <v>29</v>
      </c>
    </row>
    <row r="302" spans="2:2">
      <c r="B302">
        <v>30</v>
      </c>
    </row>
    <row r="303" spans="2:2">
      <c r="B303">
        <v>31</v>
      </c>
    </row>
    <row r="305" spans="2:2">
      <c r="B305" t="s">
        <v>206</v>
      </c>
    </row>
    <row r="306" spans="2:2">
      <c r="B306" t="s">
        <v>207</v>
      </c>
    </row>
    <row r="307" spans="2:2">
      <c r="B307" t="s">
        <v>208</v>
      </c>
    </row>
    <row r="308" spans="2:2">
      <c r="B308" t="s">
        <v>209</v>
      </c>
    </row>
    <row r="309" spans="2:2">
      <c r="B309" t="s">
        <v>210</v>
      </c>
    </row>
    <row r="310" spans="2:2">
      <c r="B310" t="s">
        <v>211</v>
      </c>
    </row>
    <row r="311" spans="2:2">
      <c r="B311" t="s">
        <v>212</v>
      </c>
    </row>
    <row r="312" spans="2:2">
      <c r="B312" t="s">
        <v>213</v>
      </c>
    </row>
    <row r="313" spans="2:2">
      <c r="B313" t="s">
        <v>214</v>
      </c>
    </row>
    <row r="314" spans="2:2">
      <c r="B314" t="s">
        <v>215</v>
      </c>
    </row>
    <row r="315" spans="2:2">
      <c r="B315" t="s">
        <v>216</v>
      </c>
    </row>
    <row r="316" spans="2:2">
      <c r="B316" t="s">
        <v>217</v>
      </c>
    </row>
  </sheetData>
  <phoneticPr fontId="18"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3"/>
  <dimension ref="B2:D15"/>
  <sheetViews>
    <sheetView showGridLines="0" workbookViewId="0">
      <selection activeCell="C4" sqref="C4"/>
    </sheetView>
  </sheetViews>
  <sheetFormatPr baseColWidth="10" defaultColWidth="9.140625" defaultRowHeight="15"/>
  <cols>
    <col min="2" max="2" width="35.42578125" customWidth="1"/>
    <col min="3" max="3" width="25" customWidth="1"/>
    <col min="4" max="4" width="63.28515625" customWidth="1"/>
  </cols>
  <sheetData>
    <row r="2" spans="2:4" ht="30.75" customHeight="1"/>
    <row r="3" spans="2:4">
      <c r="B3" s="41" t="s">
        <v>119</v>
      </c>
      <c r="C3" s="41" t="s">
        <v>120</v>
      </c>
      <c r="D3" s="41" t="s">
        <v>121</v>
      </c>
    </row>
    <row r="4" spans="2:4" ht="30">
      <c r="B4" s="42" t="s">
        <v>122</v>
      </c>
      <c r="C4" s="214">
        <v>117.31</v>
      </c>
      <c r="D4" s="44" t="s">
        <v>123</v>
      </c>
    </row>
    <row r="5" spans="2:4" ht="30.75" customHeight="1">
      <c r="B5" s="42" t="s">
        <v>124</v>
      </c>
      <c r="C5" s="214">
        <v>315.04000000000002</v>
      </c>
      <c r="D5" s="44" t="s">
        <v>125</v>
      </c>
    </row>
    <row r="6" spans="2:4" ht="15" customHeight="1">
      <c r="B6" s="44" t="s">
        <v>196</v>
      </c>
      <c r="C6" s="45">
        <v>3566.22</v>
      </c>
      <c r="D6" s="44" t="s">
        <v>199</v>
      </c>
    </row>
    <row r="7" spans="2:4" ht="15" customHeight="1">
      <c r="B7" s="44" t="s">
        <v>197</v>
      </c>
      <c r="C7" s="18">
        <v>0.1502</v>
      </c>
      <c r="D7" s="44" t="s">
        <v>200</v>
      </c>
    </row>
    <row r="8" spans="2:4" ht="30.75" customHeight="1">
      <c r="B8" s="44" t="s">
        <v>198</v>
      </c>
      <c r="C8" s="46">
        <v>11492.66</v>
      </c>
      <c r="D8" s="44" t="s">
        <v>201</v>
      </c>
    </row>
    <row r="9" spans="2:4">
      <c r="B9" s="44" t="s">
        <v>126</v>
      </c>
      <c r="C9" s="43">
        <v>365</v>
      </c>
      <c r="D9" s="44" t="s">
        <v>127</v>
      </c>
    </row>
    <row r="10" spans="2:4">
      <c r="B10" s="44" t="s">
        <v>128</v>
      </c>
      <c r="C10" s="43">
        <v>15</v>
      </c>
      <c r="D10" s="44" t="s">
        <v>129</v>
      </c>
    </row>
    <row r="11" spans="2:4">
      <c r="B11" s="44" t="s">
        <v>130</v>
      </c>
      <c r="C11" s="45">
        <v>12</v>
      </c>
      <c r="D11" s="44" t="s">
        <v>131</v>
      </c>
    </row>
    <row r="12" spans="2:4">
      <c r="B12" s="44" t="s">
        <v>132</v>
      </c>
      <c r="C12" s="18">
        <v>0.25</v>
      </c>
      <c r="D12" s="44" t="s">
        <v>133</v>
      </c>
    </row>
    <row r="13" spans="2:4">
      <c r="B13" s="44" t="s">
        <v>134</v>
      </c>
      <c r="C13" s="47">
        <v>0.04</v>
      </c>
      <c r="D13" s="44" t="s">
        <v>135</v>
      </c>
    </row>
    <row r="14" spans="2:4">
      <c r="B14" s="44" t="s">
        <v>136</v>
      </c>
      <c r="C14" s="18">
        <v>0.03</v>
      </c>
      <c r="D14" s="44" t="s">
        <v>137</v>
      </c>
    </row>
    <row r="15" spans="2:4">
      <c r="B15" s="44" t="s">
        <v>205</v>
      </c>
      <c r="C15" s="48">
        <f>'ART_96 LISR'!C13</f>
        <v>0</v>
      </c>
      <c r="D15" s="44" t="s">
        <v>221</v>
      </c>
    </row>
  </sheetData>
  <dataValidations count="5">
    <dataValidation type="list" allowBlank="1" showInputMessage="1" showErrorMessage="1" errorTitle="Salarios" error="Solo se permiten datos de la lista" sqref="C5" xr:uid="{1574C36F-3A9E-4D08-8D7E-B52ED692AACF}">
      <formula1>"440.87,315.04"</formula1>
    </dataValidation>
    <dataValidation type="list" allowBlank="1" showInputMessage="1" showErrorMessage="1" errorTitle="Salarios" error="Solo se permiten datos de la lista" sqref="C4" xr:uid="{22988B5E-5628-4953-BFFB-DBA2CBB41803}">
      <formula1>"113.14,117.31"</formula1>
    </dataValidation>
    <dataValidation type="list" allowBlank="1" showInputMessage="1" showErrorMessage="1" errorTitle="Salarios" error="Solo se permiten datos de la lista" sqref="C6" xr:uid="{7827FFF8-9180-4369-ADC0-63C770B6C813}">
      <formula1>"3439.46,3566.22"</formula1>
    </dataValidation>
    <dataValidation type="list" allowBlank="1" showInputMessage="1" showErrorMessage="1" errorTitle="Salarios" error="Solo se permiten datos de la lista" sqref="C7" xr:uid="{4BE0EBA3-9CCF-4210-AE7A-331F5DF312DA}">
      <formula1>"15.59%,15.02%"</formula1>
    </dataValidation>
    <dataValidation type="custom" allowBlank="1" showInputMessage="1" showErrorMessage="1" errorTitle="Restricción de acceso" error="No a capturado la clave de acceso en la hoja de portada" sqref="C8:C14" xr:uid="{B7767379-91A9-4BC8-A33C-DFADB007C1CB}">
      <formula1>ACCESO=TRUE</formula1>
    </dataValidation>
  </dataValidation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B4:I34"/>
  <sheetViews>
    <sheetView showGridLines="0" zoomScaleNormal="100" workbookViewId="0">
      <selection activeCell="B5" sqref="B5:I5"/>
    </sheetView>
  </sheetViews>
  <sheetFormatPr baseColWidth="10" defaultColWidth="8.7109375" defaultRowHeight="15" customHeight="1"/>
  <cols>
    <col min="2" max="2" width="44" customWidth="1"/>
    <col min="3" max="3" width="18" customWidth="1"/>
    <col min="4" max="4" width="70" customWidth="1"/>
    <col min="5" max="9" width="18" customWidth="1"/>
  </cols>
  <sheetData>
    <row r="4" spans="2:9" ht="15" customHeight="1">
      <c r="B4" s="257" t="s">
        <v>14</v>
      </c>
      <c r="C4" s="258"/>
      <c r="D4" s="258"/>
      <c r="E4" s="258"/>
      <c r="F4" s="258"/>
      <c r="G4" s="258"/>
      <c r="H4" s="258"/>
      <c r="I4" s="258"/>
    </row>
    <row r="5" spans="2:9" ht="15" customHeight="1">
      <c r="B5" s="256" t="s">
        <v>15</v>
      </c>
      <c r="C5" s="255"/>
      <c r="D5" s="255"/>
      <c r="E5" s="255"/>
      <c r="F5" s="255"/>
      <c r="G5" s="255"/>
      <c r="H5" s="255"/>
      <c r="I5" s="255"/>
    </row>
    <row r="6" spans="2:9" ht="15" customHeight="1">
      <c r="B6" s="3"/>
      <c r="C6" s="3"/>
      <c r="D6" s="3"/>
      <c r="E6" s="3"/>
      <c r="F6" s="3"/>
      <c r="G6" s="3"/>
      <c r="H6" s="3"/>
      <c r="I6" s="3"/>
    </row>
    <row r="7" spans="2:9" ht="15" customHeight="1">
      <c r="B7" s="4" t="s">
        <v>16</v>
      </c>
      <c r="C7" s="4" t="s">
        <v>17</v>
      </c>
      <c r="D7" s="4" t="s">
        <v>18</v>
      </c>
      <c r="E7" s="3"/>
      <c r="F7" s="3"/>
      <c r="G7" s="3"/>
      <c r="H7" s="3"/>
      <c r="I7" s="3"/>
    </row>
    <row r="8" spans="2:9" ht="15" customHeight="1">
      <c r="B8" s="5" t="s">
        <v>19</v>
      </c>
      <c r="C8" s="9"/>
      <c r="D8" s="3" t="s">
        <v>20</v>
      </c>
      <c r="E8" s="3"/>
      <c r="F8" s="3"/>
      <c r="G8" s="3"/>
      <c r="H8" s="3"/>
      <c r="I8" s="3"/>
    </row>
    <row r="9" spans="2:9" ht="15" customHeight="1">
      <c r="B9" s="5" t="s">
        <v>21</v>
      </c>
      <c r="C9" s="9"/>
      <c r="D9" s="3" t="s">
        <v>22</v>
      </c>
      <c r="E9" s="3"/>
      <c r="F9" s="3"/>
      <c r="G9" s="3"/>
      <c r="H9" s="3"/>
      <c r="I9" s="3"/>
    </row>
    <row r="10" spans="2:9" ht="19.5" customHeight="1">
      <c r="B10" s="5" t="s">
        <v>23</v>
      </c>
      <c r="C10" s="10"/>
      <c r="D10" s="3" t="s">
        <v>24</v>
      </c>
      <c r="E10" s="3"/>
      <c r="F10" s="3"/>
      <c r="G10" s="3"/>
      <c r="H10" s="3"/>
      <c r="I10" s="3"/>
    </row>
    <row r="11" spans="2:9" ht="15" customHeight="1">
      <c r="B11" s="3"/>
      <c r="C11" s="3"/>
      <c r="D11" s="3"/>
      <c r="E11" s="3"/>
      <c r="F11" s="3"/>
      <c r="G11" s="3"/>
      <c r="H11" s="3"/>
      <c r="I11" s="3"/>
    </row>
    <row r="12" spans="2:9" ht="15" customHeight="1">
      <c r="B12" s="5" t="s">
        <v>25</v>
      </c>
      <c r="C12" s="3"/>
      <c r="D12" s="3"/>
      <c r="E12" s="3"/>
      <c r="F12" s="3"/>
      <c r="G12" s="3"/>
      <c r="H12" s="3"/>
      <c r="I12" s="3"/>
    </row>
    <row r="13" spans="2:9" ht="15" customHeight="1">
      <c r="B13" s="5" t="s">
        <v>26</v>
      </c>
      <c r="C13" s="7" t="str">
        <f>IFERROR(C9/C10*30.4,"")</f>
        <v/>
      </c>
      <c r="D13" s="3" t="s">
        <v>27</v>
      </c>
      <c r="E13" s="3"/>
      <c r="F13" s="3"/>
      <c r="G13" s="3"/>
      <c r="H13" s="3"/>
      <c r="I13" s="3"/>
    </row>
    <row r="14" spans="2:9" ht="15" customHeight="1">
      <c r="B14" s="5" t="s">
        <v>28</v>
      </c>
      <c r="C14" s="7" t="str">
        <f>IFERROR(C8+C13,"")</f>
        <v/>
      </c>
      <c r="D14" s="3" t="s">
        <v>29</v>
      </c>
      <c r="E14" s="3"/>
      <c r="F14" s="3"/>
      <c r="G14" s="3"/>
      <c r="H14" s="3"/>
      <c r="I14" s="3"/>
    </row>
    <row r="15" spans="2:9" ht="15" customHeight="1">
      <c r="B15" s="5" t="s">
        <v>30</v>
      </c>
      <c r="C15" s="7" t="str">
        <f>IFERROR(IF(C14&lt;=0,0,((C14-INDEX(TARIFAS!$B$83:$B$93,MATCH(C14,TARIFAS!$B$83:$B$93,1)))*INDEX(TARIFAS!$E$83:$E$93,MATCH(C14,TARIFAS!$B$83:$B$93,1))+INDEX(TARIFAS!$D$83:$D$93,MATCH(C14,TARIFAS!$B$83:$B$93,1))))-IF(C8&lt;=PARAMETRO!$C$8,C32,0),"")</f>
        <v/>
      </c>
      <c r="D15" s="3" t="s">
        <v>31</v>
      </c>
      <c r="E15" s="3"/>
      <c r="F15" s="3"/>
      <c r="G15" s="3"/>
      <c r="H15" s="3"/>
      <c r="I15" s="3"/>
    </row>
    <row r="16" spans="2:9" ht="15" customHeight="1">
      <c r="B16" s="5" t="s">
        <v>32</v>
      </c>
      <c r="C16" s="7" t="str">
        <f>IFERROR(IF(C8&lt;=0,0,((C8-INDEX(TARIFAS!$B$83:$B$93,MATCH(C8,TARIFAS!$B$83:$B$93,1)))*INDEX(TARIFAS!$E$83:$E$93,MATCH(C8,TARIFAS!$B$83:$B$93,1))+INDEX(TARIFAS!$D$83:$D$93,MATCH(C8,TARIFAS!$B$83:$B$93,1))))-IF(C8&lt;=PARAMETRO!$C$8,C32,0),"")</f>
        <v/>
      </c>
      <c r="D16" s="3" t="s">
        <v>33</v>
      </c>
      <c r="E16" s="3"/>
      <c r="F16" s="3"/>
      <c r="G16" s="3"/>
      <c r="H16" s="3"/>
      <c r="I16" s="3"/>
    </row>
    <row r="17" spans="2:9" ht="15" customHeight="1">
      <c r="B17" s="5" t="s">
        <v>34</v>
      </c>
      <c r="C17" s="7" t="str">
        <f>IFERROR(C15-C16,"")</f>
        <v/>
      </c>
      <c r="D17" s="3" t="s">
        <v>35</v>
      </c>
      <c r="E17" s="3"/>
      <c r="F17" s="3"/>
      <c r="G17" s="3"/>
      <c r="H17" s="3"/>
      <c r="I17" s="3"/>
    </row>
    <row r="18" spans="2:9" ht="15" customHeight="1">
      <c r="B18" s="5" t="s">
        <v>36</v>
      </c>
      <c r="C18" s="8">
        <f>IFERROR(C17/C13,0)</f>
        <v>0</v>
      </c>
      <c r="D18" s="3" t="s">
        <v>37</v>
      </c>
      <c r="E18" s="3"/>
      <c r="F18" s="3"/>
      <c r="G18" s="3"/>
      <c r="H18" s="3"/>
      <c r="I18" s="3"/>
    </row>
    <row r="19" spans="2:9" ht="15" customHeight="1">
      <c r="B19" s="5" t="s">
        <v>38</v>
      </c>
      <c r="C19" s="7">
        <f>C9*C18</f>
        <v>0</v>
      </c>
      <c r="D19" s="3" t="s">
        <v>39</v>
      </c>
      <c r="E19" s="3"/>
      <c r="F19" s="3"/>
      <c r="G19" s="3"/>
      <c r="H19" s="3"/>
      <c r="I19" s="3"/>
    </row>
    <row r="20" spans="2:9" ht="15" customHeight="1">
      <c r="B20" s="3"/>
      <c r="C20" s="3"/>
      <c r="D20" s="3"/>
      <c r="E20" s="3"/>
      <c r="F20" s="3"/>
      <c r="G20" s="3"/>
      <c r="H20" s="3"/>
      <c r="I20" s="3"/>
    </row>
    <row r="21" spans="2:9" ht="15" customHeight="1">
      <c r="B21" s="3"/>
      <c r="C21" s="3"/>
      <c r="D21" s="3"/>
      <c r="E21" s="3"/>
      <c r="F21" s="3"/>
      <c r="G21" s="3"/>
      <c r="H21" s="3"/>
      <c r="I21" s="3"/>
    </row>
    <row r="22" spans="2:9" ht="15" customHeight="1">
      <c r="B22" s="5" t="s">
        <v>40</v>
      </c>
      <c r="C22" s="3"/>
      <c r="D22" s="3"/>
      <c r="E22" s="3"/>
      <c r="F22" s="3"/>
      <c r="G22" s="3"/>
      <c r="H22" s="3"/>
      <c r="I22" s="3"/>
    </row>
    <row r="23" spans="2:9" ht="15" customHeight="1">
      <c r="B23" s="254" t="s">
        <v>41</v>
      </c>
      <c r="C23" s="255"/>
      <c r="D23" s="255"/>
      <c r="E23" s="3"/>
      <c r="F23" s="3"/>
      <c r="G23" s="3"/>
      <c r="H23" s="3"/>
      <c r="I23" s="3"/>
    </row>
    <row r="24" spans="2:9" ht="15" customHeight="1">
      <c r="B24" s="255"/>
      <c r="C24" s="255"/>
      <c r="D24" s="255"/>
      <c r="E24" s="3"/>
      <c r="F24" s="3"/>
      <c r="G24" s="3"/>
      <c r="H24" s="3"/>
      <c r="I24" s="3"/>
    </row>
    <row r="25" spans="2:9" ht="15" customHeight="1">
      <c r="B25" s="255"/>
      <c r="C25" s="255"/>
      <c r="D25" s="255"/>
      <c r="E25" s="3"/>
      <c r="F25" s="3"/>
      <c r="G25" s="3"/>
      <c r="H25" s="3"/>
      <c r="I25" s="3"/>
    </row>
    <row r="27" spans="2:9" ht="15" customHeight="1">
      <c r="B27" s="19" t="s">
        <v>202</v>
      </c>
      <c r="C27" s="20" t="str">
        <f>IFERROR(ROUND(C9/C10*30.4,2),"")</f>
        <v/>
      </c>
    </row>
    <row r="29" spans="2:9" ht="15" customHeight="1">
      <c r="B29" t="str">
        <f>IF(C27&lt;=PARAMETRO!$C$8,"Con derecho al subsidio al empleo","Sin derecho al subsidio al empleo")</f>
        <v>Sin derecho al subsidio al empleo</v>
      </c>
    </row>
    <row r="30" spans="2:9" ht="15" customHeight="1">
      <c r="B30" t="str">
        <f>IF($B$29&lt;&gt;"Sin derecho al subsidio al empleo","Valor de la uma mensual","")</f>
        <v/>
      </c>
      <c r="C30" s="17" t="str">
        <f>IFERROR(IF($B$29&lt;&gt;"Sin derecho al subsidio al empleo",PARAMETRO!C6,""),"")</f>
        <v/>
      </c>
    </row>
    <row r="31" spans="2:9" ht="15" customHeight="1">
      <c r="B31" t="str">
        <f>IF($B$29&lt;&gt;"Sin derecho al subsidio al empleo","(x) % de subsidio al empleo","")</f>
        <v/>
      </c>
      <c r="C31" s="15" t="str">
        <f>IFERROR(IF($B$29&lt;&gt;"Sin derecho al subsidio al empleo",PARAMETRO!C7,""),"")</f>
        <v/>
      </c>
    </row>
    <row r="32" spans="2:9" ht="15" customHeight="1">
      <c r="B32" t="str">
        <f>IF($B$29&lt;&gt;"Sin derecho al subsidio al empleo","(=) Subsidio al empleo mensual","")</f>
        <v/>
      </c>
      <c r="C32" t="str">
        <f>IFERROR(IF($B$29&lt;&gt;"",ROUND(C30*C31,2),""),"")</f>
        <v/>
      </c>
    </row>
    <row r="33" spans="2:3" ht="15" customHeight="1">
      <c r="B33" t="str">
        <f>IF($B$29&lt;&gt;"Sin derecho al subsidio al empleo","(x) No. de meses a pagar","")</f>
        <v/>
      </c>
      <c r="C33" t="str">
        <f>IFERROR(IF($B$29&lt;&gt;"Sin derecho al subsidio al empleo",C10/30,""),"")</f>
        <v/>
      </c>
    </row>
    <row r="34" spans="2:3" ht="15" customHeight="1">
      <c r="B34" t="str">
        <f>IF($B$29&lt;&gt;"Sin derecho al subsidio al empleo","(=) Subsidio al empleo de " &amp; C33 &amp;" meses","")</f>
        <v/>
      </c>
      <c r="C34" s="17" t="str">
        <f>IFERROR(ROUND(C32*C33,2),"")</f>
        <v/>
      </c>
    </row>
  </sheetData>
  <mergeCells count="3">
    <mergeCell ref="B23:D25"/>
    <mergeCell ref="B5:I5"/>
    <mergeCell ref="B4:I4"/>
  </mergeCells>
  <conditionalFormatting sqref="B29">
    <cfRule type="cellIs" dxfId="20" priority="1" operator="equal">
      <formula>"Con derecho al subsidio al empleo"</formula>
    </cfRule>
    <cfRule type="cellIs" dxfId="19" priority="2" operator="equal">
      <formula>"Sin derecho al subsidio al empleo"</formula>
    </cfRule>
  </conditionalFormatting>
  <dataValidations count="1">
    <dataValidation type="custom" allowBlank="1" showInputMessage="1" showErrorMessage="1" errorTitle="Restricción de acceso" error="No a capturado la clave de acceso en la hoja de portada" sqref="C8:C10" xr:uid="{CCBF97DE-DD33-4F99-97CF-17224FF4DB26}">
      <formula1>ACCESO=TRUE</formula1>
    </dataValidation>
  </dataValidations>
  <pageMargins left="0.25" right="0.25" top="0.5" bottom="0.5" header="0.511811023622047" footer="0.511811023622047"/>
  <pageSetup orientation="landscape"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dimension ref="B1:I34"/>
  <sheetViews>
    <sheetView showGridLines="0" zoomScaleNormal="100" workbookViewId="0">
      <selection activeCell="C7" sqref="C7"/>
    </sheetView>
  </sheetViews>
  <sheetFormatPr baseColWidth="10" defaultColWidth="8.7109375" defaultRowHeight="15" customHeight="1"/>
  <cols>
    <col min="2" max="2" width="34" customWidth="1"/>
    <col min="3" max="3" width="18" customWidth="1"/>
    <col min="4" max="4" width="70" customWidth="1"/>
    <col min="5" max="9" width="18" customWidth="1"/>
  </cols>
  <sheetData>
    <row r="1" spans="2:9" ht="27.75" customHeight="1"/>
    <row r="3" spans="2:9" ht="15" customHeight="1">
      <c r="B3" s="259" t="s">
        <v>42</v>
      </c>
      <c r="C3" s="260"/>
      <c r="D3" s="260"/>
      <c r="E3" s="260"/>
      <c r="F3" s="260"/>
      <c r="G3" s="260"/>
      <c r="H3" s="260"/>
      <c r="I3" s="260"/>
    </row>
    <row r="4" spans="2:9" ht="15" customHeight="1">
      <c r="B4" s="256" t="s">
        <v>43</v>
      </c>
      <c r="C4" s="255"/>
      <c r="D4" s="255"/>
      <c r="E4" s="255"/>
      <c r="F4" s="255"/>
      <c r="G4" s="255"/>
      <c r="H4" s="255"/>
      <c r="I4" s="255"/>
    </row>
    <row r="5" spans="2:9" ht="15" customHeight="1">
      <c r="B5" s="3"/>
      <c r="C5" s="3"/>
      <c r="D5" s="3"/>
      <c r="E5" s="3"/>
      <c r="F5" s="3"/>
      <c r="G5" s="3"/>
      <c r="H5" s="3"/>
      <c r="I5" s="3"/>
    </row>
    <row r="6" spans="2:9" ht="15" customHeight="1">
      <c r="B6" s="4" t="s">
        <v>16</v>
      </c>
      <c r="C6" s="4" t="s">
        <v>17</v>
      </c>
      <c r="D6" s="4" t="s">
        <v>18</v>
      </c>
      <c r="E6" s="3"/>
      <c r="F6" s="3"/>
      <c r="G6" s="3"/>
      <c r="H6" s="3"/>
      <c r="I6" s="3"/>
    </row>
    <row r="7" spans="2:9" ht="15" customHeight="1">
      <c r="B7" s="5" t="s">
        <v>19</v>
      </c>
      <c r="C7" s="9"/>
      <c r="D7" s="3" t="s">
        <v>44</v>
      </c>
      <c r="E7" s="3"/>
      <c r="F7" s="3"/>
      <c r="G7" s="3"/>
      <c r="H7" s="3"/>
      <c r="I7" s="3"/>
    </row>
    <row r="8" spans="2:9" ht="15" customHeight="1">
      <c r="B8" s="5" t="s">
        <v>45</v>
      </c>
      <c r="C8" s="9"/>
      <c r="D8" s="3" t="s">
        <v>46</v>
      </c>
      <c r="E8" s="3"/>
      <c r="F8" s="3"/>
      <c r="G8" s="3"/>
      <c r="H8" s="3"/>
      <c r="I8" s="3"/>
    </row>
    <row r="9" spans="2:9" ht="15" customHeight="1">
      <c r="B9" s="5" t="s">
        <v>47</v>
      </c>
      <c r="C9" s="14" t="s">
        <v>48</v>
      </c>
      <c r="D9" s="3" t="s">
        <v>49</v>
      </c>
      <c r="E9" s="3"/>
      <c r="F9" s="3"/>
      <c r="G9" s="3"/>
      <c r="H9" s="3"/>
      <c r="I9" s="3"/>
    </row>
    <row r="10" spans="2:9" ht="15" customHeight="1">
      <c r="B10" s="5" t="s">
        <v>187</v>
      </c>
      <c r="C10" s="215">
        <f>IFERROR(IF(C9="Aguinaldo",ROUND(PARAMETRO!$C$4*30,2),IF(OR(C9="PTU", C9="Prima vacacional"),ROUND(PARAMETRO!$C$4*15,2),IF(C9="Prima dominical",PARAMETRO!$C$4,0))),0)</f>
        <v>3519.3</v>
      </c>
      <c r="D10" s="3"/>
      <c r="E10" s="3"/>
      <c r="F10" s="3"/>
      <c r="G10" s="3"/>
      <c r="H10" s="3"/>
      <c r="I10" s="3"/>
    </row>
    <row r="11" spans="2:9" ht="15" customHeight="1">
      <c r="B11" s="3"/>
      <c r="C11" s="3"/>
      <c r="D11" s="3"/>
      <c r="E11" s="3"/>
      <c r="F11" s="3"/>
      <c r="G11" s="3"/>
      <c r="H11" s="3"/>
      <c r="I11" s="3"/>
    </row>
    <row r="12" spans="2:9" ht="15" customHeight="1">
      <c r="B12" s="3"/>
      <c r="C12" s="3"/>
      <c r="D12" s="3"/>
      <c r="E12" s="3"/>
      <c r="F12" s="3"/>
      <c r="G12" s="3"/>
      <c r="H12" s="3"/>
      <c r="I12" s="3"/>
    </row>
    <row r="13" spans="2:9" ht="15" customHeight="1">
      <c r="B13" s="5" t="s">
        <v>50</v>
      </c>
      <c r="C13" s="12">
        <f>C8/365*30.4</f>
        <v>0</v>
      </c>
      <c r="D13" s="3" t="s">
        <v>51</v>
      </c>
      <c r="E13" s="3"/>
      <c r="F13" s="3"/>
      <c r="G13" s="3"/>
      <c r="H13" s="3"/>
      <c r="I13" s="3"/>
    </row>
    <row r="14" spans="2:9" ht="15" customHeight="1">
      <c r="B14" s="5" t="s">
        <v>28</v>
      </c>
      <c r="C14" s="12">
        <f>C7+C13</f>
        <v>0</v>
      </c>
      <c r="D14" s="3" t="s">
        <v>184</v>
      </c>
      <c r="E14" s="3"/>
      <c r="F14" s="3"/>
      <c r="G14" s="3"/>
      <c r="H14" s="3"/>
      <c r="I14" s="3"/>
    </row>
    <row r="15" spans="2:9" ht="15" customHeight="1">
      <c r="B15" s="5" t="s">
        <v>30</v>
      </c>
      <c r="C15" s="12">
        <f>IF(C14&lt;=0,0,((C14-INDEX(TARIFAS!$B$83:$B$93,MATCH(C14,TARIFAS!$B$83:$B$93,1)))*INDEX(TARIFAS!$E$83:$E$93,MATCH(C14,TARIFAS!$B$83:$B$93,1))+INDEX(TARIFAS!$D$83:$D$93,MATCH(C14,TARIFAS!$B$83:$B$93,1))))</f>
        <v>0</v>
      </c>
      <c r="D15" s="3" t="s">
        <v>53</v>
      </c>
      <c r="E15" s="3"/>
      <c r="F15" s="3"/>
      <c r="G15" s="3"/>
      <c r="H15" s="3"/>
      <c r="I15" s="3"/>
    </row>
    <row r="16" spans="2:9" ht="15" customHeight="1">
      <c r="B16" s="5" t="s">
        <v>32</v>
      </c>
      <c r="C16" s="12">
        <f>IF(C7&lt;=0,0,((C7-INDEX(TARIFAS!$B$83:$B$93,MATCH(C7,TARIFAS!$B$83:$B$93,1)))*INDEX(TARIFAS!$E$83:$E$93,MATCH(C7,TARIFAS!$B$83:$B$93,1))+INDEX(TARIFAS!$D$83:$D$93,MATCH(C7,TARIFAS!$B$83:$B$93,1))))</f>
        <v>0</v>
      </c>
      <c r="D16" s="3" t="s">
        <v>54</v>
      </c>
      <c r="E16" s="3"/>
      <c r="F16" s="3"/>
      <c r="G16" s="3"/>
      <c r="H16" s="3"/>
      <c r="I16" s="3"/>
    </row>
    <row r="17" spans="2:9" ht="15" customHeight="1">
      <c r="B17" s="5" t="s">
        <v>34</v>
      </c>
      <c r="C17" s="12">
        <f>C15-C16</f>
        <v>0</v>
      </c>
      <c r="D17" s="3" t="s">
        <v>185</v>
      </c>
      <c r="E17" s="3"/>
      <c r="F17" s="3"/>
      <c r="G17" s="3"/>
      <c r="H17" s="3"/>
      <c r="I17" s="3"/>
    </row>
    <row r="18" spans="2:9" ht="15" customHeight="1">
      <c r="B18" s="5" t="s">
        <v>36</v>
      </c>
      <c r="C18" s="13">
        <f>IFERROR(C17/C13,0)</f>
        <v>0</v>
      </c>
      <c r="D18" s="3" t="s">
        <v>186</v>
      </c>
      <c r="E18" s="3"/>
      <c r="F18" s="3"/>
      <c r="G18" s="3"/>
      <c r="H18" s="3"/>
      <c r="I18" s="3"/>
    </row>
    <row r="19" spans="2:9" ht="15" customHeight="1">
      <c r="B19" s="5" t="s">
        <v>57</v>
      </c>
      <c r="C19" s="12">
        <f>C8*C18</f>
        <v>0</v>
      </c>
      <c r="D19" s="3" t="s">
        <v>58</v>
      </c>
      <c r="E19" s="3"/>
      <c r="F19" s="3"/>
      <c r="G19" s="3"/>
      <c r="H19" s="3"/>
      <c r="I19" s="3"/>
    </row>
    <row r="20" spans="2:9" ht="15" customHeight="1">
      <c r="B20" s="3"/>
      <c r="C20" s="3"/>
      <c r="D20" s="3"/>
      <c r="E20" s="3"/>
      <c r="F20" s="3"/>
      <c r="G20" s="3"/>
      <c r="H20" s="3"/>
      <c r="I20" s="3"/>
    </row>
    <row r="21" spans="2:9" ht="15" customHeight="1">
      <c r="B21" s="3"/>
      <c r="C21" s="3"/>
      <c r="D21" s="3"/>
      <c r="E21" s="3"/>
      <c r="F21" s="3"/>
      <c r="G21" s="3"/>
      <c r="H21" s="3"/>
      <c r="I21" s="3"/>
    </row>
    <row r="22" spans="2:9" ht="15" customHeight="1">
      <c r="B22" s="5" t="s">
        <v>59</v>
      </c>
      <c r="C22" s="3"/>
      <c r="D22" s="3"/>
      <c r="E22" s="3"/>
      <c r="F22" s="3"/>
      <c r="G22" s="3"/>
      <c r="H22" s="3"/>
      <c r="I22" s="3"/>
    </row>
    <row r="23" spans="2:9" ht="15" customHeight="1">
      <c r="B23" s="254" t="s">
        <v>60</v>
      </c>
      <c r="C23" s="255"/>
      <c r="D23" s="255"/>
      <c r="E23" s="3"/>
      <c r="F23" s="3"/>
      <c r="G23" s="3"/>
      <c r="H23" s="3"/>
      <c r="I23" s="3"/>
    </row>
    <row r="24" spans="2:9" ht="15" customHeight="1">
      <c r="B24" s="255"/>
      <c r="C24" s="255"/>
      <c r="D24" s="255"/>
      <c r="E24" s="3"/>
      <c r="F24" s="3"/>
      <c r="G24" s="3"/>
      <c r="H24" s="3"/>
      <c r="I24" s="3"/>
    </row>
    <row r="25" spans="2:9" ht="15" customHeight="1">
      <c r="B25" s="255"/>
      <c r="C25" s="255"/>
      <c r="D25" s="255"/>
      <c r="E25" s="3"/>
      <c r="F25" s="3"/>
      <c r="G25" s="3"/>
      <c r="H25" s="3"/>
      <c r="I25" s="3"/>
    </row>
    <row r="27" spans="2:9" ht="15" customHeight="1">
      <c r="B27" s="19" t="s">
        <v>202</v>
      </c>
      <c r="C27" s="20" t="str">
        <f>IFERROR(IF(AND(C7&lt;&gt;"",C8&lt;&gt;""),C7+C8-C10,""),"")</f>
        <v/>
      </c>
    </row>
    <row r="29" spans="2:9" ht="15" customHeight="1">
      <c r="B29" t="str">
        <f>IF(C27&lt;=PARAMETRO!$C$8,"Con derecho al subsidio al empleo","Sin derecho al subsidio al empleo")</f>
        <v>Sin derecho al subsidio al empleo</v>
      </c>
    </row>
    <row r="30" spans="2:9" ht="15" customHeight="1">
      <c r="B30" t="str">
        <f>IF($B$29&lt;&gt;"Sin derecho al subsidio al empleo","Valor de la uma mensual","")</f>
        <v/>
      </c>
      <c r="C30" s="17" t="str">
        <f>IFERROR(IF($B$29&lt;&gt;"Sin derecho al subsidio al empleo",PARAMETRO!C6,""),"")</f>
        <v/>
      </c>
    </row>
    <row r="31" spans="2:9" ht="15" customHeight="1">
      <c r="B31" t="str">
        <f>IF($B$29&lt;&gt;"Sin derecho al subsidio al empleo","(x) % de subsidio al empleo","")</f>
        <v/>
      </c>
      <c r="C31" s="15" t="str">
        <f>IFERROR(IF($B$29&lt;&gt;"Sin derecho al subsidio al empleo",PARAMETRO!C7,""),"")</f>
        <v/>
      </c>
    </row>
    <row r="32" spans="2:9" ht="15" customHeight="1">
      <c r="B32" t="str">
        <f>IF($B$29&lt;&gt;"Sin derecho al subsidio al empleo","(=) Subsidio al empleo mensual","")</f>
        <v/>
      </c>
      <c r="C32" t="str">
        <f>IFERROR(IF($B$29&lt;&gt;"",ROUND(C30*C31,2),""),"")</f>
        <v/>
      </c>
    </row>
    <row r="34" spans="3:3" ht="15" customHeight="1">
      <c r="C34" s="17"/>
    </row>
  </sheetData>
  <mergeCells count="3">
    <mergeCell ref="B23:D25"/>
    <mergeCell ref="B4:I4"/>
    <mergeCell ref="B3:I3"/>
  </mergeCells>
  <conditionalFormatting sqref="B29">
    <cfRule type="cellIs" dxfId="18" priority="1" operator="equal">
      <formula>"Con derecho al subsidio al empleo"</formula>
    </cfRule>
    <cfRule type="cellIs" dxfId="17" priority="2" operator="equal">
      <formula>"Sin derecho al subsidio al empleo"</formula>
    </cfRule>
  </conditionalFormatting>
  <dataValidations count="2">
    <dataValidation type="list" allowBlank="1" showInputMessage="1" showErrorMessage="1" errorTitle="Artículo 174 RLISR" error="Solo se permiten datos de la lista" sqref="C9" xr:uid="{79C4F70F-FD1F-43DE-9FE7-B22F429396DD}">
      <formula1>"Aguinaldo,PTU,Prima vacacional,Prima dominical"</formula1>
    </dataValidation>
    <dataValidation type="custom" allowBlank="1" showInputMessage="1" showErrorMessage="1" errorTitle="Restricción de acceso" error="Debe de capturar la contraseña en la hoja de portada" sqref="C7:C8" xr:uid="{262E758F-2BD3-404B-897C-BE7EF311D0E6}">
      <formula1>ACCESO=TRUE</formula1>
    </dataValidation>
  </dataValidations>
  <pageMargins left="0.25" right="0.25" top="0.5" bottom="0.5" header="0.511811023622047" footer="0.511811023622047"/>
  <pageSetup orientation="landscape"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dimension ref="B1:D26"/>
  <sheetViews>
    <sheetView showGridLines="0" zoomScaleNormal="100" workbookViewId="0">
      <selection activeCell="C7" sqref="C7"/>
    </sheetView>
  </sheetViews>
  <sheetFormatPr baseColWidth="10" defaultColWidth="8.7109375" defaultRowHeight="15" customHeight="1"/>
  <cols>
    <col min="2" max="2" width="34" customWidth="1"/>
    <col min="3" max="3" width="18" customWidth="1"/>
    <col min="4" max="4" width="70" customWidth="1"/>
  </cols>
  <sheetData>
    <row r="1" spans="2:4" ht="24" customHeight="1"/>
    <row r="3" spans="2:4" ht="15" customHeight="1">
      <c r="B3" s="257" t="s">
        <v>61</v>
      </c>
      <c r="C3" s="258"/>
      <c r="D3" s="258"/>
    </row>
    <row r="4" spans="2:4" ht="15" customHeight="1">
      <c r="B4" s="256" t="s">
        <v>62</v>
      </c>
      <c r="C4" s="255"/>
      <c r="D4" s="255"/>
    </row>
    <row r="5" spans="2:4" ht="15" customHeight="1">
      <c r="B5" s="3"/>
      <c r="C5" s="3"/>
      <c r="D5" s="3"/>
    </row>
    <row r="6" spans="2:4" ht="15" customHeight="1">
      <c r="B6" s="2" t="s">
        <v>16</v>
      </c>
      <c r="C6" s="2" t="s">
        <v>17</v>
      </c>
      <c r="D6" s="2" t="s">
        <v>18</v>
      </c>
    </row>
    <row r="7" spans="2:4" ht="15" customHeight="1">
      <c r="B7" s="5" t="s">
        <v>63</v>
      </c>
      <c r="C7" s="9"/>
      <c r="D7" s="3" t="s">
        <v>64</v>
      </c>
    </row>
    <row r="8" spans="2:4" ht="15" customHeight="1">
      <c r="B8" s="5" t="s">
        <v>65</v>
      </c>
      <c r="C8" s="14"/>
      <c r="D8" s="3" t="s">
        <v>66</v>
      </c>
    </row>
    <row r="9" spans="2:4" ht="15" customHeight="1">
      <c r="B9" s="5" t="s">
        <v>67</v>
      </c>
      <c r="C9" s="16" t="s">
        <v>9</v>
      </c>
      <c r="D9" s="3" t="s">
        <v>68</v>
      </c>
    </row>
    <row r="10" spans="2:4" ht="15" customHeight="1">
      <c r="B10" s="3"/>
      <c r="C10" s="3"/>
      <c r="D10" s="3"/>
    </row>
    <row r="11" spans="2:4" ht="15" customHeight="1">
      <c r="B11" s="3"/>
      <c r="C11" s="3"/>
      <c r="D11" s="3"/>
    </row>
    <row r="12" spans="2:4" ht="15" customHeight="1">
      <c r="B12" s="5" t="s">
        <v>69</v>
      </c>
      <c r="C12" s="12" t="str">
        <f>IFERROR(C7/C8,"")</f>
        <v/>
      </c>
      <c r="D12" s="3" t="s">
        <v>70</v>
      </c>
    </row>
    <row r="13" spans="2:4" ht="15" customHeight="1">
      <c r="B13" s="5" t="s">
        <v>71</v>
      </c>
      <c r="C13" s="12" t="str">
        <f>IFERROR(IF(C12&lt;=0,0,((C12-INDEX(TARIFAS!$B$23:$B$33,MATCH(C12,TARIFAS!$B$23:$B$33,1)))*INDEX(TARIFAS!$E$23:$E$33,MATCH(C12,TARIFAS!$B$23:$B$33,1))+INDEX(TARIFAS!$D$23:$D$33,MATCH(C12,TARIFAS!$B$23:$B$33,1)))),"")</f>
        <v/>
      </c>
      <c r="D13" s="3" t="s">
        <v>203</v>
      </c>
    </row>
    <row r="14" spans="2:4" ht="15" customHeight="1">
      <c r="B14" s="5" t="s">
        <v>72</v>
      </c>
      <c r="C14" s="12">
        <f>IFERROR((C13*C8)-C26,0)</f>
        <v>0</v>
      </c>
      <c r="D14" s="3" t="s">
        <v>73</v>
      </c>
    </row>
    <row r="18" spans="2:3" ht="15" customHeight="1">
      <c r="B18" s="19" t="s">
        <v>202</v>
      </c>
      <c r="C18" s="20" t="str">
        <f>IFERROR(IF(AND(C7&lt;&gt;"",C8&lt;&gt;""),C7,""),"")</f>
        <v/>
      </c>
    </row>
    <row r="20" spans="2:3" ht="15" customHeight="1">
      <c r="B20" t="str">
        <f>IF(C18&lt;=PARAMETRO!$C$8,"Con derecho al subsidio al empleo","Sin derecho al subsidio al empleo")</f>
        <v>Sin derecho al subsidio al empleo</v>
      </c>
    </row>
    <row r="21" spans="2:3" ht="15" customHeight="1">
      <c r="B21" t="str">
        <f>IF($B$20&lt;&gt;"Sin derecho al subsidio al empleo","Valor de la uma mensual","")</f>
        <v/>
      </c>
      <c r="C21" s="17" t="str">
        <f>IFERROR(IF($B$20&lt;&gt;"Sin derecho al subsidio al empleo",PARAMETRO!$C$6,""),"")</f>
        <v/>
      </c>
    </row>
    <row r="22" spans="2:3" ht="15" customHeight="1">
      <c r="B22" t="str">
        <f>IF($B$20&lt;&gt;"Sin derecho al subsidio al empleo","(x) % de subsidio al empleo","")</f>
        <v/>
      </c>
      <c r="C22" s="15" t="str">
        <f>IFERROR(IF($B$20&lt;&gt;"Sin derecho al subsidio al empleo",PARAMETRO!$C$7,""),"")</f>
        <v/>
      </c>
    </row>
    <row r="23" spans="2:3" ht="15" customHeight="1">
      <c r="B23" t="str">
        <f>IF($B$20&lt;&gt;"Sin derecho al subsidio al empleo","(=) Subsidio al empleo mensual","")</f>
        <v/>
      </c>
      <c r="C23" t="str">
        <f>IFERROR(IF($B$20&lt;&gt;"",ROUND(C21*C22,2),""),"")</f>
        <v/>
      </c>
    </row>
    <row r="24" spans="2:3" ht="15" customHeight="1">
      <c r="B24" t="str">
        <f>IF($B$20&lt;&gt;"Sin derecho al subsidio al empleo","(/) 30.4","")</f>
        <v/>
      </c>
      <c r="C24" t="str">
        <f>IF($B$20&lt;&gt;"Sin derecho al subsidio al empleo",30.4,"")</f>
        <v/>
      </c>
    </row>
    <row r="25" spans="2:3" ht="15" customHeight="1">
      <c r="B25" t="str">
        <f>IF($B$20&lt;&gt;"Sin derecho al subsidio al empleo","(x) Días del periodo","")</f>
        <v/>
      </c>
      <c r="C25" t="str">
        <f>IF($B$20&lt;&gt;"Sin derecho al subsidio al empleo",C8,"")</f>
        <v/>
      </c>
    </row>
    <row r="26" spans="2:3" ht="15" customHeight="1">
      <c r="B26" t="str">
        <f>IF($B$20&lt;&gt;"Sin derecho al subsidio al empleo","(=) Subsidio al empleo del periodo","")</f>
        <v/>
      </c>
      <c r="C26" t="str">
        <f>IF($B$20&lt;&gt;"Sin derecho al subsidio al empleo",ROUND(C23/C24*C25,2),"")</f>
        <v/>
      </c>
    </row>
  </sheetData>
  <mergeCells count="2">
    <mergeCell ref="B4:D4"/>
    <mergeCell ref="B3:D3"/>
  </mergeCells>
  <conditionalFormatting sqref="B20">
    <cfRule type="cellIs" dxfId="16" priority="1" operator="equal">
      <formula>"Con derecho al subsidio al empleo"</formula>
    </cfRule>
    <cfRule type="cellIs" dxfId="15" priority="2" operator="equal">
      <formula>"Sin derecho al subsidio al empleo"</formula>
    </cfRule>
  </conditionalFormatting>
  <dataValidations count="1">
    <dataValidation type="custom" allowBlank="1" showInputMessage="1" showErrorMessage="1" errorTitle="Restricción de acceso" error="Debe de capturar la contraseña en la hoja de portada" sqref="C7:C8" xr:uid="{5861DBFF-4F4E-482F-8C7F-160C692CD823}">
      <formula1>ACCESO=TRUE</formula1>
    </dataValidation>
  </dataValidations>
  <pageMargins left="0.25" right="0.25" top="0.5" bottom="0.5" header="0.511811023622047" footer="0.511811023622047"/>
  <pageSetup orientation="landscape"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B2:D26"/>
  <sheetViews>
    <sheetView showGridLines="0" zoomScaleNormal="100" workbookViewId="0">
      <selection activeCell="C7" sqref="C7"/>
    </sheetView>
  </sheetViews>
  <sheetFormatPr baseColWidth="10" defaultColWidth="8.7109375" defaultRowHeight="15" customHeight="1"/>
  <cols>
    <col min="2" max="2" width="34" customWidth="1"/>
    <col min="3" max="3" width="18" customWidth="1"/>
    <col min="4" max="4" width="70" customWidth="1"/>
  </cols>
  <sheetData>
    <row r="2" spans="2:4" ht="30.75" customHeight="1"/>
    <row r="3" spans="2:4" ht="15" customHeight="1">
      <c r="B3" s="257" t="s">
        <v>74</v>
      </c>
      <c r="C3" s="258"/>
      <c r="D3" s="258"/>
    </row>
    <row r="4" spans="2:4" ht="15" customHeight="1">
      <c r="B4" s="256" t="s">
        <v>75</v>
      </c>
      <c r="C4" s="255"/>
      <c r="D4" s="255"/>
    </row>
    <row r="5" spans="2:4" ht="15" customHeight="1">
      <c r="B5" s="3"/>
      <c r="C5" s="3"/>
      <c r="D5" s="3"/>
    </row>
    <row r="6" spans="2:4" ht="15" customHeight="1">
      <c r="B6" s="2" t="s">
        <v>16</v>
      </c>
      <c r="C6" s="2" t="s">
        <v>17</v>
      </c>
      <c r="D6" s="2" t="s">
        <v>18</v>
      </c>
    </row>
    <row r="7" spans="2:4" ht="15" customHeight="1">
      <c r="B7" s="5" t="s">
        <v>76</v>
      </c>
      <c r="C7" s="14"/>
      <c r="D7" s="3" t="s">
        <v>77</v>
      </c>
    </row>
    <row r="8" spans="2:4" ht="15" customHeight="1">
      <c r="B8" s="5" t="s">
        <v>78</v>
      </c>
      <c r="C8" s="9"/>
      <c r="D8" s="3" t="s">
        <v>79</v>
      </c>
    </row>
    <row r="9" spans="2:4" ht="15" customHeight="1">
      <c r="B9" s="5" t="s">
        <v>80</v>
      </c>
      <c r="C9" s="21" t="str">
        <f>IF(C7=7,"SEMANAL_7",IF(C7=10,"DECENAL_10",IF(C7=15,"QUINCENAL_15",IF(C7=30,"MENSUAL","REVISAR"))))</f>
        <v>REVISAR</v>
      </c>
      <c r="D9" s="3" t="s">
        <v>81</v>
      </c>
    </row>
    <row r="10" spans="2:4" ht="15" customHeight="1">
      <c r="B10" s="3"/>
      <c r="C10" s="3"/>
      <c r="D10" s="3"/>
    </row>
    <row r="11" spans="2:4" ht="15" customHeight="1">
      <c r="B11" s="3"/>
      <c r="C11" s="3"/>
      <c r="D11" s="3"/>
    </row>
    <row r="12" spans="2:4" ht="15" customHeight="1">
      <c r="B12" s="5" t="s">
        <v>204</v>
      </c>
      <c r="C12" s="12">
        <f>IF(C7=7,IF(C8&lt;=0,0,((C8-INDEX(TARIFAS!$B$38:$B$48,MATCH(C8,TARIFAS!$B$38:$B$48,1)))*INDEX(TARIFAS!$E$38:$E$48,MATCH(C8,TARIFAS!$B$38:$B$48,1))+INDEX(TARIFAS!$D$38:$D$48,MATCH(C8,TARIFAS!$B$38:$B$48,1)))),IF(C7=10,IF(C8&lt;=0,0,((C8-INDEX(TARIFAS!$B$53:$B$63,MATCH(C8,TARIFAS!$B$53:$B$63,1)))*INDEX(TARIFAS!$E$53:$E$63,MATCH(C8,TARIFAS!$B$53:$B$63,1))+INDEX(TARIFAS!$D$53:$D$63,MATCH(C8,TARIFAS!$B$53:$B$63,1)))),IF(C7=15,IF(C8&lt;=0,0,((C8-INDEX(TARIFAS!$B$68:$B$78,MATCH(C8,TARIFAS!$B$68:$B$78,1)))*INDEX(TARIFAS!$E$68:$E$78,MATCH(C8,TARIFAS!$B$68:$B$78,1))+INDEX(TARIFAS!$D$68:$D$78,MATCH(C8,TARIFAS!$B$68:$B$78,1)))),IF(C7=30,IF(C8&lt;=0,0,((C8-INDEX(TARIFAS!$B$83:$B$93,MATCH(C8,TARIFAS!$B$83:$B$93,1)))*INDEX(TARIFAS!$E$83:$E$93,MATCH(C8,TARIFAS!$B$83:$B$93,1))+INDEX(TARIFAS!$D$83:$D$93,MATCH(C8,TARIFAS!$B$83:$B$93,1)))),0))))</f>
        <v>0</v>
      </c>
      <c r="D12" s="3" t="s">
        <v>82</v>
      </c>
    </row>
    <row r="13" spans="2:4" ht="15" customHeight="1">
      <c r="B13" s="5" t="s">
        <v>194</v>
      </c>
      <c r="C13" s="12">
        <f>IF(C12&gt;=C26,C26,C12)</f>
        <v>0</v>
      </c>
      <c r="D13" s="3"/>
    </row>
    <row r="14" spans="2:4" ht="15" customHeight="1">
      <c r="B14" s="5" t="s">
        <v>195</v>
      </c>
      <c r="C14" s="12">
        <f>IFERROR(C12-C13,"")</f>
        <v>0</v>
      </c>
      <c r="D14" s="3"/>
    </row>
    <row r="15" spans="2:4" ht="15" customHeight="1">
      <c r="B15" s="5" t="s">
        <v>83</v>
      </c>
      <c r="C15" s="12">
        <f>C8-C14</f>
        <v>0</v>
      </c>
      <c r="D15" s="3" t="s">
        <v>84</v>
      </c>
    </row>
    <row r="18" spans="2:3" ht="15" customHeight="1">
      <c r="B18" s="19" t="s">
        <v>202</v>
      </c>
      <c r="C18" s="20" t="str">
        <f>IFERROR(IF(AND(C7&lt;&gt;"",C8&lt;&gt;""),ROUND(C8/C7*30,2),""),"")</f>
        <v/>
      </c>
    </row>
    <row r="20" spans="2:3" ht="15" customHeight="1">
      <c r="B20" t="str">
        <f>IF(C18&lt;=PARAMETRO!$C$8,"Con derecho al subsidio al empleo","Sin derecho al subsidio al empleo")</f>
        <v>Sin derecho al subsidio al empleo</v>
      </c>
    </row>
    <row r="21" spans="2:3" ht="15" customHeight="1">
      <c r="B21" t="str">
        <f>IF($B$20&lt;&gt;"Sin derecho al subsidio al empleo","Valor de la uma mensual","")</f>
        <v/>
      </c>
      <c r="C21" s="17" t="str">
        <f>IFERROR(IF($B$20&lt;&gt;"Sin derecho al subsidio al empleo",PARAMETRO!$C$6,""),"")</f>
        <v/>
      </c>
    </row>
    <row r="22" spans="2:3" ht="15" customHeight="1">
      <c r="B22" t="str">
        <f>IF($B$20&lt;&gt;"Sin derecho al subsidio al empleo","(x) % de subsidio al empleo","")</f>
        <v/>
      </c>
      <c r="C22" s="15" t="str">
        <f>IFERROR(IF($B$20&lt;&gt;"Sin derecho al subsidio al empleo",PARAMETRO!$C$7,""),"")</f>
        <v/>
      </c>
    </row>
    <row r="23" spans="2:3" ht="15" customHeight="1">
      <c r="B23" t="str">
        <f>IF($B$20&lt;&gt;"Sin derecho al subsidio al empleo","(=) Subsidio al empleo mensual","")</f>
        <v/>
      </c>
      <c r="C23" t="str">
        <f>IFERROR(IF($B$20&lt;&gt;"",ROUND(C21*C22,2),""),"")</f>
        <v/>
      </c>
    </row>
    <row r="24" spans="2:3" ht="15" customHeight="1">
      <c r="B24" t="str">
        <f>IF($B$20&lt;&gt;"Sin derecho al subsidio al empleo","(/) 30.4","")</f>
        <v/>
      </c>
      <c r="C24" t="str">
        <f>IF($B$20&lt;&gt;"Sin derecho al subsidio al empleo",30.4,"")</f>
        <v/>
      </c>
    </row>
    <row r="25" spans="2:3" ht="15" customHeight="1">
      <c r="B25" t="str">
        <f>IF($B$20&lt;&gt;"Sin derecho al subsidio al empleo","(x) Días del periodo","")</f>
        <v/>
      </c>
      <c r="C25" t="str">
        <f>IF($B$20&lt;&gt;"Sin derecho al subsidio al empleo",C7,"")</f>
        <v/>
      </c>
    </row>
    <row r="26" spans="2:3" ht="15" customHeight="1">
      <c r="B26" t="str">
        <f>IF($B$20&lt;&gt;"Sin derecho al subsidio al empleo","(=) Subsidio al empleo del periodo","")</f>
        <v/>
      </c>
      <c r="C26" s="17" t="str">
        <f>IF($B$20&lt;&gt;"Sin derecho al subsidio al empleo",ROUND(C23/C24*C25,2),"")</f>
        <v/>
      </c>
    </row>
  </sheetData>
  <mergeCells count="2">
    <mergeCell ref="B4:D4"/>
    <mergeCell ref="B3:D3"/>
  </mergeCells>
  <conditionalFormatting sqref="B20">
    <cfRule type="cellIs" dxfId="14" priority="1" operator="equal">
      <formula>"Con derecho al subsidio al empleo"</formula>
    </cfRule>
    <cfRule type="cellIs" dxfId="13" priority="2" operator="equal">
      <formula>"Sin derecho al subsidio al empleo"</formula>
    </cfRule>
  </conditionalFormatting>
  <dataValidations count="2">
    <dataValidation type="list" allowBlank="1" showInputMessage="1" showErrorMessage="1" errorTitle="ISR tarifas anexo 8" error="Solo se permiten datos de la lista" sqref="C7" xr:uid="{2AD3F6DC-395C-4B01-8095-DC1C5F000892}">
      <formula1>"7,10,15,30"</formula1>
    </dataValidation>
    <dataValidation type="custom" allowBlank="1" showInputMessage="1" showErrorMessage="1" errorTitle="Restricción de acceso" error="Debe de capturar la contraseña en la hoja de portada" sqref="C8" xr:uid="{6A50EABC-D146-45C5-93A0-C8438031B4B9}">
      <formula1>ACCESO=TRUE</formula1>
    </dataValidation>
  </dataValidations>
  <pageMargins left="0.25" right="0.25" top="0.5" bottom="0.5" header="0.511811023622047" footer="0.511811023622047"/>
  <pageSetup orientation="landscape"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dimension ref="B2:I26"/>
  <sheetViews>
    <sheetView showGridLines="0" zoomScaleNormal="100" workbookViewId="0">
      <pane ySplit="6" topLeftCell="A7" activePane="bottomLeft" state="frozen"/>
      <selection pane="bottomLeft" activeCell="C7" sqref="C7"/>
    </sheetView>
  </sheetViews>
  <sheetFormatPr baseColWidth="10" defaultColWidth="8.7109375" defaultRowHeight="15" customHeight="1"/>
  <cols>
    <col min="2" max="2" width="34" customWidth="1"/>
    <col min="3" max="3" width="18" customWidth="1"/>
    <col min="4" max="4" width="70" customWidth="1"/>
    <col min="5" max="9" width="18" customWidth="1"/>
  </cols>
  <sheetData>
    <row r="2" spans="2:9" ht="27" customHeight="1"/>
    <row r="3" spans="2:9" ht="15" customHeight="1">
      <c r="B3" s="257" t="s">
        <v>85</v>
      </c>
      <c r="C3" s="258"/>
      <c r="D3" s="258"/>
      <c r="E3" s="258"/>
      <c r="F3" s="258"/>
      <c r="G3" s="258"/>
      <c r="H3" s="258"/>
      <c r="I3" s="258"/>
    </row>
    <row r="4" spans="2:9" ht="15" customHeight="1">
      <c r="B4" s="256" t="s">
        <v>86</v>
      </c>
      <c r="C4" s="255"/>
      <c r="D4" s="255"/>
      <c r="E4" s="255"/>
      <c r="F4" s="255"/>
      <c r="G4" s="255"/>
      <c r="H4" s="255"/>
      <c r="I4" s="255"/>
    </row>
    <row r="5" spans="2:9" ht="15" customHeight="1">
      <c r="B5" s="3"/>
      <c r="C5" s="3"/>
      <c r="D5" s="3"/>
      <c r="E5" s="3"/>
      <c r="F5" s="3"/>
      <c r="G5" s="3"/>
      <c r="H5" s="3"/>
      <c r="I5" s="3"/>
    </row>
    <row r="6" spans="2:9" ht="15" customHeight="1">
      <c r="B6" s="2" t="s">
        <v>16</v>
      </c>
      <c r="C6" s="2" t="s">
        <v>17</v>
      </c>
      <c r="D6" s="2" t="s">
        <v>18</v>
      </c>
      <c r="E6" s="3"/>
      <c r="F6" s="3"/>
      <c r="G6" s="3"/>
      <c r="H6" s="3"/>
      <c r="I6" s="3"/>
    </row>
    <row r="7" spans="2:9" ht="15" customHeight="1">
      <c r="B7" s="5" t="s">
        <v>87</v>
      </c>
      <c r="C7" s="9"/>
      <c r="D7" s="3" t="s">
        <v>88</v>
      </c>
      <c r="E7" s="3"/>
      <c r="F7" s="3"/>
      <c r="G7" s="3"/>
      <c r="H7" s="3"/>
      <c r="I7" s="3"/>
    </row>
    <row r="8" spans="2:9" ht="15" customHeight="1">
      <c r="B8" s="5" t="s">
        <v>89</v>
      </c>
      <c r="C8" s="10"/>
      <c r="D8" s="3" t="s">
        <v>90</v>
      </c>
      <c r="E8" s="3"/>
      <c r="F8" s="3"/>
      <c r="G8" s="3"/>
      <c r="H8" s="3"/>
      <c r="I8" s="3"/>
    </row>
    <row r="9" spans="2:9" ht="15" customHeight="1">
      <c r="B9" s="5" t="s">
        <v>91</v>
      </c>
      <c r="C9" s="6" t="str">
        <f>IFERROR(C7/C8,"")</f>
        <v/>
      </c>
      <c r="D9" s="3" t="s">
        <v>92</v>
      </c>
      <c r="E9" s="3"/>
      <c r="F9" s="3"/>
      <c r="G9" s="3"/>
      <c r="H9" s="3"/>
      <c r="I9" s="3"/>
    </row>
    <row r="10" spans="2:9" ht="15" customHeight="1">
      <c r="B10" s="3"/>
      <c r="C10" s="3"/>
      <c r="D10" s="3"/>
      <c r="E10" s="3"/>
      <c r="F10" s="3"/>
      <c r="G10" s="3"/>
      <c r="H10" s="3"/>
      <c r="I10" s="3"/>
    </row>
    <row r="11" spans="2:9" ht="15" customHeight="1">
      <c r="B11" s="3"/>
      <c r="C11" s="3"/>
      <c r="D11" s="3"/>
      <c r="E11" s="3"/>
      <c r="F11" s="3"/>
      <c r="G11" s="3"/>
      <c r="H11" s="3"/>
      <c r="I11" s="3"/>
    </row>
    <row r="12" spans="2:9" ht="15" customHeight="1">
      <c r="B12" s="5" t="s">
        <v>93</v>
      </c>
      <c r="C12" s="12" t="str">
        <f>IFERROR(C7/C8,"")</f>
        <v/>
      </c>
      <c r="D12" s="3" t="s">
        <v>94</v>
      </c>
      <c r="E12" s="3"/>
      <c r="F12" s="3"/>
      <c r="G12" s="3"/>
      <c r="H12" s="3"/>
      <c r="I12" s="3"/>
    </row>
    <row r="13" spans="2:9" ht="15" customHeight="1">
      <c r="B13" s="5" t="s">
        <v>95</v>
      </c>
      <c r="C13" s="12" t="str">
        <f>IFERROR(IF(C12&lt;=0,0,((C12-INDEX(TARIFAS!$B$83:$B$93,MATCH(C12,TARIFAS!$B$83:$B$93,1)))*INDEX(TARIFAS!$E$83:$E$93,MATCH(C12,TARIFAS!$B$83:$B$93,1))+INDEX(TARIFAS!$D$83:$D$93,MATCH(C12,TARIFAS!$B$83:$B$93,1))))-IF(C23&lt;&gt;"",C23,0),"")</f>
        <v/>
      </c>
      <c r="D13" s="3" t="s">
        <v>96</v>
      </c>
      <c r="E13" s="3"/>
      <c r="F13" s="3"/>
      <c r="G13" s="3"/>
      <c r="H13" s="3"/>
      <c r="I13" s="3"/>
    </row>
    <row r="14" spans="2:9" ht="15" customHeight="1">
      <c r="B14" s="5" t="s">
        <v>97</v>
      </c>
      <c r="C14" s="12" t="str">
        <f>IFERROR(C9-C12,"")</f>
        <v/>
      </c>
      <c r="D14" s="3" t="s">
        <v>98</v>
      </c>
      <c r="E14" s="3"/>
      <c r="F14" s="3"/>
      <c r="G14" s="3"/>
      <c r="H14" s="3"/>
      <c r="I14" s="3"/>
    </row>
    <row r="15" spans="2:9" ht="28.35" customHeight="1">
      <c r="B15" s="5" t="s">
        <v>99</v>
      </c>
      <c r="C15" s="216" t="str">
        <f>IFERROR(IF(ABS(C14)&gt;1,"Recalcular ISR por cambio de ingresos","Sin diferencia relevante"),"")</f>
        <v/>
      </c>
      <c r="D15" s="3" t="s">
        <v>100</v>
      </c>
      <c r="E15" s="3"/>
      <c r="F15" s="3"/>
      <c r="G15" s="3"/>
      <c r="H15" s="3"/>
      <c r="I15" s="3"/>
    </row>
    <row r="18" spans="2:3" ht="15" customHeight="1">
      <c r="B18" s="19" t="s">
        <v>202</v>
      </c>
      <c r="C18" s="20" t="str">
        <f>C9</f>
        <v/>
      </c>
    </row>
    <row r="20" spans="2:3" ht="15" customHeight="1">
      <c r="B20" t="str">
        <f>IF(C18&lt;=PARAMETRO!$C$8,"Con derecho al subsidio al empleo","Sin derecho al subsidio al empleo")</f>
        <v>Sin derecho al subsidio al empleo</v>
      </c>
    </row>
    <row r="21" spans="2:3" ht="15" customHeight="1">
      <c r="B21" t="str">
        <f>IF($B$20&lt;&gt;"Sin derecho al subsidio al empleo","Valor de la uma mensual","")</f>
        <v/>
      </c>
      <c r="C21" s="17" t="str">
        <f>IFERROR(IF($B$20&lt;&gt;"Sin derecho al subsidio al empleo",PARAMETRO!$C$6,""),"")</f>
        <v/>
      </c>
    </row>
    <row r="22" spans="2:3" ht="15" customHeight="1">
      <c r="B22" t="str">
        <f>IF($B$20&lt;&gt;"Sin derecho al subsidio al empleo","(x) % de subsidio al empleo","")</f>
        <v/>
      </c>
      <c r="C22" s="15" t="str">
        <f>IFERROR(IF($B$20&lt;&gt;"Sin derecho al subsidio al empleo",PARAMETRO!$C$7,""),"")</f>
        <v/>
      </c>
    </row>
    <row r="23" spans="2:3" ht="15" customHeight="1">
      <c r="B23" t="str">
        <f>IF($B$20&lt;&gt;"Sin derecho al subsidio al empleo","(=) Subsidio al empleo mensual","")</f>
        <v/>
      </c>
      <c r="C23" t="str">
        <f>IFERROR(IF($B$20&lt;&gt;"",ROUND(C21*C22,2),""),"")</f>
        <v/>
      </c>
    </row>
    <row r="26" spans="2:3" ht="15" customHeight="1">
      <c r="C26" s="17"/>
    </row>
  </sheetData>
  <mergeCells count="2">
    <mergeCell ref="B4:I4"/>
    <mergeCell ref="B3:I3"/>
  </mergeCells>
  <conditionalFormatting sqref="B20">
    <cfRule type="cellIs" dxfId="12" priority="1" operator="equal">
      <formula>"Con derecho al subsidio al empleo"</formula>
    </cfRule>
    <cfRule type="cellIs" dxfId="11" priority="2" operator="equal">
      <formula>"Sin derecho al subsidio al empleo"</formula>
    </cfRule>
  </conditionalFormatting>
  <dataValidations count="1">
    <dataValidation type="custom" allowBlank="1" showInputMessage="1" showErrorMessage="1" errorTitle="Restricción de acceso" error="Debe de capturar la contraseña en la hoja de portada" sqref="C7:C8" xr:uid="{4DFD034D-860D-4338-BF7E-B3ED0ECD8691}">
      <formula1>ACCESO=TRUE</formula1>
    </dataValidation>
  </dataValidations>
  <pageMargins left="0.25" right="0.25" top="0.5" bottom="0.5" header="0.511811023622047" footer="0.511811023622047"/>
  <pageSetup orientation="landscape"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B2:I15"/>
  <sheetViews>
    <sheetView showGridLines="0" zoomScaleNormal="100" workbookViewId="0">
      <pane ySplit="6" topLeftCell="A7" activePane="bottomLeft" state="frozen"/>
      <selection pane="bottomLeft" activeCell="C7" sqref="C7"/>
    </sheetView>
  </sheetViews>
  <sheetFormatPr baseColWidth="10" defaultColWidth="8.7109375" defaultRowHeight="15" customHeight="1"/>
  <cols>
    <col min="2" max="2" width="34" customWidth="1"/>
    <col min="3" max="3" width="18" customWidth="1"/>
    <col min="4" max="4" width="70" customWidth="1"/>
    <col min="5" max="9" width="18" customWidth="1"/>
  </cols>
  <sheetData>
    <row r="2" spans="2:9" ht="27.75" customHeight="1"/>
    <row r="3" spans="2:9" ht="15" customHeight="1">
      <c r="B3" s="257" t="s">
        <v>101</v>
      </c>
      <c r="C3" s="258"/>
      <c r="D3" s="258"/>
      <c r="E3" s="258"/>
      <c r="F3" s="258"/>
      <c r="G3" s="258"/>
      <c r="H3" s="258"/>
      <c r="I3" s="258"/>
    </row>
    <row r="4" spans="2:9" ht="15" customHeight="1">
      <c r="B4" s="256" t="s">
        <v>102</v>
      </c>
      <c r="C4" s="255"/>
      <c r="D4" s="255"/>
      <c r="E4" s="255"/>
      <c r="F4" s="255"/>
      <c r="G4" s="255"/>
      <c r="H4" s="255"/>
      <c r="I4" s="255"/>
    </row>
    <row r="5" spans="2:9" ht="15" customHeight="1">
      <c r="B5" s="3"/>
      <c r="C5" s="3"/>
      <c r="D5" s="3"/>
      <c r="E5" s="3"/>
      <c r="F5" s="3"/>
      <c r="G5" s="3"/>
      <c r="H5" s="3"/>
      <c r="I5" s="3"/>
    </row>
    <row r="6" spans="2:9" ht="15" customHeight="1">
      <c r="B6" s="2" t="s">
        <v>16</v>
      </c>
      <c r="C6" s="2" t="s">
        <v>17</v>
      </c>
      <c r="D6" s="2" t="s">
        <v>18</v>
      </c>
      <c r="E6" s="3"/>
      <c r="F6" s="3"/>
      <c r="G6" s="3"/>
      <c r="H6" s="3"/>
      <c r="I6" s="3"/>
    </row>
    <row r="7" spans="2:9" ht="15" customHeight="1">
      <c r="B7" s="5" t="s">
        <v>103</v>
      </c>
      <c r="C7" s="9"/>
      <c r="D7" s="3" t="s">
        <v>104</v>
      </c>
      <c r="E7" s="3"/>
      <c r="F7" s="3"/>
      <c r="G7" s="3"/>
      <c r="H7" s="3"/>
      <c r="I7" s="3"/>
    </row>
    <row r="8" spans="2:9" ht="15" customHeight="1">
      <c r="B8" s="5" t="s">
        <v>105</v>
      </c>
      <c r="C8" s="9"/>
      <c r="D8" s="3" t="s">
        <v>106</v>
      </c>
      <c r="E8" s="3"/>
      <c r="F8" s="3"/>
      <c r="G8" s="3"/>
      <c r="H8" s="3"/>
      <c r="I8" s="3"/>
    </row>
    <row r="9" spans="2:9" ht="20.85" customHeight="1">
      <c r="B9" s="5" t="s">
        <v>107</v>
      </c>
      <c r="C9" s="23">
        <f>IFERROR(ROUND(PARAMETRO!C4*15,2),0)</f>
        <v>1759.65</v>
      </c>
      <c r="D9" s="3" t="s">
        <v>108</v>
      </c>
      <c r="E9" s="3"/>
      <c r="F9" s="3"/>
      <c r="G9" s="3"/>
      <c r="H9" s="3"/>
      <c r="I9" s="3"/>
    </row>
    <row r="10" spans="2:9" ht="28.35" customHeight="1">
      <c r="B10" s="5" t="s">
        <v>109</v>
      </c>
      <c r="C10" s="11" t="s">
        <v>110</v>
      </c>
      <c r="D10" s="3" t="s">
        <v>111</v>
      </c>
      <c r="E10" s="3"/>
      <c r="F10" s="3"/>
      <c r="G10" s="3"/>
      <c r="H10" s="3"/>
      <c r="I10" s="3"/>
    </row>
    <row r="11" spans="2:9" ht="15" customHeight="1">
      <c r="B11" s="3"/>
      <c r="C11" s="3"/>
      <c r="D11" s="3"/>
      <c r="E11" s="3"/>
      <c r="F11" s="3"/>
      <c r="G11" s="3"/>
      <c r="H11" s="3"/>
      <c r="I11" s="3"/>
    </row>
    <row r="12" spans="2:9" ht="15" customHeight="1">
      <c r="B12" s="5" t="s">
        <v>112</v>
      </c>
      <c r="C12" s="12">
        <f>MAX(0,C8-C9)</f>
        <v>0</v>
      </c>
      <c r="D12" s="3" t="s">
        <v>113</v>
      </c>
      <c r="E12" s="3"/>
      <c r="F12" s="3"/>
      <c r="G12" s="3"/>
      <c r="H12" s="3"/>
      <c r="I12" s="3"/>
    </row>
    <row r="13" spans="2:9" ht="15" customHeight="1">
      <c r="B13" s="5" t="s">
        <v>114</v>
      </c>
      <c r="C13" s="12">
        <f>IF(C12&lt;=0,0,((C12-INDEX(TARIFAS!$B$83:$B$93,MATCH(C12,TARIFAS!$B$83:$B$93,1)))*INDEX(TARIFAS!$E$83:$E$93,MATCH(C12,TARIFAS!$B$83:$B$93,1))+INDEX(TARIFAS!$D$83:$D$93,MATCH(C12,TARIFAS!$B$83:$B$93,1))))</f>
        <v>0</v>
      </c>
      <c r="D13" s="3" t="s">
        <v>115</v>
      </c>
      <c r="E13" s="3"/>
      <c r="F13" s="3"/>
      <c r="G13" s="3"/>
      <c r="H13" s="3"/>
      <c r="I13" s="3"/>
    </row>
    <row r="14" spans="2:9" ht="15" customHeight="1">
      <c r="B14" s="5" t="s">
        <v>116</v>
      </c>
      <c r="C14" s="22">
        <f>IFERROR(C7/C8,0)</f>
        <v>0</v>
      </c>
      <c r="D14" s="3" t="s">
        <v>52</v>
      </c>
      <c r="E14" s="3"/>
      <c r="F14" s="3"/>
      <c r="G14" s="3"/>
      <c r="H14" s="3"/>
      <c r="I14" s="3"/>
    </row>
    <row r="15" spans="2:9" ht="15" customHeight="1">
      <c r="B15" s="5" t="s">
        <v>117</v>
      </c>
      <c r="C15" s="12">
        <f>C13*C14</f>
        <v>0</v>
      </c>
      <c r="D15" s="3" t="s">
        <v>118</v>
      </c>
      <c r="E15" s="3"/>
      <c r="F15" s="3"/>
      <c r="G15" s="3"/>
      <c r="H15" s="3"/>
      <c r="I15" s="3"/>
    </row>
  </sheetData>
  <mergeCells count="2">
    <mergeCell ref="B4:I4"/>
    <mergeCell ref="B3:I3"/>
  </mergeCells>
  <dataValidations count="1">
    <dataValidation type="custom" allowBlank="1" showInputMessage="1" showErrorMessage="1" errorTitle="Restricción de acceso" error="Debe de capturar la contraseña en la hoja de portada" sqref="C7:C8" xr:uid="{0A95B3B2-F500-4638-94BE-7F495F569EDB}">
      <formula1>ACCESO=TRUE</formula1>
    </dataValidation>
  </dataValidations>
  <pageMargins left="0.25" right="0.25" top="0.5" bottom="0.5" header="0.511811023622047" footer="0.511811023622047"/>
  <pageSetup orientation="landscape"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8</vt:i4>
      </vt:variant>
    </vt:vector>
  </HeadingPairs>
  <TitlesOfParts>
    <vt:vector size="28" baseType="lpstr">
      <vt:lpstr>PORTADA</vt:lpstr>
      <vt:lpstr>MENU</vt:lpstr>
      <vt:lpstr>PARAMETRO</vt:lpstr>
      <vt:lpstr>ART_163</vt:lpstr>
      <vt:lpstr>ART_174</vt:lpstr>
      <vt:lpstr>ART_175</vt:lpstr>
      <vt:lpstr>ART_176</vt:lpstr>
      <vt:lpstr>ART_177</vt:lpstr>
      <vt:lpstr>ART_173</vt:lpstr>
      <vt:lpstr>ART_96 LISR</vt:lpstr>
      <vt:lpstr>ASIMILADOS</vt:lpstr>
      <vt:lpstr>SBC</vt:lpstr>
      <vt:lpstr>DSDI</vt:lpstr>
      <vt:lpstr>FCFDI</vt:lpstr>
      <vt:lpstr>PERCEP</vt:lpstr>
      <vt:lpstr>DEDUC</vt:lpstr>
      <vt:lpstr>PRELA</vt:lpstr>
      <vt:lpstr>REFORMA</vt:lpstr>
      <vt:lpstr>TARIFAS</vt:lpstr>
      <vt:lpstr>GENERAL</vt:lpstr>
      <vt:lpstr>ACCESO</vt:lpstr>
      <vt:lpstr>CLAENT</vt:lpstr>
      <vt:lpstr>CLAVE</vt:lpstr>
      <vt:lpstr>DIAST</vt:lpstr>
      <vt:lpstr>MESES</vt:lpstr>
      <vt:lpstr>TARIFAC</vt:lpstr>
      <vt:lpstr>TARIFAM</vt:lpstr>
      <vt:lpstr>TVACA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C MM</cp:lastModifiedBy>
  <cp:revision>0</cp:revision>
  <dcterms:created xsi:type="dcterms:W3CDTF">2026-05-25T15:59:54Z</dcterms:created>
  <dcterms:modified xsi:type="dcterms:W3CDTF">2026-05-27T22:30:27Z</dcterms:modified>
  <dc:language>en-US</dc:language>
</cp:coreProperties>
</file>