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202300"/>
  <mc:AlternateContent xmlns:mc="http://schemas.openxmlformats.org/markup-compatibility/2006">
    <mc:Choice Requires="x15">
      <x15ac:absPath xmlns:x15ac="http://schemas.microsoft.com/office/spreadsheetml/2010/11/ac" url="C:\AMS\KINGSTON NEGRA\CURSOS\COFIDE\2026\19-03-2026 PREVISION SOCIAL\"/>
    </mc:Choice>
  </mc:AlternateContent>
  <xr:revisionPtr revIDLastSave="0" documentId="13_ncr:1_{D7F368C9-42CF-453D-8DEB-7E81F9192261}" xr6:coauthVersionLast="47" xr6:coauthVersionMax="47" xr10:uidLastSave="{00000000-0000-0000-0000-000000000000}"/>
  <workbookProtection workbookAlgorithmName="SHA-512" workbookHashValue="7gnoi7762fRKnYavlfZaC45ZDPg1lLAAtplQyfpBp14vW6FobPB8k2Gf7k2NZvmZn+427c/q/gKnKuq+MVnitw==" workbookSaltValue="jmrS4wyWwTu7TUSSLGuz6w==" workbookSpinCount="100000" lockStructure="1"/>
  <bookViews>
    <workbookView xWindow="-120" yWindow="-120" windowWidth="29040" windowHeight="15720" tabRatio="804" xr2:uid="{9FF73FF3-1345-4374-A8B6-C9234995C3D8}"/>
  </bookViews>
  <sheets>
    <sheet name="PORTADA" sheetId="1" r:id="rId1"/>
    <sheet name="MENU" sheetId="16" r:id="rId2"/>
    <sheet name="APEND6" sheetId="17" r:id="rId3"/>
    <sheet name="REQUISITOS" sheetId="26" r:id="rId4"/>
    <sheet name="FUNDAMENTO" sheetId="27" r:id="rId5"/>
    <sheet name="DEDUCCION" sheetId="25" r:id="rId6"/>
    <sheet name="PERCEPCION" sheetId="2" r:id="rId7"/>
    <sheet name="PREVISION" sheetId="22" r:id="rId8"/>
    <sheet name="TIMBRADO" sheetId="29" r:id="rId9"/>
    <sheet name="SBC" sheetId="7" r:id="rId10"/>
    <sheet name="GENERAL" sheetId="3" r:id="rId11"/>
  </sheets>
  <definedNames>
    <definedName name="CONTRA">PORTADA!$I$2</definedName>
    <definedName name="TABLAV">GENERAL!$B$8:$D$18</definedName>
    <definedName name="TARIFAC">GENERAL!$L$6:$O$16</definedName>
    <definedName name="TARIFAM">GENERAL!$G$6:$J$16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9" l="1"/>
  <c r="I24" i="29" s="1"/>
  <c r="E21" i="29"/>
  <c r="I23" i="29" s="1"/>
  <c r="D20" i="29"/>
  <c r="E11" i="29"/>
  <c r="I13" i="29" s="1"/>
  <c r="D10" i="29"/>
  <c r="C30" i="25"/>
  <c r="C29" i="25"/>
  <c r="C31" i="25" s="1"/>
  <c r="C15" i="25"/>
  <c r="C11" i="25"/>
  <c r="D61" i="22"/>
  <c r="D48" i="22"/>
  <c r="D45" i="22"/>
  <c r="D52" i="22" s="1"/>
  <c r="D44" i="22"/>
  <c r="D50" i="22" s="1"/>
  <c r="E39" i="22"/>
  <c r="D47" i="22" s="1"/>
  <c r="D49" i="22" s="1"/>
  <c r="F9" i="22"/>
  <c r="F6" i="22"/>
  <c r="F39" i="22" s="1"/>
  <c r="I12" i="29" l="1"/>
  <c r="I22" i="29"/>
  <c r="J12" i="29"/>
  <c r="I16" i="29"/>
  <c r="I29" i="29"/>
  <c r="D56" i="22"/>
  <c r="D55" i="22"/>
  <c r="D57" i="22" s="1"/>
  <c r="D63" i="22" s="1"/>
  <c r="D62" i="22" s="1"/>
  <c r="D71" i="22" l="1"/>
  <c r="H72" i="22" s="1"/>
  <c r="D64" i="22"/>
  <c r="D88" i="7" l="1"/>
  <c r="D86" i="7"/>
  <c r="D74" i="7"/>
  <c r="D75" i="7"/>
  <c r="D76" i="7"/>
  <c r="D77" i="7"/>
  <c r="D78" i="7"/>
  <c r="D79" i="7"/>
  <c r="D73" i="7"/>
  <c r="C70" i="7"/>
  <c r="C49" i="7"/>
  <c r="D53" i="7"/>
  <c r="D54" i="7"/>
  <c r="D55" i="7"/>
  <c r="D56" i="7"/>
  <c r="D57" i="7"/>
  <c r="D58" i="7"/>
  <c r="D52" i="7"/>
  <c r="D59" i="7" s="1"/>
  <c r="D61" i="7" s="1"/>
  <c r="D63" i="7" s="1"/>
  <c r="D80" i="7" l="1"/>
  <c r="H16" i="7"/>
  <c r="I13" i="7"/>
  <c r="D7" i="7"/>
  <c r="B30" i="7" s="1"/>
  <c r="H14" i="7"/>
  <c r="J14" i="7" s="1"/>
  <c r="D27" i="7" s="1"/>
  <c r="D12" i="7"/>
  <c r="D81" i="7" l="1"/>
  <c r="D82" i="7" s="1"/>
  <c r="D84" i="7" s="1"/>
  <c r="D284" i="2" l="1"/>
  <c r="D294" i="2" s="1"/>
  <c r="D279" i="2"/>
  <c r="D271" i="2"/>
  <c r="D267" i="2"/>
  <c r="D274" i="2" s="1"/>
  <c r="D247" i="2"/>
  <c r="D239" i="2"/>
  <c r="D211" i="2"/>
  <c r="D226" i="2" s="1"/>
  <c r="D210" i="2"/>
  <c r="D222" i="2" s="1"/>
  <c r="D209" i="2"/>
  <c r="D218" i="2" s="1"/>
  <c r="D196" i="2"/>
  <c r="E200" i="2"/>
  <c r="F200" i="2" s="1"/>
  <c r="E201" i="2"/>
  <c r="F201" i="2" s="1"/>
  <c r="E202" i="2"/>
  <c r="F202" i="2" s="1"/>
  <c r="E203" i="2"/>
  <c r="F203" i="2" s="1"/>
  <c r="E204" i="2"/>
  <c r="F204" i="2" s="1"/>
  <c r="E211" i="2" s="1"/>
  <c r="D227" i="2" s="1"/>
  <c r="E205" i="2"/>
  <c r="F205" i="2" s="1"/>
  <c r="E199" i="2"/>
  <c r="F199" i="2" s="1"/>
  <c r="E101" i="2"/>
  <c r="F89" i="2"/>
  <c r="E89" i="2"/>
  <c r="E42" i="2"/>
  <c r="D42" i="2" s="1"/>
  <c r="E70" i="2"/>
  <c r="D19" i="2"/>
  <c r="D13" i="2"/>
  <c r="D278" i="2" l="1"/>
  <c r="D280" i="2"/>
  <c r="D275" i="2"/>
  <c r="D293" i="2" s="1"/>
  <c r="E210" i="2"/>
  <c r="D223" i="2" s="1"/>
  <c r="D220" i="2"/>
  <c r="D221" i="2"/>
  <c r="D216" i="2"/>
  <c r="D224" i="2"/>
  <c r="D225" i="2"/>
  <c r="D217" i="2"/>
  <c r="F206" i="2"/>
  <c r="E209" i="2"/>
  <c r="D281" i="2" l="1"/>
  <c r="E212" i="2"/>
  <c r="F210" i="2"/>
  <c r="D219" i="2"/>
  <c r="F209" i="2"/>
  <c r="D282" i="2" l="1"/>
  <c r="D292" i="2"/>
  <c r="E215" i="2"/>
  <c r="D215" i="2" s="1"/>
  <c r="E289" i="2" l="1"/>
  <c r="D289" i="2" s="1"/>
  <c r="D283" i="2"/>
  <c r="D285" i="2" s="1"/>
  <c r="D296" i="2" s="1"/>
  <c r="E290" i="2" l="1"/>
  <c r="D295" i="2"/>
  <c r="D290" i="2" l="1"/>
  <c r="E291" i="2"/>
  <c r="D291" i="2" s="1"/>
  <c r="D76" i="3" l="1"/>
  <c r="D75" i="3"/>
  <c r="D74" i="3"/>
  <c r="D38" i="7" l="1"/>
  <c r="D36" i="7"/>
  <c r="C41" i="7"/>
  <c r="B13" i="7"/>
  <c r="B31" i="7"/>
  <c r="D29" i="7"/>
  <c r="D28" i="7"/>
  <c r="H15" i="7"/>
  <c r="D26" i="7"/>
  <c r="D19" i="7"/>
  <c r="B39" i="7" l="1"/>
  <c r="B33" i="7"/>
  <c r="B35" i="7"/>
  <c r="B34" i="7"/>
  <c r="B36" i="7"/>
  <c r="B37" i="7"/>
  <c r="B38" i="7"/>
  <c r="B32" i="7"/>
  <c r="D38" i="2" l="1"/>
  <c r="C13" i="3"/>
  <c r="B14" i="3" s="1"/>
  <c r="B13" i="3"/>
  <c r="B12" i="3"/>
  <c r="B11" i="3"/>
  <c r="B10" i="3"/>
  <c r="D9" i="3"/>
  <c r="D10" i="3" s="1"/>
  <c r="D11" i="3" s="1"/>
  <c r="D12" i="3" s="1"/>
  <c r="D13" i="3" s="1"/>
  <c r="D14" i="3" s="1"/>
  <c r="D15" i="3" s="1"/>
  <c r="D16" i="3" s="1"/>
  <c r="D17" i="3" s="1"/>
  <c r="D18" i="3" s="1"/>
  <c r="B9" i="3"/>
  <c r="F36" i="2"/>
  <c r="G36" i="2"/>
  <c r="E36" i="2"/>
  <c r="D20" i="2"/>
  <c r="F13" i="2"/>
  <c r="D16" i="7" l="1"/>
  <c r="D24" i="7" s="1"/>
  <c r="D25" i="7" s="1"/>
  <c r="D21" i="2"/>
  <c r="D25" i="2" s="1"/>
  <c r="C14" i="3"/>
  <c r="E13" i="2"/>
  <c r="G13" i="2"/>
  <c r="D34" i="7" l="1"/>
  <c r="D32" i="7"/>
  <c r="B15" i="3"/>
  <c r="C15" i="3"/>
  <c r="D39" i="7" l="1"/>
  <c r="C16" i="3"/>
  <c r="B16" i="3"/>
  <c r="D252" i="2" s="1"/>
  <c r="E255" i="2" l="1"/>
  <c r="D255" i="2" s="1"/>
  <c r="C17" i="3"/>
  <c r="B17" i="3"/>
  <c r="C18" i="3" l="1"/>
  <c r="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F6" authorId="0" shapeId="0" xr:uid="{E84FD4DD-DFDE-4398-9B30-02CDB67B2869}">
      <text>
        <r>
          <rPr>
            <b/>
            <sz val="9"/>
            <color indexed="81"/>
            <rFont val="Tahoma"/>
            <family val="2"/>
          </rPr>
          <t xml:space="preserve">Apéndice 1 notas generales guía del SAT
Nota 11: En caso de que el trabajador reciba anticipo de salarios, el empleador deberá emitir un comprobante de nómina de tipo extraordinario en el cual se registre el importe del anticipo de sueldo con el clave tipo de percepción 038 "Otros ingresos por salarios". en el momento en el que se otorgan al trabajador, los descuentos que posteriormente se realicen vía nómina al trabajador, se registrarán utilizando la clave tipo deducción “012” (Anticipo de salarios), en los CFDI en los que se expidan cuando se registre el impuesto. </t>
        </r>
      </text>
    </comment>
    <comment ref="F8" authorId="0" shapeId="0" xr:uid="{375A8128-2FAF-4508-9102-B1932FD89AF9}">
      <text>
        <r>
          <rPr>
            <b/>
            <sz val="9"/>
            <color indexed="81"/>
            <rFont val="Tahoma"/>
            <family val="2"/>
          </rPr>
          <t>Artículo 82 LFT.- Salario es la retribución que debe pagar el patrón al trabajador por su trabajo.</t>
        </r>
      </text>
    </comment>
    <comment ref="F9" authorId="0" shapeId="0" xr:uid="{A26D0A3F-9BE5-4A50-815A-000492387E27}">
      <text>
        <r>
          <rPr>
            <b/>
            <sz val="9"/>
            <color indexed="81"/>
            <rFont val="Tahoma"/>
            <family val="2"/>
          </rPr>
          <t xml:space="preserve">Apéndice 1 notas generales, guía del SAT
Nota 3: En el caso de que se emita un comprobante fiscal de nómina que tenga errores consistentes en reflejar percepciones en exceso, se puede realizar su corrección de cualquiera de las siguientes formas: 
I. Cancelando el CFDI emitido con errores y expidiendo uno nuevo con los datos correctos. 
II. Reflejando como deducción el descuento de las percepciones en exceso, esto en el siguiente CFDI de nómina que se expida– siempre que sea en el mismo ejercicio fiscal-. </t>
        </r>
      </text>
    </comment>
    <comment ref="C209" authorId="0" shapeId="0" xr:uid="{1CF71F40-DB6F-41AF-BC50-4738F5DD0C81}">
      <text>
        <r>
          <rPr>
            <b/>
            <sz val="9"/>
            <color indexed="81"/>
            <rFont val="Tahoma"/>
            <family val="2"/>
          </rPr>
          <t>Artículo 65 LFT.-</t>
        </r>
        <r>
          <rPr>
            <sz val="9"/>
            <color indexed="81"/>
            <rFont val="Tahoma"/>
            <family val="2"/>
          </rPr>
          <t xml:space="preserve"> En los casos de siniestro o riesgo inminente en que peligre la vida del trabajador, de sus compañeros o del patrón, o la existencia misma de la empresa, la jornada de trabajo podrá prolongarse por el tiempo estrictamente indispensable para evitar esos males.</t>
        </r>
      </text>
    </comment>
    <comment ref="C210" authorId="0" shapeId="0" xr:uid="{34DD505E-8A93-44AC-8DF9-AC360C3EBCD6}">
      <text>
        <r>
          <rPr>
            <b/>
            <sz val="9"/>
            <color indexed="81"/>
            <rFont val="Tahoma"/>
            <family val="2"/>
          </rPr>
          <t>Artículo 66 LFT.-</t>
        </r>
        <r>
          <rPr>
            <sz val="9"/>
            <color indexed="81"/>
            <rFont val="Tahoma"/>
            <family val="2"/>
          </rPr>
          <t xml:space="preserve"> Podrá también prolongarse la jornada de trabajo por circunstancias extraordinarias, sin exceder nunca de tres horas diarias ni de tres veces en una semana.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32" authorId="0" shapeId="0" xr:uid="{679BBDAB-7F47-4DB5-9C8F-88C9377A6A3B}">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<sst xmlns="http://schemas.openxmlformats.org/spreadsheetml/2006/main" count="1554" uniqueCount="512">
  <si>
    <t>c_TipoPercepcion</t>
  </si>
  <si>
    <t>Descripción</t>
  </si>
  <si>
    <t>Sueldos, Salarios  Rayas y Jornales</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</si>
  <si>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</si>
  <si>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</si>
  <si>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</si>
  <si>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</si>
  <si>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</si>
  <si>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</si>
  <si>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</si>
  <si>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</si>
  <si>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</si>
  <si>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</si>
  <si>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</si>
  <si>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</si>
  <si>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</si>
  <si>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</si>
  <si>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vacacional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</si>
  <si>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</si>
  <si>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</si>
  <si>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</si>
  <si>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</si>
  <si>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</si>
  <si>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</si>
  <si>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</si>
  <si>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</si>
  <si>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</si>
  <si>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</si>
  <si>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</si>
  <si>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</si>
  <si>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</si>
  <si>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</si>
  <si>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</si>
  <si>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</si>
  <si>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</si>
  <si>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</si>
  <si>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</si>
  <si>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</si>
  <si>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 046</t>
  </si>
  <si>
    <t>Ingresos asimilados a salarios</t>
  </si>
  <si>
    <t> 047</t>
  </si>
  <si>
    <r>
      <t xml:space="preserve">Alimentación </t>
    </r>
    <r>
      <rPr>
        <sz val="11"/>
        <color indexed="8"/>
        <rFont val="Arial"/>
        <family val="2"/>
      </rPr>
      <t>diferentes a los establecidos en el Art 94 último párrafo LISR</t>
    </r>
  </si>
  <si>
    <t>Habitación</t>
  </si>
  <si>
    <t>Premios por asistencia</t>
  </si>
  <si>
    <t>Viáticos</t>
  </si>
  <si>
    <t>Pagos por gratificaciones, primas, compensaciones, recompensas u otros a extrabajadores derivados de jubilación en parcialidades</t>
  </si>
  <si>
    <t>Pagos que se realicen a extrabajadores que obtengan una jubilación en parcialidades derivados de la ejecución de resoluciones judicial o de un laudo</t>
  </si>
  <si>
    <t>Pagos que se realicen a extrabajadores que obtengan una jubilación en una sola exhibición derivados de la ejecución de resoluciones judicial o de un laudo</t>
  </si>
  <si>
    <t>Tipo de nómina</t>
  </si>
  <si>
    <t>Tipo de percepción</t>
  </si>
  <si>
    <t>O = Ordinaria</t>
  </si>
  <si>
    <t>LFT</t>
  </si>
  <si>
    <t>LSS</t>
  </si>
  <si>
    <t>LINFONAVIT</t>
  </si>
  <si>
    <t>Sí</t>
  </si>
  <si>
    <t>Se contrata a un trabajador con un salario mensual de:</t>
  </si>
  <si>
    <t>(/)</t>
  </si>
  <si>
    <t>(=) Salario diario</t>
  </si>
  <si>
    <t>Periodicidad de pago</t>
  </si>
  <si>
    <t>(-) Faltas</t>
  </si>
  <si>
    <t>(=) Días por pagar</t>
  </si>
  <si>
    <t>(-) Parte proporcional del séptimo día</t>
  </si>
  <si>
    <t>(=) Días trabajados</t>
  </si>
  <si>
    <t>Salario diario del trabajador</t>
  </si>
  <si>
    <t>Gravado</t>
  </si>
  <si>
    <t>Exento</t>
  </si>
  <si>
    <t>E =Extraordinaria</t>
  </si>
  <si>
    <t>Días de aguinaldo que otorga la empresa</t>
  </si>
  <si>
    <t>Valor de la UMA</t>
  </si>
  <si>
    <t>Valor de la UMA a la fecha de pago</t>
  </si>
  <si>
    <r>
      <t xml:space="preserve">Salario es la retribución que debe pagar el patrón al trabajador por su trabajo
</t>
    </r>
    <r>
      <rPr>
        <b/>
        <sz val="11"/>
        <color rgb="FFFFFFCC"/>
        <rFont val="Aptos Narrow"/>
        <family val="2"/>
        <scheme val="minor"/>
      </rPr>
      <t>Fundamento</t>
    </r>
    <r>
      <rPr>
        <sz val="11"/>
        <color rgb="FFFFFFCC"/>
        <rFont val="Aptos Narrow"/>
        <family val="2"/>
        <scheme val="minor"/>
      </rPr>
      <t>: Artículo 82 LFT</t>
    </r>
  </si>
  <si>
    <r>
      <t xml:space="preserve">Salario mínimo es la cantidad menor que debe recibir en efectivo la persona trabajadora por los servicios prestados en una jornada de trabajo.
</t>
    </r>
    <r>
      <rPr>
        <b/>
        <sz val="11"/>
        <color rgb="FFFFFFCC"/>
        <rFont val="Aptos Narrow"/>
        <family val="2"/>
        <scheme val="minor"/>
      </rPr>
      <t>Fundamento:</t>
    </r>
    <r>
      <rPr>
        <sz val="11"/>
        <color rgb="FFFFFFCC"/>
        <rFont val="Aptos Narrow"/>
        <family val="2"/>
        <scheme val="minor"/>
      </rPr>
      <t xml:space="preserve"> Artículo 90 primer párrafo LFT</t>
    </r>
  </si>
  <si>
    <r>
      <rPr>
        <b/>
        <sz val="11"/>
        <color rgb="FFFFFFCC"/>
        <rFont val="Aptos Narrow"/>
        <family val="2"/>
        <scheme val="minor"/>
      </rPr>
      <t>Artículo 27 primer párrafo LSS.</t>
    </r>
    <r>
      <rPr>
        <sz val="11"/>
        <color rgb="FFFFFFCC"/>
        <rFont val="Aptos Narrow"/>
        <family val="2"/>
        <scheme val="minor"/>
      </rPr>
      <t xml:space="preserve"> 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</si>
  <si>
    <r>
      <rPr>
        <b/>
        <sz val="11"/>
        <color rgb="FFFFFFCC"/>
        <rFont val="Aptos Narrow"/>
        <family val="2"/>
        <scheme val="minor"/>
      </rPr>
      <t>ARTÍCULO 32 primer párrafo</t>
    </r>
    <r>
      <rPr>
        <sz val="11"/>
        <color rgb="FFFFFFCC"/>
        <rFont val="Aptos Narrow"/>
        <family val="2"/>
        <scheme val="minor"/>
      </rPr>
      <t>. Para los efectos del pago de las aportaciones, determinación y entero de los descuentos que establece la Ley, el salario base de aportación se integra con los pagos en efectivo por cuota diaria, gratificaciones, percepciones, alimentación, habitación, primas, comisiones, prestaciones en especie y cualquier otra cantidad o prestación que se entregue al trabajador por su trabajo.</t>
    </r>
  </si>
  <si>
    <r>
      <t xml:space="preserve">Artículo 69 LFT.- </t>
    </r>
    <r>
      <rPr>
        <sz val="11"/>
        <color rgb="FFFFFFCC"/>
        <rFont val="Aptos Narrow"/>
        <family val="2"/>
        <scheme val="minor"/>
      </rPr>
      <t>Por cada seis días de trabajo disfrutará el trabajador de un día de descanso, por lo menos, con goce de salario íntegro.</t>
    </r>
  </si>
  <si>
    <r>
      <t xml:space="preserve">Artículo 72 LFT.- </t>
    </r>
    <r>
      <rPr>
        <sz val="11"/>
        <color rgb="FFFFFFCC"/>
        <rFont val="Aptos Narrow"/>
        <family val="2"/>
        <scheme val="minor"/>
      </rPr>
      <t>Cuando el trabajador no preste sus servicios durante todos los días de trabajo de la semana, o cuando en el mismo día o en la misma semana preste sus servicios a varios patrones, tendrá derecho a que se le pague la parte proporcional del salario de los días de descanso, calculada sobre el salario de los días en que hubiese trabajado o sobre el que hubiese percibido de cada patrón.</t>
    </r>
  </si>
  <si>
    <r>
      <t>Artículo 87 LFT.-</t>
    </r>
    <r>
      <rPr>
        <sz val="11"/>
        <color rgb="FFFFFFCC"/>
        <rFont val="Aptos Narrow"/>
        <family val="2"/>
        <scheme val="minor"/>
      </rPr>
      <t xml:space="preserve"> Los trabajadores tendrán derecho a un aguinaldo anual que deberá pagarse antes del día veinte de diciembre, equivalente a quince días de salario, por lo menos.
Los que no hayan cumplido el año de servicios, independientemente de que se encuentren laborando o no en la fecha de liquidación del aguinaldo, tendrán derecho a que se les pague la parte proporcional del mismo, conforme al tiempo que hubieren trabajado, cualquiera que fuere éste.</t>
    </r>
  </si>
  <si>
    <t>Tabla de vacaciones para trabajadores de no buques (art. 76 LFT)</t>
  </si>
  <si>
    <t>Años</t>
  </si>
  <si>
    <t>Mínimo</t>
  </si>
  <si>
    <t>Máximo</t>
  </si>
  <si>
    <t>Días</t>
  </si>
  <si>
    <t>Salario mínimo</t>
  </si>
  <si>
    <t>Zona Libre de la Frontera Norte</t>
  </si>
  <si>
    <t>Zona del Salario Mínimo General</t>
  </si>
  <si>
    <t>Enero</t>
  </si>
  <si>
    <t>Febrero en adelante</t>
  </si>
  <si>
    <t>Valor de la UMA mensual enero</t>
  </si>
  <si>
    <t>Valor de la UMA mensual posterior</t>
  </si>
  <si>
    <t>Total base ISR para subsidio</t>
  </si>
  <si>
    <t>% del subsidio al empleo</t>
  </si>
  <si>
    <t>% Subsidio al empleo Enero</t>
  </si>
  <si>
    <t>Zona del salario mínimo</t>
  </si>
  <si>
    <t>Con excepción</t>
  </si>
  <si>
    <t>No</t>
  </si>
  <si>
    <r>
      <rPr>
        <b/>
        <sz val="11"/>
        <color theme="1"/>
        <rFont val="Aptos Narrow"/>
        <family val="2"/>
        <scheme val="minor"/>
      </rPr>
      <t>Artículo 117 LFT</t>
    </r>
    <r>
      <rPr>
        <sz val="11"/>
        <color theme="1"/>
        <rFont val="Aptos Narrow"/>
        <family val="2"/>
        <scheme val="minor"/>
      </rPr>
      <t>.- Los trabajadores participarán en las utilidades de las empresas, de conformidad con el porcentaje que determine la Comisión Nacional para la Participación de los Trabajadores en las Utilidades de las Empresas.</t>
    </r>
  </si>
  <si>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r>
  </si>
  <si>
    <t>Anticipo de salarios</t>
  </si>
  <si>
    <t>Pagos hechos con exceso al trabajador</t>
  </si>
  <si>
    <t>Ausencia (Ausentismo)</t>
  </si>
  <si>
    <t>Ajuste a ingresos por sueldos y salarios gravados</t>
  </si>
  <si>
    <t>Ajuste en Gratificación Anual (Aguinaldo) Exento</t>
  </si>
  <si>
    <t>Ajuste en Gratificación Anual (Aguinaldo) Gravado</t>
  </si>
  <si>
    <t>Ajuste en Participación de los Trabajadores en las Utilidades PTU Exento</t>
  </si>
  <si>
    <t>Ajuste en Participación de los Trabajadores en las Utilidades PTU Gravado</t>
  </si>
  <si>
    <t>Ajuste en Reembolso de Gastos Médicos Dentales y Hospitalarios Exento</t>
  </si>
  <si>
    <t>Ajuste en Fondo de ahorro Exento</t>
  </si>
  <si>
    <t>Ajuste en Fondo de ahorro Gravado</t>
  </si>
  <si>
    <t>Ajuste en Caja de ahorro Exento</t>
  </si>
  <si>
    <t>Ajuste en Caja de ahorro Gravado</t>
  </si>
  <si>
    <t>Ajuste en Prima de Seguro de vida Exento</t>
  </si>
  <si>
    <t>Ajuste en Prima de Seguro de vida Gravado</t>
  </si>
  <si>
    <t>Ajuste en Seguro de Gastos Médicos Mayores Exento</t>
  </si>
  <si>
    <t>Ajuste en Seguro de Gastos Médicos Mayores Gravado</t>
  </si>
  <si>
    <t>Ajuste en Subsidios por incapacidad Exento</t>
  </si>
  <si>
    <t>Ajuste en Subsidios por incapacidad Gravado</t>
  </si>
  <si>
    <t>Ajuste en Becas para trabajadores y/o hijos Exento</t>
  </si>
  <si>
    <t>Ajuste en Becas para trabajadores y/o hijos Gravado</t>
  </si>
  <si>
    <t>Ajuste en Prima vacacional Exento</t>
  </si>
  <si>
    <t>Ajuste en Prima vacacional Gravado</t>
  </si>
  <si>
    <t>Ajuste en Reembolso por funeral Exento</t>
  </si>
  <si>
    <t>Ajuste en Vales de despensa Exento</t>
  </si>
  <si>
    <t>Ajuste en Vales de despensa Gravado</t>
  </si>
  <si>
    <t>Ajuste en Vales de restaurante Exento</t>
  </si>
  <si>
    <t>Ajuste en Vales de restaurante Gravado</t>
  </si>
  <si>
    <t>Ajuste en Vales de gasolina Exento</t>
  </si>
  <si>
    <t>Ajuste en Vales de gasolina Gravado</t>
  </si>
  <si>
    <t>Ajuste en Vales de ropa Exento</t>
  </si>
  <si>
    <t>Ajuste en Vales de ropa Gravado</t>
  </si>
  <si>
    <t>Ajuste en Ayuda para renta Exento</t>
  </si>
  <si>
    <t>Ajuste en Ayuda para renta Gravado</t>
  </si>
  <si>
    <t>Ajuste en Ayuda para artículos escolares Exento</t>
  </si>
  <si>
    <t>Ajuste en Ayuda para artículos escolares Gravado</t>
  </si>
  <si>
    <t>Ajuste en Ayuda para transporte Exento</t>
  </si>
  <si>
    <t>Ajuste en Ayuda para transporte Gravado</t>
  </si>
  <si>
    <t>Ajuste en Ayuda para gastos de funeral Exento</t>
  </si>
  <si>
    <t>Ajuste en Ayuda para gastos de funeral Gravado</t>
  </si>
  <si>
    <t>Ajuste en Otros ingresos por salarios Exento</t>
  </si>
  <si>
    <t>Ajuste en Otros ingresos por salarios Gravado</t>
  </si>
  <si>
    <t>Ajuste en Alimentación Exento</t>
  </si>
  <si>
    <t>Ajuste en Alimentación Gravado</t>
  </si>
  <si>
    <t>Ajuste en Habitación Exento</t>
  </si>
  <si>
    <t>Ajuste en Habitación Gravado</t>
  </si>
  <si>
    <t>No aplica</t>
  </si>
  <si>
    <t>Salario diario</t>
  </si>
  <si>
    <t>Fecha de ingreso</t>
  </si>
  <si>
    <t>Fecha de cálculo</t>
  </si>
  <si>
    <r>
      <rPr>
        <b/>
        <sz val="11"/>
        <color theme="1"/>
        <rFont val="Aptos Narrow"/>
        <family val="2"/>
        <scheme val="minor"/>
      </rPr>
      <t xml:space="preserve">Artículo 96 primer párrafo LISR. </t>
    </r>
    <r>
      <rPr>
        <sz val="11"/>
        <color theme="1"/>
        <rFont val="Aptos Narrow"/>
        <family val="2"/>
        <scheme val="minor"/>
      </rPr>
      <t xml:space="preserve">Quienes hagan pagos por los conceptos a que se refiere este Capítulo están obligados a efectuar retenciones y enteros mensuales que tendrán el carácter de pagos provisionales a cuenta del impuesto anual. No se efectuará retención a las personas que en el mes únicamente perciban un salario mínimo general correspondiente al área geográfica del contribuyente.
</t>
    </r>
    <r>
      <rPr>
        <b/>
        <sz val="11"/>
        <color theme="1"/>
        <rFont val="Aptos Narrow"/>
        <family val="2"/>
        <scheme val="minor"/>
      </rPr>
      <t>Artículo 38 LSS</t>
    </r>
    <r>
      <rPr>
        <sz val="11"/>
        <color theme="1"/>
        <rFont val="Aptos Narrow"/>
        <family val="2"/>
        <scheme val="minor"/>
      </rPr>
      <t>. El patrón al efectuar el pago de salarios a sus trabajadores, deberá retener las cuotas que a éstos les corresponde cubrir.
Cuando no lo haga en tiempo oportuno, sólo podrá descontar al trabajador cuatro cotizaciones semanales acumuladas, quedando las restantes a su cargo.
El patrón tendrá el carácter de retenedor de las cuotas que descuente a sus trabajadores y deberá determinar y enterar al Instituto las cuotas obrero patronales, en los términos establecidos por esta Ley y sus reglamentos.</t>
    </r>
  </si>
  <si>
    <t>Tipo de horas</t>
  </si>
  <si>
    <t>c_TipoHoras</t>
  </si>
  <si>
    <t>Dobles</t>
  </si>
  <si>
    <t>Triples</t>
  </si>
  <si>
    <t>Simples</t>
  </si>
  <si>
    <t>Importe pagado</t>
  </si>
  <si>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XII. La cuota de seguridad social de los trabajadores pagada por los patrones.</t>
    </r>
  </si>
  <si>
    <t>90 UMA's por año de servicio
Art. 93 fracción XIII LISR</t>
  </si>
  <si>
    <t>N/A</t>
  </si>
  <si>
    <t>90 UMA's por año de servicio
Art. 93, fracción Xlll</t>
  </si>
  <si>
    <t>Ajuste en Contribuciones a Cargo del Trabajador Pagadas por el Patrón Exento</t>
  </si>
  <si>
    <t>Ajuste en Premios por puntualidad Gravado</t>
  </si>
  <si>
    <t>Ajuste en Premios por asistencia</t>
  </si>
  <si>
    <t>Ajuste en Comisiones Gravado</t>
  </si>
  <si>
    <t>Ajuste en Horas extra Exento</t>
  </si>
  <si>
    <t>Ajuste en Horas extra Gravado</t>
  </si>
  <si>
    <t>Ajuste en Prima dominical Exento</t>
  </si>
  <si>
    <t>Ajuste en Prima dominical Gravado</t>
  </si>
  <si>
    <t>Ajuste en Cuotas de seguridad social pagadas por el patrón Exento</t>
  </si>
  <si>
    <t>Ajuste en Viáticos gravados</t>
  </si>
  <si>
    <t>Ajuste en Viáticos exentos</t>
  </si>
  <si>
    <t>Día</t>
  </si>
  <si>
    <t>Último sueldo mensual ordinario</t>
  </si>
  <si>
    <t>Días de vacaciones que le corresponden</t>
  </si>
  <si>
    <t>Prima de antigüedad</t>
  </si>
  <si>
    <t>(-) Ingreso exento</t>
  </si>
  <si>
    <t>(=) Ingreso acumulable</t>
  </si>
  <si>
    <t>Plantilla para Determinar el Salario Base de Cotización (SBC) - México</t>
  </si>
  <si>
    <t>Salario diario pactado (SD)</t>
  </si>
  <si>
    <t>Aguinaldo (días por año)</t>
  </si>
  <si>
    <t>Vacaciones (días por año)</t>
  </si>
  <si>
    <t>Prima vacacional (%)</t>
  </si>
  <si>
    <t>UMA diaria (ingrese la vigente)</t>
  </si>
  <si>
    <t>Factor de integración (FI) por prestaciones mínimas:</t>
  </si>
  <si>
    <t>Salario fijo integrado diario (SDI fijo) = SD × FI</t>
  </si>
  <si>
    <t>Tope diario IMSS = 25 × UMA diaria</t>
  </si>
  <si>
    <t>Otras prestaciones fijas prviamente conocidas</t>
  </si>
  <si>
    <t>% Fondo de ahorro</t>
  </si>
  <si>
    <t>Patrón</t>
  </si>
  <si>
    <t>Trabajador</t>
  </si>
  <si>
    <t>Alimentación que se otorga</t>
  </si>
  <si>
    <t>Despensa otrogada $</t>
  </si>
  <si>
    <t>Fondo de ahorro</t>
  </si>
  <si>
    <t>Alimentación</t>
  </si>
  <si>
    <t>Despensa</t>
  </si>
  <si>
    <t>SBC</t>
  </si>
  <si>
    <t>¿Previsión social?</t>
  </si>
  <si>
    <t>Febrero</t>
  </si>
  <si>
    <t>Marzo</t>
  </si>
  <si>
    <t>Abril</t>
  </si>
  <si>
    <t>Mayo</t>
  </si>
  <si>
    <t>Junio</t>
  </si>
  <si>
    <t>Julio</t>
  </si>
  <si>
    <t>Agosto</t>
  </si>
  <si>
    <t>Septiembre</t>
  </si>
  <si>
    <t>Octubre</t>
  </si>
  <si>
    <t>Noviembre</t>
  </si>
  <si>
    <t>Diciembre</t>
  </si>
  <si>
    <t>Tipo</t>
  </si>
  <si>
    <t>Seguridad social</t>
  </si>
  <si>
    <t>ISR</t>
  </si>
  <si>
    <t>Descuento por incapacidad</t>
  </si>
  <si>
    <t>Ajuste en Ayuda para anteojos Exento</t>
  </si>
  <si>
    <t>Ajuste en Ayuda para anteojos Gravado</t>
  </si>
  <si>
    <t>Deducción</t>
  </si>
  <si>
    <t>Importe</t>
  </si>
  <si>
    <t>082</t>
  </si>
  <si>
    <t>Concepto</t>
  </si>
  <si>
    <t>Totales</t>
  </si>
  <si>
    <t>Total</t>
  </si>
  <si>
    <t>7 UMAS elevadas al año</t>
  </si>
  <si>
    <t>①</t>
  </si>
  <si>
    <t>②</t>
  </si>
  <si>
    <t>③</t>
  </si>
  <si>
    <t>Tipo de régimen</t>
  </si>
  <si>
    <t>Salario diario integrado</t>
  </si>
  <si>
    <t>2) Cálculos</t>
  </si>
  <si>
    <t>Nombre de la hoja</t>
  </si>
  <si>
    <t>PERCEPCION</t>
  </si>
  <si>
    <t>Previsión social</t>
  </si>
  <si>
    <t>PREVISION</t>
  </si>
  <si>
    <t>DEDUCCION</t>
  </si>
  <si>
    <t>Determinación del salario base de cotización</t>
  </si>
  <si>
    <t>Datos generales</t>
  </si>
  <si>
    <t>GENERAL</t>
  </si>
  <si>
    <t>ACFMSC.COM</t>
  </si>
  <si>
    <t>Deducciones</t>
  </si>
  <si>
    <t xml:space="preserve">Tipo </t>
  </si>
  <si>
    <t>Disminuye la percepción de Gravado</t>
  </si>
  <si>
    <r>
      <rPr>
        <b/>
        <sz val="11"/>
        <color rgb="FFFFFFCC"/>
        <rFont val="Aptos Narrow"/>
        <family val="2"/>
        <scheme val="minor"/>
      </rPr>
      <t>ARTÍCULO 32 primer párrafo RAINFONAVIT</t>
    </r>
    <r>
      <rPr>
        <sz val="11"/>
        <color rgb="FFFFFFCC"/>
        <rFont val="Aptos Narrow"/>
        <family val="2"/>
        <scheme val="minor"/>
      </rPr>
      <t>. Para los efectos del pago de las aportaciones, determinación y entero de los descuentos que establece la Ley, el salario base de aportación se integra con los pagos en efectivo por cuota diaria, gratificaciones, percepciones, alimentación, habitación, primas, comisiones, prestaciones en especie y cualquier otra cantidad o prestación que se entregue al trabajador por su trabajo.</t>
    </r>
  </si>
  <si>
    <t>7° día o parte proporcional</t>
  </si>
  <si>
    <r>
      <rPr>
        <b/>
        <sz val="11"/>
        <color theme="1"/>
        <rFont val="Aptos Narrow"/>
        <family val="2"/>
        <scheme val="minor"/>
      </rPr>
      <t>Artículo 93 LISR.</t>
    </r>
    <r>
      <rPr>
        <sz val="11"/>
        <color theme="1"/>
        <rFont val="Aptos Narrow"/>
        <family val="2"/>
        <scheme val="minor"/>
      </rPr>
      <t xml:space="preserve"> No se pagará el impuesto sobre la renta por la obtención de los siguientes ingresos:
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
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r>
  </si>
  <si>
    <t>Días de descanso laborados</t>
  </si>
  <si>
    <t>Ajuste a días de descanso laborados gravados</t>
  </si>
  <si>
    <t>Ajuste a días de descanso laborados exentos</t>
  </si>
  <si>
    <t>Para el TipoRegimen “002-Sueldos”</t>
  </si>
  <si>
    <t>Para el TipoRegimen “003- Jubilados”, “004-Pensionados” y “012- Jubilados o Pensionados”, específicamente para los casos de Jubilación en una sola exhibición</t>
  </si>
  <si>
    <t>Para el TipoRegimen “003- Jubilados”, “004-Pensionados” y “012- Jubilados o Pensionados”, específicamente para los casos de Jubilación en parcialidades</t>
  </si>
  <si>
    <t>Para el TipoRegimen “05-Asimilados Miembros Sociedades Cooperativas Produccion”, “06-Asimilados Integrantes Sociedades Asociaciones Civiles”, “07-Asimilados Miembros consejos”, “08-Asimilados comisionistas”, “09- Asimilados Honorarios”, “10-Asimilados acciones” y “11-Asimilados otros”</t>
  </si>
  <si>
    <t>Para el TipoRegimen “13- Indemnización o Separación”</t>
  </si>
  <si>
    <t>Ir al MENÚ</t>
  </si>
  <si>
    <r>
      <rPr>
        <b/>
        <sz val="11"/>
        <color theme="1"/>
        <rFont val="Aptos Narrow"/>
        <family val="2"/>
        <scheme val="minor"/>
      </rPr>
      <t xml:space="preserve">Artículo 94 LISR. </t>
    </r>
    <r>
      <rPr>
        <sz val="11"/>
        <color theme="1"/>
        <rFont val="Aptos Narrow"/>
        <family val="2"/>
        <scheme val="minor"/>
      </rP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</si>
  <si>
    <r>
      <rPr>
        <b/>
        <sz val="11"/>
        <color theme="1"/>
        <rFont val="Aptos Narrow"/>
        <family val="2"/>
        <scheme val="minor"/>
      </rPr>
      <t>Decreto subsidio al empleo</t>
    </r>
    <r>
      <rPr>
        <b/>
        <sz val="11"/>
        <color rgb="FFC00000"/>
        <rFont val="Aptos Narrow"/>
        <family val="2"/>
        <scheme val="minor"/>
      </rPr>
      <t xml:space="preserve">
</t>
    </r>
    <r>
      <rPr>
        <b/>
        <sz val="11"/>
        <color theme="1"/>
        <rFont val="Aptos Narrow"/>
        <family val="2"/>
        <scheme val="minor"/>
      </rPr>
      <t xml:space="preserve">Artículo Primero. </t>
    </r>
    <r>
      <rPr>
        <sz val="11"/>
        <color theme="1"/>
        <rFont val="Aptos Narrow"/>
        <family val="2"/>
        <scheme val="minor"/>
      </rPr>
      <t>Los trabajadores a que se refiere el artículo 94, primer párrafo y fracción I, de la Ley del Impuesto sobre la Renta, podrán gozar del subsidio para el empleo establecido en el presente decreto en lugar del subsidio para el empleo a que se refiere el Artículo Décimo del "Decreto por el que se reforman, adicionan y derogan diversas disposiciones de la Ley del Impuesto al Valor Agregado; de la Ley del Impuesto Especial sobre Producción y Servicios; de la Ley Federal de Derechos, se expide la Ley del Impuesto sobre la Renta, y se abrogan la Ley del Impuesto Empresarial a Tasa Única, y la Ley del Impuesto a los Depósitos en Efectivo", publicado en el Diario Oficial de la Federación el 11 de diciembre de 2013.</t>
    </r>
  </si>
  <si>
    <r>
      <rPr>
        <b/>
        <sz val="11"/>
        <color theme="1"/>
        <rFont val="Aptos Narrow"/>
        <family val="2"/>
        <scheme val="minor"/>
      </rPr>
      <t>Artículo 84 LFT.-</t>
    </r>
    <r>
      <rPr>
        <b/>
        <sz val="11"/>
        <color rgb="FFC00000"/>
        <rFont val="Aptos Narrow"/>
        <family val="2"/>
        <scheme val="minor"/>
      </rPr>
      <t xml:space="preserve"> </t>
    </r>
    <r>
      <rPr>
        <sz val="11"/>
        <color theme="1"/>
        <rFont val="Aptos Narrow"/>
        <family val="2"/>
        <scheme val="minor"/>
      </rPr>
      <t>El salario se integra con los pagos hechos en efectivo por cuota diaria, gratificaciones, percepciones, habitación, primas, comisiones, prestaciones en especie y cualquiera otra cantidad o prestación que se entregue al trabajador por su trabajo.</t>
    </r>
  </si>
  <si>
    <t>PERCEPCIONES</t>
  </si>
  <si>
    <t>DEDUCCIONES</t>
  </si>
  <si>
    <t>Gravado/ Exento</t>
  </si>
  <si>
    <t>Límite de exentos</t>
  </si>
  <si>
    <t>Tipo Deducción</t>
  </si>
  <si>
    <t>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</si>
  <si>
    <t>Gravado y Exento</t>
  </si>
  <si>
    <t>30 UMA's
Art. 93 fr. XIV de la LISR</t>
  </si>
  <si>
    <t>15 UMA's
Art. 93 fr. XIV de la LISR</t>
  </si>
  <si>
    <t>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</si>
  <si>
    <t>5 UMA's por cada semana de servicios
Art. 93 fr. I de la LISR</t>
  </si>
  <si>
    <t>1 UMA por cada domingo laborado
hasta 52 UMA'S
Art. 93 fr. I de la LISR</t>
  </si>
  <si>
    <t>Ajuste en Seguro de retiro Exento</t>
  </si>
  <si>
    <t>OTROS PAGOS</t>
  </si>
  <si>
    <t>Subsidio para el empleo (efectivamente entregado al trabajador).</t>
  </si>
  <si>
    <t>Aplicación de saldo a favor por compensación anual.</t>
  </si>
  <si>
    <t>Reintegro de ISR retenido en exceso de ejercicio anterior (siempre que no haya sido enterado al SAT).</t>
  </si>
  <si>
    <t>Ajuste en Subsidio para el empleo (efectivamente entregado al trabajador)</t>
  </si>
  <si>
    <t>ISR ajustado por subsidio.</t>
  </si>
  <si>
    <t>Subsidio efectivamente entregado que no correspondía (Aplica sólo cuando haya ajuste al cierre de mes en relación con el Apéndice 7 de la guía de llenado de nómina).</t>
  </si>
  <si>
    <t>Ajuste en Seguro de retiro Gravado</t>
  </si>
  <si>
    <t>ISR Retenido de ejercicio anterior</t>
  </si>
  <si>
    <t xml:space="preserve">Ajuste al Subsidio Causado </t>
  </si>
  <si>
    <t>Artículo 171. Cuando el trabajador convenga con el empleador en que el pago de la jubilación, pensión o haber de retiro, se cubra mediante pago único, no se pagará el Impuesto por éste, cuando el monto de dicho pago no exceda de noventa veces el salario mínimo general del área geográfica del trabajador elevados al año, a que se refiere el artículo 93, fracción XIII de la Ley. Por el excedente se pagará el Impuesto en términos del artículo 95 de la Ley.</t>
  </si>
  <si>
    <t>90 UMA's elavadas al año
Art. 171 RLISR</t>
  </si>
  <si>
    <t xml:space="preserve">Ajuste en Jubilaciones, pensiones o haberes de retiro en una sola exhibición Exento </t>
  </si>
  <si>
    <t>Ajuste en Jubilaciones, pensiones o haberes de retiro en una sola exhibición Gravado</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</si>
  <si>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</si>
  <si>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</si>
  <si>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XIII.	Los que obtengan las personas que han estado sujetas a una relación laboral en el momento de su separación, por concepto de primas de antigüedad, retiro e indemnizaciones u otros pagos, así como los obtenidos con cargo a la subcuenta del seguro de retiro o a la subcuenta de retiro, cesantía en edad avanzada y vejez, previstas en la Ley del Seguro Social y los que obtengan los trabajadores al servicio del Estado con cargo a la cuenta individual del sistema de ahorro para el retiro, prevista en la Ley del Instituto de Seguridad y Servicios Sociales de los Trabajadores del Estado, y los que obtengan por concepto del beneficio previsto en la Ley de Pensión Universal, hasta por el equivalente a noventa veces el salario mínimo general del área geográfica del contribuyente por cada año de servicio o de contribución en el caso de la subcuenta del seguro de retiro, de la subcuenta de retiro, cesantía en edad avanzada y vejez o de la cuenta individual del sistema de ahorro para el retiro. Los años de servicio serán los que se hubieran considerado para el cálculo de los conceptos mencionados. Toda fracción de más de seis meses se considerará un año completo. Por el excedente se pagará el impuesto en los términos de este Título.</t>
  </si>
  <si>
    <t>Ajuste en Jubilaciones, pensiones o haberes de retiro en parcialidades Exento</t>
  </si>
  <si>
    <t>Ajuste en Jubilaciones, pensiones o haberes de retiro en parcialidades Gravado</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</si>
  <si>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</si>
  <si>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</si>
  <si>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</si>
  <si>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r>
      <rPr>
        <b/>
        <sz val="11"/>
        <color theme="1"/>
        <rFont val="Aptos Narrow"/>
        <family val="2"/>
        <scheme val="minor"/>
      </rPr>
      <t>Artículo 94 LISR</t>
    </r>
    <r>
      <rPr>
        <sz val="11"/>
        <color theme="1"/>
        <rFont val="Aptos Narrow"/>
        <family val="2"/>
        <scheme val="minor"/>
      </rPr>
      <t>. 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r>
  </si>
  <si>
    <t>II.</t>
  </si>
  <si>
    <t>Los rendimientos y anticipos, que obtengan los miembros de las sociedades cooperativas de producción, así como los anticipos que reciban los miembros de sociedades y asociaciones civiles.</t>
  </si>
  <si>
    <t>III.</t>
  </si>
  <si>
    <t>Los honorarios a miembros de consejos directivos, de vigilancia, consultivos o de cualquier otra índole, así como los honorarios a administradores, comisarios y gerentes generales.</t>
  </si>
  <si>
    <t>IV.</t>
  </si>
  <si>
    <t>Los honorarios a personas que presten servicios preponderantemente a un prestatario, siempre que los mismos se lleven a cabo en las instalaciones de este último.
Para los efectos del párrafo anterior, se entiende que una persona presta servicios preponderantemente a un prestatario, cuando los ingresos que hubiera percibido de dicho prestatario en el año de calendario inmediato anterior, representen más del 50% del total de los ingresos obtenidos por los conceptos a que se refiere la fracción II del artículo 100 de esta Ley.
Antes de que se efectúe el primer pago de honorarios en el año de calendario de que se trate, las personas a que se refiere esta fracción deberán comunicar por escrito al prestatario en cuyas instalaciones se realice la prestación del servicio, si los ingresos que obtuvieron de dicho prestatario en el año inmediato anterior excedieron del 50% del total de los percibidos en dicho año de calendario por los conceptos a que se refiere la fracción II del artículo 100 de esta Ley. En el caso de que se omita dicha comunicación, el prestatario estará obligado a efectuar las retenciones correspondientes.</t>
  </si>
  <si>
    <t>V.</t>
  </si>
  <si>
    <t>Los honorarios que perciban las personas físicas de personas morales o de personas físicas con actividades empresariales a las que presten servicios personales independientes, cuando comuniquen por escrito al prestatario que optan por pagar el impuesto en los términos de este Capítulo.</t>
  </si>
  <si>
    <t>VI.</t>
  </si>
  <si>
    <t>Los ingresos que perciban las personas físicas de personas morales o de personas físicas con actividades empresariales, por las actividades empresariales que realicen, cuando comuniquen por escrito a la persona que efectúe el pago que optan por pagar el impuesto en los términos de este Capítulo.</t>
  </si>
  <si>
    <t>VII.</t>
  </si>
  <si>
    <t>Los ingresos obtenidos por las personas físicas por ejercer la opción otorgada por el empleador, o una parte relacionada del mismo, para adquirir, incluso mediante suscripción, acciones o títulos valor que representen bienes, sin costo alguno o a un precio menor o igual al de mercado que tengan dichas acciones o títulos valor al momento del ejercicio de la opción, independientemente de que las acciones o títulos valor sean emitidos por el empleador o la parte relacionada del mismo.
El ingreso acumulable será la diferencia que exista entre el valor de mercado que tengan las acciones o títulos valor sujetos a la opción, al momento en el que el contribuyente ejerza la misma y el precio establecido al otorgarse la opción.</t>
  </si>
  <si>
    <t>Ajuste en Ingresos en acciones o títulos valor que representan bienes Gravado</t>
  </si>
  <si>
    <t>Ajuste a ingresos asimilados a salarios gravados</t>
  </si>
  <si>
    <t>Ajuste en Prima por antigüedad Exento</t>
  </si>
  <si>
    <t>Ajuste en Prima por antigüedad Gravado</t>
  </si>
  <si>
    <t>Ajuste en Pagos por separación Exento</t>
  </si>
  <si>
    <t>Ajuste en Pagos por separación Gravado</t>
  </si>
  <si>
    <t>Ajuste en Indemnizaciones Exento</t>
  </si>
  <si>
    <t>Ajuste en Indemnizaciones Gravado</t>
  </si>
  <si>
    <t>Ajuste en Pagos por separación Acumulable</t>
  </si>
  <si>
    <t>Ajuste en Cuotas Sindicales Pagadas por el Patrón Gravado</t>
  </si>
  <si>
    <r>
      <t xml:space="preserve">Alimentación </t>
    </r>
    <r>
      <rPr>
        <sz val="11"/>
        <color indexed="8"/>
        <rFont val="Arial"/>
        <family val="2"/>
      </rPr>
      <t>diferentes a los establecidos en el Art 94 penúltimo párrafo LISR</t>
    </r>
  </si>
  <si>
    <t>Días de descanso obligatorios laborados</t>
  </si>
  <si>
    <t>Previsión social, Art 93 fracciones VIII y IX LISR</t>
  </si>
  <si>
    <t>Ajuste a días de descanso obligatorios laborados gravados</t>
  </si>
  <si>
    <t>Ajuste a días de descanso obligatorios laborados exentos</t>
  </si>
  <si>
    <t>Ajuste previsión social Art 93 fracciones VIII y IX LISR gravados</t>
  </si>
  <si>
    <t>Ajuste previsión social Art 93 fracciones VIII y IX LISR exentos</t>
  </si>
  <si>
    <t>Reintegro de ISR retenido en exceso (siempre que no haya sido enterado al SAT).</t>
  </si>
  <si>
    <t>Alimentos en bienes (Servicios de comedor y comida) Art 94 penúltimo párrafo LISR.</t>
  </si>
  <si>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VI.	Los percibidos con motivo del reembolso de gastos médicos, dentales, hospitalarios y de funeral, que se concedan de manera general, de acuerdo con las leyes o contratos de trabajo.</t>
    </r>
  </si>
  <si>
    <t>Proveedor</t>
  </si>
  <si>
    <t>Folio CFDI</t>
  </si>
  <si>
    <t>Tipo gasto</t>
  </si>
  <si>
    <t>Monto</t>
  </si>
  <si>
    <t>A-88920</t>
  </si>
  <si>
    <t>Hospitalario</t>
  </si>
  <si>
    <t>DC-5542</t>
  </si>
  <si>
    <t>Dental</t>
  </si>
  <si>
    <t>Total reembolso</t>
  </si>
  <si>
    <t>Hospital Ángeles C</t>
  </si>
  <si>
    <t>Dental Clínica</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</si>
  <si>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</si>
  <si>
    <t>Consultar con el abogado</t>
  </si>
  <si>
    <t>083</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</si>
  <si>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II. </t>
    </r>
    <r>
      <rPr>
        <sz val="11"/>
        <color theme="1"/>
        <rFont val="Aptos Narrow"/>
        <family val="2"/>
        <scheme val="minor"/>
      </rPr>
      <t>El ahorro, cuando se integre por un depósito de cantidad semanaria, quincenal o mensual igual del trabajador y de la empresa; si se constituye en forma diversa o puede el trabajador retirarlo más de dos veces al año, integrará salario; tampoco se tomarán en cuenta las cantidades otorgadas por el patrón para fines sociales de carácter sindical;</t>
    </r>
  </si>
  <si>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 Los provenientes de cajas de ahorro de trabajadores y de fondos de ahorro establecidos por las empresas para sus trabajadores cuando reúnan los requisitos de deducibilidad del Título II de esta Ley o, en su caso, del presente Título.</t>
    </r>
  </si>
  <si>
    <t>Salario del trabajador</t>
  </si>
  <si>
    <t>% del fondo de ahorro</t>
  </si>
  <si>
    <t>Días pagados</t>
  </si>
  <si>
    <t>ANEXO 7 DE LA RESOLUCIÓN MISCELÁNEA FISCAL PARA 2025
Compilación de criterios normativos fiscales
32/ISR/N	Premios por asistencia y puntualidad. No son prestaciones de naturaleza análoga a la previsión social.
El artículo 93, fracción VIII de la Ley del ISR establece que no se pagará el impuesto por la obtención de ingresos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El artículo 7, penúltimo párrafo de dicha Ley dispone que se considera previsión social, las erogaciones efectuadas por los patrones a favor de sus trabajadores, que tengan por objeto satisfacer contingencias o necesidades presentes o futuras, así como el otorgar beneficios a favor de dichos trabajadores tendientes a su superación física, social, económica o cultural, que les permitan el mejoramiento de su calidad de vida y la de su familia.
En tal virtud, los premios otorgados a los trabajadores por concepto de puntualidad y asistencia al ser conferidos como un estímulo a aquellos trabajadores que se encuentren en dichos supuestos, no tienen una naturaleza análoga a los ingresos exentos establecidos en el artículo 93, fracción VIII de la Ley del ISR, porque su finalidad no es hacer frente a contingencias futuras ni son conferidos de manera general.</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</si>
  <si>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VII. </t>
    </r>
    <r>
      <rPr>
        <sz val="11"/>
        <color theme="1"/>
        <rFont val="Aptos Narrow"/>
        <family val="2"/>
        <scheme val="minor"/>
      </rPr>
      <t>Los premios por asistencia y puntualidad, siempre que el importe de cada uno de estos conceptos no rebase el diez por ciento del salario base de cotización</t>
    </r>
  </si>
  <si>
    <r>
      <rPr>
        <b/>
        <sz val="11"/>
        <color theme="1"/>
        <rFont val="Aptos Narrow"/>
        <family val="2"/>
        <scheme val="minor"/>
      </rPr>
      <t xml:space="preserve">21. Para el caso del fondo de ahorro de los trabajadores, con el objeto de no duplicar el registro de los ingresos del trabajador, ¿Cómo debe registrarse en el Complemento de sueldos, salarios e ingresos asimilados?, ¿Cómo un ingreso en cada pago y una deducción por aportación patronal al fondo de ahorro? ¿O se registra hasta que se cobra el monto ahorrado y los intereses? </t>
    </r>
    <r>
      <rPr>
        <sz val="11"/>
        <color theme="1"/>
        <rFont val="Aptos Narrow"/>
        <family val="2"/>
        <scheme val="minor"/>
      </rPr>
      <t xml:space="preserve">
Al ser las aportaciones patronales al fondo de ahorro una prestación derivada de la relación laboral, son ingresos por la prestación de un servicio personal subordinado; de esta forma deben registrarse en el catálogo de percepciones del Complemento en cada pago de salarios que se realice, al mismo tiempo que debe registrarse en el catálogo de deducciones del Complemento el descuento correspondiente para realizar el depósito al fondo.  
Al momento de percibir el monto ahorrado y los intereses, el pagador de éstos debe expedir un CFDI por este concepto, es decir, por intereses, ya que se trata de estos y no de un sueldo, salario o ingreso asimilado. </t>
    </r>
  </si>
  <si>
    <t>Apéndice 3 guía de llenado del SAT</t>
  </si>
  <si>
    <r>
      <t xml:space="preserve">Artículo 93 LISR. </t>
    </r>
    <r>
      <rPr>
        <sz val="11"/>
        <color theme="1"/>
        <rFont val="Aptos Narrow"/>
        <family val="2"/>
        <scheme val="minor"/>
      </rPr>
      <t>No se pagará el impuesto sobre la renta por la obtención de los siguientes ingresos:
VIII. Los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IX.	La previsión social a que se refiere la fracción anterior es la establecida en el artículo 7, quinto párrafo de esta Ley.</t>
    </r>
  </si>
  <si>
    <t>Si la póliza es anual</t>
  </si>
  <si>
    <r>
      <rPr>
        <b/>
        <sz val="11"/>
        <color theme="1"/>
        <rFont val="Aptos Narrow"/>
        <family val="2"/>
        <scheme val="minor"/>
      </rPr>
      <t xml:space="preserve">22. ¿En qué momento y cómo se deberán reportar los gastos médicos mayores y el seguro de vida, se reportan cómo concepto de percepción del empleado? </t>
    </r>
    <r>
      <rPr>
        <sz val="11"/>
        <color theme="1"/>
        <rFont val="Aptos Narrow"/>
        <family val="2"/>
        <scheme val="minor"/>
      </rPr>
      <t xml:space="preserve">
Las primas que amparen estos seguros (por ambos conceptos) que sean otorgadas al trabajador por cuenta del patrón, al ser prestaciones derivadas de la relación laboral, se reportan en el Complemento, las primas a cargo del patrón primero como percepción y luego como deducción por pago de prima a cargo del patrón. 
Cuando se realice el siniestro y esto de origen al pago de la cantidad asegurada por parte de la empresa asegurada, dichas cantidades no tienen el carácter de sueldos y salarios, y por ende, no requieren ser incluidas en el Complemento. 
</t>
    </r>
    <r>
      <rPr>
        <b/>
        <sz val="11"/>
        <color theme="1"/>
        <rFont val="Aptos Narrow"/>
        <family val="2"/>
        <scheme val="minor"/>
      </rPr>
      <t>Fundamento Legal:</t>
    </r>
    <r>
      <rPr>
        <sz val="11"/>
        <color theme="1"/>
        <rFont val="Aptos Narrow"/>
        <family val="2"/>
        <scheme val="minor"/>
      </rPr>
      <t xml:space="preserve"> Artículos 27, fracción XI, 93, primer párrafo, fracción XXI y 94 de la Ley del Impuesto sobre la Renta. </t>
    </r>
  </si>
  <si>
    <r>
      <rPr>
        <b/>
        <sz val="11"/>
        <color theme="1"/>
        <rFont val="Aptos Narrow"/>
        <family val="2"/>
        <scheme val="minor"/>
      </rPr>
      <t xml:space="preserve">23. En el caso de la deducción por pago de prima de gastos médicos mayores, ¿Se puede incluir una sola vez al año en un recibo de nómina? </t>
    </r>
    <r>
      <rPr>
        <sz val="11"/>
        <color theme="1"/>
        <rFont val="Aptos Narrow"/>
        <family val="2"/>
        <scheme val="minor"/>
      </rPr>
      <t xml:space="preserve">
La deducción por pago de prima se debe reflejar en el CFDI conforme se vaya devengando. 
</t>
    </r>
    <r>
      <rPr>
        <b/>
        <sz val="11"/>
        <color theme="1"/>
        <rFont val="Aptos Narrow"/>
        <family val="2"/>
        <scheme val="minor"/>
      </rPr>
      <t>Fundamento Legal</t>
    </r>
    <r>
      <rPr>
        <sz val="11"/>
        <color theme="1"/>
        <rFont val="Aptos Narrow"/>
        <family val="2"/>
        <scheme val="minor"/>
      </rPr>
      <t>: Artículos 27, fracción XI, 93, primer párrafo, fracción XXI y 94 de la Ley del Impuesto sobre la Renta.</t>
    </r>
  </si>
  <si>
    <r>
      <t xml:space="preserve">Documentos de prueba por cada beca otorgada
</t>
    </r>
    <r>
      <rPr>
        <sz val="11"/>
        <color theme="1"/>
        <rFont val="Aptos Narrow"/>
        <family val="2"/>
        <scheme val="minor"/>
      </rPr>
      <t>- Solicitud de la beca (formato interno firmado por el trabajador)
- Constancia escolar / inscripción
- A nombre del hijo o trabajador
- Ciclo vigente
- Comprobante de pago o factura de la escuela (si aplica)
- Estado de cuenta bancario donde se refleje el pago del patrón (si se paga directo a la institución)</t>
    </r>
  </si>
  <si>
    <r>
      <t xml:space="preserve">Artículo 93 LISR. </t>
    </r>
    <r>
      <rPr>
        <sz val="11"/>
        <color theme="1"/>
        <rFont val="Aptos Narrow"/>
        <family val="2"/>
        <scheme val="minor"/>
      </rPr>
      <t>No se pagará el impuesto sobre la renta por la obtención de los siguientes ingresos:
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r>
  </si>
  <si>
    <r>
      <t xml:space="preserve">Artículo 66 LFT.- </t>
    </r>
    <r>
      <rPr>
        <sz val="11"/>
        <color theme="1"/>
        <rFont val="Aptos Narrow"/>
        <family val="2"/>
        <scheme val="minor"/>
      </rPr>
      <t>Podrá también prolongarse la jornada de trabajo por circunstancias extraordinarias, sin exceder nunca de tres horas diarias ni de tres veces en una semana.</t>
    </r>
    <r>
      <rPr>
        <b/>
        <sz val="11"/>
        <color theme="1"/>
        <rFont val="Aptos Narrow"/>
        <family val="2"/>
        <scheme val="minor"/>
      </rPr>
      <t xml:space="preserve">
Artículo 67 LFT.-</t>
    </r>
    <r>
      <rPr>
        <sz val="11"/>
        <color theme="1"/>
        <rFont val="Aptos Narrow"/>
        <family val="2"/>
        <scheme val="minor"/>
      </rPr>
      <t xml:space="preserve"> Las horas de trabajo a que se refiere el artículo 65, se retribuirán con una cantidad igual a la que corresponda a cada una de las horas de la jornada.
Las horas de trabajo extraordinario se pagarán con un ciento por ciento más del salario que corresponda a las horas de la jornada.
</t>
    </r>
    <r>
      <rPr>
        <b/>
        <sz val="11"/>
        <color theme="1"/>
        <rFont val="Aptos Narrow"/>
        <family val="2"/>
        <scheme val="minor"/>
      </rPr>
      <t xml:space="preserve">
Artículo 68 LFT.- </t>
    </r>
    <r>
      <rPr>
        <sz val="11"/>
        <color theme="1"/>
        <rFont val="Aptos Narrow"/>
        <family val="2"/>
        <scheme val="minor"/>
      </rPr>
      <t>Los trabajadores no están obligados a prestar sus servicios por un tiempo mayor del permitido de este capítulo.
La prolongación del tiempo extraordinario que exceda de nueve horas a la semana, obliga al patrón a pagar al trabajador el tiempo excedente con un doscientos por ciento más del salario que corresponda a las horas de la jornada, sin perjuicio de las sanciones establecidas en esta Ley.</t>
    </r>
  </si>
  <si>
    <t>Tipo de horas extras</t>
  </si>
  <si>
    <t>No. de horas</t>
  </si>
  <si>
    <t>Cuota por hora</t>
  </si>
  <si>
    <t>Total a pagar</t>
  </si>
  <si>
    <t>UMA</t>
  </si>
  <si>
    <t>Lunes</t>
  </si>
  <si>
    <t>Martes</t>
  </si>
  <si>
    <t>Miércoles</t>
  </si>
  <si>
    <t>Jueves</t>
  </si>
  <si>
    <t>Viernes</t>
  </si>
  <si>
    <t>Sábado</t>
  </si>
  <si>
    <t>Domingo</t>
  </si>
  <si>
    <t>Doble</t>
  </si>
  <si>
    <t>Simple</t>
  </si>
  <si>
    <t>Triple</t>
  </si>
  <si>
    <t>Zona del SMG</t>
  </si>
  <si>
    <t>Determinación del tiempo extra exento</t>
  </si>
  <si>
    <t>Horas extras simples de acuerdo con el artículo 65 LFT</t>
  </si>
  <si>
    <t>Horas extras triples</t>
  </si>
  <si>
    <t>Importe total</t>
  </si>
  <si>
    <t>Total de horas</t>
  </si>
  <si>
    <t>Horas extras</t>
  </si>
  <si>
    <t>Importe a comparar para exento</t>
  </si>
  <si>
    <r>
      <rPr>
        <b/>
        <sz val="11"/>
        <color theme="1"/>
        <rFont val="Aptos Narrow"/>
        <family val="2"/>
        <scheme val="minor"/>
      </rPr>
      <t>Artículo 87 LFT.-</t>
    </r>
    <r>
      <rPr>
        <sz val="11"/>
        <color theme="1"/>
        <rFont val="Aptos Narrow"/>
        <family val="2"/>
        <scheme val="minor"/>
      </rPr>
      <t xml:space="preserve"> Los trabajadores tendrán derecho a un aguinaldo anual que deberá pagarse antes del día veinte de diciembre, equivalente a quince días de salario, por lo menos.
Los que no hayan cumplido el año de servicios, independientemente de que se encuentren laborando o no en la fecha de liquidación del aguinaldo, tendrán derecho a que se les pague la parte proporcional del mismo, conforme al tiempo que hubieren trabajado, cualquiera que fuere éste.</t>
    </r>
  </si>
  <si>
    <t>% de prima vacacional</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</si>
  <si>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III.</t>
    </r>
    <r>
      <rPr>
        <sz val="11"/>
        <color theme="1"/>
        <rFont val="Aptos Narrow"/>
        <family val="2"/>
        <scheme val="minor"/>
      </rPr>
      <t xml:space="preserve"> Las aportaciones adicionales que el patrón convenga otorgar a favor de sus trabajadores por concepto de cuotas del seguro de retiro, cesantía en edad avanzada y vejez;</t>
    </r>
  </si>
  <si>
    <r>
      <t xml:space="preserve">Artículo 93 LISR. </t>
    </r>
    <r>
      <rPr>
        <sz val="11"/>
        <color theme="1"/>
        <rFont val="Aptos Narrow"/>
        <family val="2"/>
        <scheme val="minor"/>
      </rPr>
      <t>No se pagará el impuesto sobre la renta por la obtención de los siguientes ingresos:
XIII.	Los que obtengan las personas que han estado sujetas a una relación laboral en el momento de su separación, por concepto de primas de antigüedad, retiro e indemnizaciones u otros pagos, así como los obtenidos con cargo a la subcuenta del seguro de retiro o a la subcuenta de retiro, cesantía en edad avanzada y vejez, previstas en la Ley del Seguro Social y los que obtengan los trabajadores al servicio del Estado con cargo a la cuenta individual del sistema de ahorro para el retiro, prevista en la Ley del Instituto de Seguridad y Servicios Sociales de los Trabajadores del Estado, y los que obtengan por concepto del beneficio previsto en la Ley de Pensión Universal, hasta por el equivalente a noventa veces el salario mínimo general del área geográfica del contribuyente por cada año de servicio o de contribución en el caso de la subcuenta del seguro de retiro, de la subcuenta de retiro, cesantía en edad avanzada y vejez o de la cuenta individual del sistema de ahorro para el retiro. Los años de servicio serán los que se hubieran considerado para el cálculo de los conceptos mencionados. Toda fracción de más de seis meses se considerará un año completo. Por el excedente se pagará el impuesto en los términos de este Título.</t>
    </r>
  </si>
  <si>
    <t>Años completos LFT</t>
  </si>
  <si>
    <t>Años para exención</t>
  </si>
  <si>
    <t>Indemnización 20 días por año</t>
  </si>
  <si>
    <t>¿Se calcula?</t>
  </si>
  <si>
    <t>Indemnización 3 meses</t>
  </si>
  <si>
    <t>Horas extras dobles de acuerdo al artículo 66 LFT</t>
  </si>
  <si>
    <t xml:space="preserve">Días </t>
  </si>
  <si>
    <t>Total de pagos por separación</t>
  </si>
  <si>
    <t>(-) Último sueldo mensual ordinario</t>
  </si>
  <si>
    <t>(=) Ingreso no acumulable</t>
  </si>
  <si>
    <t>Total pagado</t>
  </si>
  <si>
    <t>Número de años de servicio</t>
  </si>
  <si>
    <t>Ingreso acumulable</t>
  </si>
  <si>
    <t>Ingreso no acumulable</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</si>
  <si>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IV. </t>
    </r>
    <r>
      <rPr>
        <sz val="11"/>
        <color theme="1"/>
        <rFont val="Aptos Narrow"/>
        <family val="2"/>
        <scheme val="minor"/>
      </rPr>
      <t>Las cuotas que en términos de esta Ley le corresponde cubrir al patrón, las aportaciones al Instituto del Fondo Nacional de la Vivienda para los Trabajadores, y las participaciones en las utilidades de la empresa</t>
    </r>
    <r>
      <rPr>
        <b/>
        <sz val="11"/>
        <color theme="1"/>
        <rFont val="Aptos Narrow"/>
        <family val="2"/>
        <scheme val="minor"/>
      </rPr>
      <t xml:space="preserve">.
Artículo 36 LSS. </t>
    </r>
    <r>
      <rPr>
        <sz val="11"/>
        <color theme="1"/>
        <rFont val="Aptos Narrow"/>
        <family val="2"/>
        <scheme val="minor"/>
      </rPr>
      <t>Corresponde al patrón pagar íntegramente la cuota señalada para los trabajadores, en los casos en que éstos perciban como cuota diaria el salario mínimo.</t>
    </r>
  </si>
  <si>
    <r>
      <t xml:space="preserve">Artículo 285 LFT.- </t>
    </r>
    <r>
      <rPr>
        <sz val="11"/>
        <color theme="1"/>
        <rFont val="Aptos Narrow"/>
        <family val="2"/>
        <scheme val="minor"/>
      </rPr>
      <t>Los agentes de comercio, de seguros, los vendedores, viajantes, propagandistas o impulsores de ventas y otros semejantes, son trabajadores de la empresa o empresas a las que presten sus servicios, cuando su actividad sea permanente, salvo que no ejecuten personalmente el trabajo o que únicamente intervengan en operaciones aisladas.</t>
    </r>
    <r>
      <rPr>
        <b/>
        <sz val="11"/>
        <color theme="1"/>
        <rFont val="Aptos Narrow"/>
        <family val="2"/>
        <scheme val="minor"/>
      </rPr>
      <t xml:space="preserve">
Artículo 286 LFT.- </t>
    </r>
    <r>
      <rPr>
        <sz val="11"/>
        <color theme="1"/>
        <rFont val="Aptos Narrow"/>
        <family val="2"/>
        <scheme val="minor"/>
      </rPr>
      <t>El salario a comisión puede comprender una prima sobre el valor de la mercancía vendida o colocada, sobre el pago inicial o sobre los pagos periódicos, o dos o las tres de dichas primas.</t>
    </r>
  </si>
  <si>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V. </t>
    </r>
    <r>
      <rPr>
        <sz val="11"/>
        <color theme="1"/>
        <rFont val="Aptos Narrow"/>
        <family val="2"/>
        <scheme val="minor"/>
      </rPr>
      <t>La alimentación y la habitación cuando se entreguen en forma onerosa a los trabajadores; se entiende que son onerosas estas prestaciones cuando el trabajador pague por cada una de ellas, como mínimo, el veinte por ciento del salario mínimo general diario que rija en el Distrito Federal;</t>
    </r>
    <r>
      <rPr>
        <b/>
        <sz val="11"/>
        <color theme="1"/>
        <rFont val="Aptos Narrow"/>
        <family val="2"/>
        <scheme val="minor"/>
      </rPr>
      <t xml:space="preserve">
VI. </t>
    </r>
    <r>
      <rPr>
        <sz val="11"/>
        <color theme="1"/>
        <rFont val="Aptos Narrow"/>
        <family val="2"/>
        <scheme val="minor"/>
      </rPr>
      <t>Las despensas en especie o en dinero, siempre y cuando su importe no rebase el cuarenta por ciento del salario mínimo general diario vigente en el Distrito Federal;</t>
    </r>
  </si>
  <si>
    <r>
      <t xml:space="preserve">Artículo 93 LISR. </t>
    </r>
    <r>
      <rPr>
        <sz val="11"/>
        <color theme="1"/>
        <rFont val="Aptos Narrow"/>
        <family val="2"/>
        <scheme val="minor"/>
      </rPr>
      <t xml:space="preserve">No se pagará el impuesto sobre la renta por la obtención de los siguientes ingresos:
XVII.	Los viáticos, cuando sean efectivamente erogados en servicio del patrón y se compruebe esta circunstancia con los comprobantes fiscales correspondientes.
</t>
    </r>
    <r>
      <rPr>
        <b/>
        <sz val="11"/>
        <color theme="1"/>
        <rFont val="Aptos Narrow"/>
        <family val="2"/>
        <scheme val="minor"/>
      </rPr>
      <t>Artículo 152 RLISR</t>
    </r>
    <r>
      <rPr>
        <sz val="11"/>
        <color theme="1"/>
        <rFont val="Aptos Narrow"/>
        <family val="2"/>
        <scheme val="minor"/>
      </rPr>
      <t>. Para efectos del artículo 93, fracción XVII de la Ley, las personas físicas que reciban viáticos y efectivamente los eroguen en servicio del patrón, podrán no presentar comprobantes fiscales hasta por un 20% del total de viáticos erogados en cada ocasión, cuando no existan servicios para emitir los mismos, sin que en ningún caso el monto que no se compruebe exceda de $15,000.00 en el ejercicio fiscal de que se trate, siempre que el monto restante de los viáticos se eroguen mediante tarjeta de crédito, de débito o de servicio del patrón. La parte que en su caso no se erogue deberá ser reintegrada por la persona física que reciba los viáticos o en caso contrario no le será aplicable lo dispuesto en este artículo.
Las cantidades no comprobadas se considerarán ingresos exentos para efectos del Impuesto, siempre que además se cumplan con los requisitos del artículo 28, fracción V de la Ley.
Lo dispuesto en el presente artículo no es aplicable tratándose de gastos de hospedaje y de pasajes de avión.</t>
    </r>
  </si>
  <si>
    <r>
      <t xml:space="preserve">Artículo 73 LFT.- </t>
    </r>
    <r>
      <rPr>
        <sz val="11"/>
        <color theme="1"/>
        <rFont val="Aptos Narrow"/>
        <family val="2"/>
        <scheme val="minor"/>
      </rPr>
      <t xml:space="preserve">Los trabajadores no están obligados a prestar servicios en sus días de descanso. Si se quebranta esta disposición, el patrón pagará al trabajador, independientemente del salario que le corresponda por el descanso, un salario doble por el servicio prestado.
</t>
    </r>
    <r>
      <rPr>
        <b/>
        <sz val="11"/>
        <color theme="1"/>
        <rFont val="Aptos Narrow"/>
        <family val="2"/>
        <scheme val="minor"/>
      </rPr>
      <t>Artículo 74 LFT</t>
    </r>
    <r>
      <rPr>
        <sz val="11"/>
        <color theme="1"/>
        <rFont val="Aptos Narrow"/>
        <family val="2"/>
        <scheme val="minor"/>
      </rPr>
      <t>. Son días de descanso obligatorio:
I. 	El 1o. de enero;
II. 	El primer lunes de febrero en conmemoración del 5 de febrero;
III. 	El tercer lunes de marzo en conmemoración del 21 de marzo;
IV. 	El 1o. de mayo;
V. 	El 16 de septiembre;
VI. 	El tercer lunes de noviembre en conmemoración del 20 de noviembre;
VII.	El 1o. de octubre de cada seis años, cuando corresponda a la transmisión del Poder Ejecutivo Federal;
VIII. 	El 25 de diciembre, y
IX. 	El que determinen las leyes federales y locales electorales, en el caso de elecciones ordinarias, para efectuar la jornada electoral.</t>
    </r>
  </si>
  <si>
    <t xml:space="preserve"> c_TipoOtroPago</t>
  </si>
  <si>
    <t>1) Entradas (editar celdas con relleno de color verde)</t>
  </si>
  <si>
    <t>Salario base de cotización en semana reducida</t>
  </si>
  <si>
    <t>Salario base de cotización en jornada reducida</t>
  </si>
  <si>
    <t>Días de la semana</t>
  </si>
  <si>
    <t>Horas trabajadas</t>
  </si>
  <si>
    <t>Total percibido por cada unidad de tiempo</t>
  </si>
  <si>
    <t>Cuota por hora que se paga</t>
  </si>
  <si>
    <t xml:space="preserve">(/) </t>
  </si>
  <si>
    <t>(=) SBC</t>
  </si>
  <si>
    <t>Días que trabaja</t>
  </si>
  <si>
    <t>(+) Séptimo día</t>
  </si>
  <si>
    <t>(=) Base para SBC</t>
  </si>
  <si>
    <t>(=) Resultado</t>
  </si>
  <si>
    <t>(x) Factor de integración</t>
  </si>
  <si>
    <t>Salario base de cotización IMSS</t>
  </si>
  <si>
    <t>Capture información en las celdas de color verde</t>
  </si>
  <si>
    <t>¿Con límite?</t>
  </si>
  <si>
    <t>02</t>
  </si>
  <si>
    <t>Dependiendo lo que se pague</t>
  </si>
  <si>
    <r>
      <t xml:space="preserve">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
</t>
    </r>
    <r>
      <rPr>
        <b/>
        <sz val="11"/>
        <color theme="1"/>
        <rFont val="Aptos Narrow"/>
        <family val="2"/>
        <scheme val="minor"/>
      </rPr>
      <t>Fundamento</t>
    </r>
    <r>
      <rPr>
        <sz val="11"/>
        <color theme="1"/>
        <rFont val="Aptos Narrow"/>
        <family val="2"/>
        <scheme val="minor"/>
      </rPr>
      <t>: Artículo 93 sexto párrafo LISR</t>
    </r>
  </si>
  <si>
    <t>1 UMA elevada al año</t>
  </si>
  <si>
    <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r>
      <rPr>
        <b/>
        <sz val="11"/>
        <color theme="1"/>
        <rFont val="Aptos Narrow"/>
        <family val="2"/>
        <scheme val="minor"/>
      </rPr>
      <t>Fundamento</t>
    </r>
    <r>
      <rPr>
        <sz val="11"/>
        <color theme="1"/>
        <rFont val="Aptos Narrow"/>
        <family val="2"/>
        <scheme val="minor"/>
      </rPr>
      <t>: Artículo 94 primer párrafo LISR</t>
    </r>
  </si>
  <si>
    <t>Ingresos por salarios</t>
  </si>
  <si>
    <t>(+) Previsión social con límite</t>
  </si>
  <si>
    <t>(=) Resultado I</t>
  </si>
  <si>
    <t>Comprar contra 7 UMAS elevadas al año</t>
  </si>
  <si>
    <t>Sí ②&gt;① entonces el límite de la exención es de 1 uma elevada al año</t>
  </si>
  <si>
    <t>Comprar los ingresos por salarios + el tope máximo de previsión social cuando la previsión social con límite es &gt;= tope máximo</t>
  </si>
  <si>
    <t>(+) Tope máximo de exención</t>
  </si>
  <si>
    <t>(=) Resultado II</t>
  </si>
  <si>
    <t>④</t>
  </si>
  <si>
    <t>El resultado ④ no puede ser inferior a ①</t>
  </si>
  <si>
    <t>Previsión social sin límite exenta</t>
  </si>
  <si>
    <t>(+) Previsión social gravada</t>
  </si>
  <si>
    <t>(+) Previsión social exenta con límite</t>
  </si>
  <si>
    <t>(=) Total de previsión social</t>
  </si>
  <si>
    <t>Nómina semana 49</t>
  </si>
  <si>
    <t>Subsidio al empleo causado</t>
  </si>
  <si>
    <t>Capture la contraseña para trabajar con el libro</t>
  </si>
  <si>
    <t>Catálogo del apéndice seis de la guía de llenado del SAT</t>
  </si>
  <si>
    <t>APEND6</t>
  </si>
  <si>
    <t>Catálogo de deducciones</t>
  </si>
  <si>
    <t>Determinación del factor de no deducibles de los exentos</t>
  </si>
  <si>
    <t>FUNDAMENTO</t>
  </si>
  <si>
    <t>Otros pagos</t>
  </si>
  <si>
    <t>Percepciones</t>
  </si>
  <si>
    <r>
      <t xml:space="preserve">Que cuando se trate de gastos de previsión social, las prestaciones correspondientes se otorguen en forma general en beneficio de todos los trabajadores. Tratándose de vales de despensa otorgados a los trabajadores, serán deducibles siempre que su entrega se realice a través de los monederos electrónicos que al efecto autorice el Servicio de Administración Tributaria.
</t>
    </r>
    <r>
      <rPr>
        <b/>
        <sz val="11"/>
        <color theme="1"/>
        <rFont val="Aptos Narrow"/>
        <family val="2"/>
        <scheme val="minor"/>
      </rPr>
      <t>Fundamento</t>
    </r>
    <r>
      <rPr>
        <sz val="11"/>
        <color theme="1"/>
        <rFont val="Aptos Narrow"/>
        <family val="2"/>
        <scheme val="minor"/>
      </rPr>
      <t>: Artículo 27 fracción XI primer párrafo LISR</t>
    </r>
  </si>
  <si>
    <r>
      <t xml:space="preserve">Tratándose de trabajadores sindicalizados se considera que las prestaciones de previsión social se otorgan de manera general cuando las mismas se establecen de acuerdo a los contratos colectivos de trabajo o contratos ley.
</t>
    </r>
    <r>
      <rPr>
        <b/>
        <sz val="11"/>
        <color theme="1"/>
        <rFont val="Aptos Narrow"/>
        <family val="2"/>
        <scheme val="minor"/>
      </rPr>
      <t>Fundamento</t>
    </r>
    <r>
      <rPr>
        <sz val="11"/>
        <color theme="1"/>
        <rFont val="Aptos Narrow"/>
        <family val="2"/>
        <scheme val="minor"/>
      </rPr>
      <t>: Artículo 27 fracción XI segundo párrafo LISR</t>
    </r>
  </si>
  <si>
    <r>
      <t xml:space="preserve">Cuando una persona moral tenga dos o más sindicatos, se considera que las prestaciones de previsión social se otorgan de manera general siempre que se otorguen de acuerdo con los contratos colectivos de trabajo o contratos ley y sean las mismas para todos los trabajadores del mismo sindicato, aun cuando éstas sean distintas en relación con las otorgadas a los trabajadores de otros sindicatos de la propia persona moral, de acuerdo con sus contratos colectivos de trabajo o contratos ley.
</t>
    </r>
    <r>
      <rPr>
        <b/>
        <sz val="11"/>
        <color theme="1"/>
        <rFont val="Aptos Narrow"/>
        <family val="2"/>
        <scheme val="minor"/>
      </rPr>
      <t>Fundamento</t>
    </r>
    <r>
      <rPr>
        <sz val="11"/>
        <color theme="1"/>
        <rFont val="Aptos Narrow"/>
        <family val="2"/>
        <scheme val="minor"/>
      </rPr>
      <t>: Artículo 27 fracción XI tercer párrafo LISR</t>
    </r>
  </si>
  <si>
    <r>
      <t xml:space="preserve">Para efectos del artículo 27, fracción XI, párrafo segundo de la Ley, los contribuyentes determinarán el promedio aritmético anual por cada trabajador sindicalizado, dividiendo el total de las prestaciones cubiertas a todos los trabajadores sindicalizados durante el ejercicio inmediato anterior, entre el número de dichos trabajadores correspondiente al mismo ejercicio.
En el caso de los trabajadores no sindicalizados a que se refiere el artículo 27, fracción XI, párrafo cuarto de la Ley, los contribuyentes determinarán el promedio aritmético anual de las erogaciones deducibles por prestaciones de previsión social por cada uno de dichos trabajadores, dividiendo el monto total de las prestaciones cubiertas a todos los trabajadores no sindicalizados durante el ejercicio inmediato anterior, entre el número de dichos trabajadores correspondiente al mismo ejercicio.
</t>
    </r>
    <r>
      <rPr>
        <b/>
        <sz val="11"/>
        <color theme="1"/>
        <rFont val="Aptos Narrow"/>
        <family val="2"/>
        <scheme val="minor"/>
      </rPr>
      <t>Fundamento</t>
    </r>
    <r>
      <rPr>
        <sz val="11"/>
        <color theme="1"/>
        <rFont val="Aptos Narrow"/>
        <family val="2"/>
        <scheme val="minor"/>
      </rPr>
      <t>: Artículo 48 RLISR</t>
    </r>
  </si>
  <si>
    <t>Total de prestaciones de previsión social  del ejercicio inmediato anterior a trabajadores sindicalizados</t>
  </si>
  <si>
    <t>(/) No. de trabajadores sindicalizados del ejercicio inmediato anterior</t>
  </si>
  <si>
    <t>(=) Promedio aritmético anual</t>
  </si>
  <si>
    <t>Total de prestaciones de previsión social  del ejercicio inmediato anterior no sindicalizados</t>
  </si>
  <si>
    <t>(/) No. de trabajadores no sindicalizados del ejercicio inmediato anterior</t>
  </si>
  <si>
    <t>Servicios de comedor</t>
  </si>
  <si>
    <r>
      <t xml:space="preserve">Los gastos en comedores que por su naturaleza no estén a disposición de todos los trabajadores de la empresa y aun cuando lo estén, éstos excedan de un monto equivalente a un salario mínimo general diario del área geográfica del contribuyente por cada trabajador que haga uso de los mismos y por cada día en que se preste el servicio, adicionado con las cuotas de recuperación que pague el trabajador por este concepto.
	El límite que establece esta fracción no incluye los gastos relacionados con la prestación del servicio de comedor como son, el mantenimiento de laboratorios o especialistas que estudien la calidad e idoneidad de los alimentos servidos en los comedores a que se refiere el párrafo anterior.
</t>
    </r>
    <r>
      <rPr>
        <b/>
        <sz val="11"/>
        <color theme="1"/>
        <rFont val="Aptos Narrow"/>
        <family val="2"/>
        <scheme val="minor"/>
      </rPr>
      <t>Fundamento</t>
    </r>
    <r>
      <rPr>
        <sz val="11"/>
        <color theme="1"/>
        <rFont val="Aptos Narrow"/>
        <family val="2"/>
        <scheme val="minor"/>
      </rPr>
      <t>: Artículo 28 fracción XXI LISR</t>
    </r>
  </si>
  <si>
    <t>Partida que se excluye del salario base de cotización</t>
  </si>
  <si>
    <r>
      <t xml:space="preserve">La alimentación y la habitación cuando se entreguen en forma onerosa a los trabajadores; se entiende que son onerosas estas prestaciones cuando el trabajador pague por cada una de ellas, como mínimo, el veinte por ciento del salario mínimo general diario que rija en el Distrito Federal;
</t>
    </r>
    <r>
      <rPr>
        <b/>
        <sz val="11"/>
        <color theme="1"/>
        <rFont val="Aptos Narrow"/>
        <family val="2"/>
        <scheme val="minor"/>
      </rPr>
      <t>Fundamento:</t>
    </r>
    <r>
      <rPr>
        <sz val="11"/>
        <color theme="1"/>
        <rFont val="Aptos Narrow"/>
        <family val="2"/>
        <scheme val="minor"/>
      </rPr>
      <t xml:space="preserve"> Artículo 27 fracción V LSS</t>
    </r>
  </si>
  <si>
    <t>Gastos de comedor por día</t>
  </si>
  <si>
    <t>Cuto de recuperación por trabajador</t>
  </si>
  <si>
    <t>Número de trabajadores</t>
  </si>
  <si>
    <t>Gastos de comedor por trabajador</t>
  </si>
  <si>
    <t>vs Tope para su deducción</t>
  </si>
  <si>
    <t>Total deducible en gastos de comedor por trabajador y por día que se otorgue</t>
  </si>
  <si>
    <t>Requisitos para que las partidas de previsión social sean deducibles para el patrón</t>
  </si>
  <si>
    <t>Prestación</t>
  </si>
  <si>
    <t>Requisito</t>
  </si>
  <si>
    <t>Fundamento</t>
  </si>
  <si>
    <t>Sean otorgadas en forma general para todos los trabajadores</t>
  </si>
  <si>
    <t>Artículo 27 fracción XI primer párrafo LISR</t>
  </si>
  <si>
    <t>En el caso de vales de despensa se paguen con monedero electrónico</t>
  </si>
  <si>
    <t>En el caso del fondo de ahorro no debe de exceder del 13% del salario del trabajador y con un limite de 1.3 veces el valor de la UMA anual</t>
  </si>
  <si>
    <t>Artículo 27 fracción XI cuarto párrafo LISR</t>
  </si>
  <si>
    <t>Las primas de seguro de vida sólo cuando los beneficios de dichos seguros cubran la muerte del titular o en los casos de invalidez o incapacidad del titular para realizar un trabajo personal remunerado de conformidad con las leyes de seguridad social</t>
  </si>
  <si>
    <t>Artículo 27 fracción XI quinto párrafo LISR</t>
  </si>
  <si>
    <r>
      <rPr>
        <b/>
        <sz val="11"/>
        <color theme="1"/>
        <rFont val="Aptos Narrow"/>
        <family val="2"/>
        <scheme val="minor"/>
      </rPr>
      <t xml:space="preserve">Concepto de vale de despensa
3.3.1.15.	</t>
    </r>
    <r>
      <rPr>
        <sz val="11"/>
        <color theme="1"/>
        <rFont val="Aptos Narrow"/>
        <family val="2"/>
        <scheme val="minor"/>
      </rPr>
      <t>Para los efectos del artículo 27, fracción XI, primer párrafo de la Ley del ISR, se entenderá por vale de despensa, aquel que independientemente del nombre que se le designe, se proporcione a través de monedero electrónico y permita a los trabajadores que lo reciban, utilizarlo en establecimientos comerciales ubicados dentro del territorio nacional, en la adquisición de artículos de consumo que les permitan el mejoramiento en su calidad de vida y en la de su familia.
	Los vales de despensa, no podrán ser canjeados por dinero, ya sea en efectivo o mediante títulos de crédito, o utilizados para retirar el importe de su saldo en efectivo, directamente del emisor o a través de cualquier tercero, por cualquier medio, incluyendo cajeros automáticos, puntos de venta o cajas registradoras, entre otros, tampoco podrán utilizarse para adquirir bebidas alcohólicas o productos del tabaco.
	LISR 27</t>
    </r>
  </si>
  <si>
    <t xml:space="preserve">Regla 3.3.1.15. RMF </t>
  </si>
  <si>
    <t>Proveedores autorizados SAT</t>
  </si>
  <si>
    <t xml:space="preserve">http://omawww.sat.gob.mx/terceros_autorizados/monederos_electronicos/Paginas/emisores_m_electronicos_vales_despensa.aspx </t>
  </si>
  <si>
    <r>
      <t xml:space="preserve">Las aportaciones que efectúen los contribuyentes a fondos de ahorro, en términos del artículo 27, fracción XI, párrafo quinto de la Ley, serán deducibles cuando cumpla con lo previsto en la Ley y los siguientes requisitos de permanencia:
</t>
    </r>
    <r>
      <rPr>
        <b/>
        <sz val="11"/>
        <color theme="1"/>
        <rFont val="Aptos Narrow"/>
        <family val="2"/>
        <scheme val="minor"/>
      </rPr>
      <t>I</t>
    </r>
    <r>
      <rPr>
        <sz val="11"/>
        <color theme="1"/>
        <rFont val="Aptos Narrow"/>
        <family val="2"/>
        <scheme val="minor"/>
      </rPr>
      <t xml:space="preserve">. Que el plan establezca que el trabajador pueda retirar las aportaciones de que se trata, </t>
    </r>
    <r>
      <rPr>
        <b/>
        <sz val="11"/>
        <color theme="1"/>
        <rFont val="Aptos Narrow"/>
        <family val="2"/>
        <scheme val="minor"/>
      </rPr>
      <t>únicamente al término de la relación de trabajo o una vez por año</t>
    </r>
    <r>
      <rPr>
        <sz val="11"/>
        <color theme="1"/>
        <rFont val="Aptos Narrow"/>
        <family val="2"/>
        <scheme val="minor"/>
      </rPr>
      <t xml:space="preserve">;
</t>
    </r>
    <r>
      <rPr>
        <b/>
        <sz val="11"/>
        <color theme="1"/>
        <rFont val="Aptos Narrow"/>
        <family val="2"/>
        <scheme val="minor"/>
      </rPr>
      <t>II</t>
    </r>
    <r>
      <rPr>
        <sz val="11"/>
        <color theme="1"/>
        <rFont val="Aptos Narrow"/>
        <family val="2"/>
        <scheme val="minor"/>
      </rPr>
      <t xml:space="preserve">. Que el </t>
    </r>
    <r>
      <rPr>
        <b/>
        <sz val="11"/>
        <color theme="1"/>
        <rFont val="Aptos Narrow"/>
        <family val="2"/>
        <scheme val="minor"/>
      </rPr>
      <t>fondo se destine a otorgar préstamos a los trabajadores participantes</t>
    </r>
    <r>
      <rPr>
        <sz val="11"/>
        <color theme="1"/>
        <rFont val="Aptos Narrow"/>
        <family val="2"/>
        <scheme val="minor"/>
      </rPr>
      <t xml:space="preserve"> y el remanente se invierta en valores a cargo del Gobierno Federal inscritos en el Registro Nacional de Valores, así como en títulos valor que se coloquen entre el gran público inversionista o en valores de renta fija que el SAT determine, y
</t>
    </r>
    <r>
      <rPr>
        <b/>
        <sz val="11"/>
        <color theme="1"/>
        <rFont val="Aptos Narrow"/>
        <family val="2"/>
        <scheme val="minor"/>
      </rPr>
      <t>III</t>
    </r>
    <r>
      <rPr>
        <sz val="11"/>
        <color theme="1"/>
        <rFont val="Aptos Narrow"/>
        <family val="2"/>
        <scheme val="minor"/>
      </rPr>
      <t>. Que en el caso de préstamos otorgados a trabajadores que tengan como garantía las aportaciones del fondo, dichos préstamos no excedan del monto que el trabajador tenga en el fondo, siempre que éstos sean otorgados una vez al año. Cuando se otorgue más de un préstamo al año, las aportaciones que se efectúen al fondo de ahorro serán deducibles, siempre que el último préstamo que se hubiera otorgado al mismo trabajador se haya pagado en su totalidad y siempre que haya transcurrido como mínimo seis meses desde que se cubrió la totalidad de dicho préstamo.</t>
    </r>
  </si>
  <si>
    <t>Artículo 49 RLISR</t>
  </si>
  <si>
    <t>Previsión social pagada en efectivo (anexo 3 RMF 2025)</t>
  </si>
  <si>
    <r>
      <rPr>
        <b/>
        <sz val="11"/>
        <color theme="1"/>
        <rFont val="Aptos Narrow"/>
        <family val="2"/>
        <scheme val="minor"/>
      </rPr>
      <t xml:space="preserve">21/ISR/NV	Previsión social para efectos de la determinación del ISR. No puede otorgarse en efectivo o en otros medios equivalentes.
	</t>
    </r>
    <r>
      <rPr>
        <sz val="11"/>
        <color theme="1"/>
        <rFont val="Aptos Narrow"/>
        <family val="2"/>
        <scheme val="minor"/>
      </rPr>
      <t>El artículo 7, quinto párrafo de la Ley del ISR considera como previsión social las erogaciones efectuadas que tengan por objeto satisfacer contingencias o necesidades presentes o futuras, así como otorgar beneficios a favor de los trabajadores, tendientes a su superación física, social, económica o cultural, que les permitan el mejoramiento en su calidad de vida y en la de su familia.
	El artículo 93, fracciones VIII y IX de la Ley del ISR, señala que no se pagará dicho impuesto por la obtención de ingresos por concepto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así como por erogaciones que realice el patrón por concepto de previsión social establecida en el artículo 7, quinto párrafo de la Ley de referencia.
	En la tesis de jurisprudencia 2a./J.39/97, la Segunda Sala de la Suprema Corte de Justicia de la Nación resolvió que los vales de despensa deben considerarse como gastos de previsión social, para efectos de su deducción en el ISR. Ahora bien el artículo 27, fracción XI de la Ley del ISR establece que, tratándose de vales de despensa otorgados a los trabajadores, serán deducibles siempre que su entrega se realice a través de los monederos electrónicos de vales de despensa que al efecto autorice el SAT.
	Por su parte, la tesis de jurisprudencia por contradicción 2a./J.58/2007, emitida por la Segunda Sala de la Suprema Corte de Justicia de la Nación confirmó el criterio en el sentido de que las despensas otorgadas a los trabajadores en efectivo no tienen la naturaleza de previsión social, pues su destino es indefinido, ya que no necesariamente se emplearán en la adquisición de los alimentos y otros bienes necesarios que aseguren una vida decorosa para el trabajador y su familia.
	Por ello, de una interpretación armónica de las disposiciones que regulan la previsión social y de los criterios emitidos por la Suprema Corte de Justicia de la Nación, es dable concluir que la previsión social que otorguen los patrones a sus trabajadores de conformidad con lo establecido en el artículo 7, quinto párrafo, en relación con el artículo 93, fracciones VIII y IX, así como el artículo 27, fracción XI de la Ley del ISR, no puede entregarse en efectivo o en otros medios que sean equivalentes al efectivo, y por ende, no podrá ser considerado como un gasto deducible para el empleador y un ingreso exento del trabajador, pues su destino no está plenamente identificado.
	Por lo anterior, se considera que realizan una práctica fiscal indebida:
I. 	Los contribuyentes que para los efectos del ISR consideren como gastos de previsión social deducibles o ingresos exentos bajo el concepto de previsión social, las prestaciones entregadas a sus trabajadores en efectivo o en otros medios que permitan a dichos trabajadores adquirir bienes, tales como, los comercialmente denominados vales de previsión social o servicios.
II. 	Quienes realicen los pagos en términos de la fracción anterior y no efectúen la retención y el entero del ISR correspondiente por los pagos realizados.
III. 	Quien asesore, aconseje, preste servicios o participe en la realización o la implementación de cualquiera de las prácticas anteriores.</t>
    </r>
  </si>
  <si>
    <t>Pago de salarios en efectivo</t>
  </si>
  <si>
    <t>Para efectos del artículo 27, fracción III de la Ley, las erogaciones efectuadas por salarios y en general por la prestación de un servicio personal subordinado a que se refiere el artículo 94 de la Ley, pagadas en efectivo podrán ser deducibles, siempre que además de cumplir con todos los requisitos que señalan las disposiciones fiscales para la deducibilidad de dicho concepto, se cumpla con la obligación inherente a la emisión del comprobante fiscal correspondiente por concepto de nómina.</t>
  </si>
  <si>
    <t>Artículo 43 RLISR</t>
  </si>
  <si>
    <t>Premios de puntualidad y asistancia no son previsión social (anexo 7 RMF 2024)</t>
  </si>
  <si>
    <t>Requisito de generalidad para previsión social (anexo 7 RMF 2025)</t>
  </si>
  <si>
    <t>Ingresos exentos para el trabajador</t>
  </si>
  <si>
    <t>Los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t>
  </si>
  <si>
    <t>Artículo 93 fracción VIII LISR</t>
  </si>
  <si>
    <t>Los provenientes de cajas de ahorro de trabajadores y de fondos de ahorro establecidos por las empresas para sus trabajadores cuando reúnan los requisitos de deducibilidad del Título II de esta Ley o, en su caso, del presente Título.</t>
  </si>
  <si>
    <t>Artículo 93 fracción XI LISR</t>
  </si>
  <si>
    <t>Servicio de comedor</t>
  </si>
  <si>
    <t>No se considerarán ingresos en bienes, los servicios de comedor y de comida proporcionados a los trabajadores ni el uso de bienes que el patrón proporcione a los trabajadores para el desempeño de las actividades propias de éstos siempre que, en este último caso, los mismos estén de acuerdo con la naturaleza del trabajo prestado.</t>
  </si>
  <si>
    <t>Artículo 94 quinto párrafo LISR</t>
  </si>
  <si>
    <t>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</si>
  <si>
    <t>Artículo 94 primer párrafo LISR</t>
  </si>
  <si>
    <t>No ingresos por salarios</t>
  </si>
  <si>
    <t>Artículo 94 sexto párrafo LISR</t>
  </si>
  <si>
    <t>Primas de seguro de vida</t>
  </si>
  <si>
    <t>% de fondo de ahorro</t>
  </si>
  <si>
    <t>Clave</t>
  </si>
  <si>
    <t>Percepción</t>
  </si>
  <si>
    <t>Aportación fondo de ahorro patrón</t>
  </si>
  <si>
    <t>Aportación trabajador fondo de ahorro</t>
  </si>
  <si>
    <t>Neto a pagar</t>
  </si>
  <si>
    <t>Requisitos deducciones partidas de previsión social</t>
  </si>
  <si>
    <t>REQUISITOS</t>
  </si>
  <si>
    <t>Fundamentos legales</t>
  </si>
  <si>
    <r>
      <rPr>
        <b/>
        <sz val="11"/>
        <color theme="1"/>
        <rFont val="Aptos Narrow"/>
        <family val="2"/>
        <scheme val="minor"/>
      </rPr>
      <t xml:space="preserve">33/ISR/N Previsión Social. Cumplimiento del requisito de generalidad.
	</t>
    </r>
    <r>
      <rPr>
        <sz val="11"/>
        <color theme="1"/>
        <rFont val="Aptos Narrow"/>
        <family val="2"/>
        <scheme val="minor"/>
      </rPr>
      <t>El artículo 93, fracción VIII de la Ley del ISR establece que no se pagará ISR por aquellos ingresos obtenidos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Se considera que el requisito de generalidad a que se refiere el artículo antes citado, se cumple cuando determinadas prestaciones de previsión social se concedan a la totalidad de los trabajadores que se coloquen en el supuesto que dio origen a dicho beneficio.
	En consecuencia, los contribuyentes no pagarán ISR por los ingresos obtenidos con motivo de prestaciones de previsión social, cuando las mismas se concedan a todos los trabajadores que tengan derecho a dicho beneficio, conforme a las leyes o por contratos de trabajo.</t>
    </r>
  </si>
  <si>
    <r>
      <rPr>
        <b/>
        <sz val="11"/>
        <color theme="1"/>
        <rFont val="Aptos Narrow"/>
        <family val="2"/>
        <scheme val="minor"/>
      </rPr>
      <t xml:space="preserve">32/ISR/N Premios por asistencia y puntualidad. No son prestaciones de naturaleza análoga a la previsión social.
	</t>
    </r>
    <r>
      <rPr>
        <sz val="11"/>
        <color theme="1"/>
        <rFont val="Aptos Narrow"/>
        <family val="2"/>
        <scheme val="minor"/>
      </rPr>
      <t>El artículo 93, fracción VIII de la Ley del ISR establece que no se pagará el impuesto por la obtención de ingresos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El artículo 7, penúltimo párrafo de dicha Ley dispone que se considera previsión social, las erogaciones efectuadas por los patrones a favor de sus trabajadores, que tengan por objeto satisfacer contingencias o necesidades presentes o futuras, así como el otorgar beneficios a favor de dichos trabajadores tendientes a su superación física, social, económica o cultural, que les permitan el mejoramiento de su calidad de vida y la de su familia.
	En tal virtud, los premios otorgados a los trabajadores por concepto de puntualidad y asistencia al ser conferidos como un estímulo a aquellos trabajadores que se encuentren en dichos supuestos, no tienen una naturaleza análoga a los ingresos exentos establecidos en el artículo 93, fracción VIII de la Ley del ISR, porque su finalidad no es hacer frente a contingencias futuras ni son conferidos de manera general.</t>
    </r>
  </si>
  <si>
    <t>TIMBRADO</t>
  </si>
  <si>
    <t>COFIDE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</si>
</sst>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quot;&quot;"/>
    <numFmt numFmtId="166" formatCode="00"/>
    <numFmt numFmtId="168" formatCode="\$#,##0.00"/>
  </numFmts>
  <fonts count="3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sz val="11"/>
      <color indexed="8"/>
      <name val="Arial"/>
      <family val="2"/>
    </font>
    <font>
      <sz val="11"/>
      <name val="Arial"/>
      <family val="2"/>
    </font>
    <font>
      <b/>
      <sz val="11"/>
      <color rgb="FFFFFF00"/>
      <name val="Aptos Narrow"/>
      <family val="2"/>
      <scheme val="minor"/>
    </font>
    <font>
      <sz val="11"/>
      <color rgb="FFFFFFCC"/>
      <name val="Aptos Narrow"/>
      <family val="2"/>
      <scheme val="minor"/>
    </font>
    <font>
      <b/>
      <sz val="11"/>
      <color rgb="FFFFFFCC"/>
      <name val="Aptos Narrow"/>
      <family val="2"/>
      <scheme val="minor"/>
    </font>
    <font>
      <b/>
      <sz val="9"/>
      <color indexed="81"/>
      <name val="Tahoma"/>
      <family val="2"/>
    </font>
    <font>
      <b/>
      <sz val="11"/>
      <color rgb="FFC00000"/>
      <name val="Aptos Narrow"/>
      <family val="2"/>
      <scheme val="minor"/>
    </font>
    <font>
      <b/>
      <sz val="11"/>
      <color theme="1"/>
      <name val="Arial"/>
      <family val="2"/>
    </font>
    <font>
      <b/>
      <sz val="11"/>
      <color rgb="FFFF0000"/>
      <name val="Aptos Narrow"/>
      <family val="2"/>
      <scheme val="minor"/>
    </font>
    <font>
      <sz val="11"/>
      <name val="Calibri"/>
      <family val="2"/>
    </font>
    <font>
      <b/>
      <sz val="11"/>
      <color rgb="FF0033CC"/>
      <name val="Aptos Narrow"/>
      <family val="2"/>
      <scheme val="minor"/>
    </font>
    <font>
      <b/>
      <sz val="14"/>
      <color theme="1"/>
      <name val="Aptos Narrow"/>
      <family val="2"/>
      <scheme val="minor"/>
    </font>
    <font>
      <u/>
      <sz val="11"/>
      <color theme="10"/>
      <name val="Aptos Narrow"/>
      <family val="2"/>
      <scheme val="minor"/>
    </font>
    <font>
      <b/>
      <u/>
      <sz val="11"/>
      <color rgb="FF0033CC"/>
      <name val="Aptos Narrow"/>
      <family val="2"/>
      <scheme val="minor"/>
    </font>
    <font>
      <sz val="8"/>
      <name val="Aptos Narrow"/>
      <family val="2"/>
      <scheme val="minor"/>
    </font>
    <font>
      <b/>
      <sz val="11"/>
      <color rgb="FF0033CC"/>
      <name val="Arial"/>
      <family val="2"/>
    </font>
    <font>
      <sz val="11"/>
      <color theme="0"/>
      <name val="Aptos Narrow"/>
      <family val="2"/>
      <scheme val="minor"/>
    </font>
    <font>
      <b/>
      <sz val="11"/>
      <color theme="9" tint="-0.499984740745262"/>
      <name val="Aptos Narrow"/>
      <family val="2"/>
      <scheme val="minor"/>
    </font>
    <font>
      <sz val="10"/>
      <name val="MS Sans Serif"/>
      <family val="2"/>
    </font>
    <font>
      <b/>
      <sz val="14"/>
      <color rgb="FFFFFF00"/>
      <name val="Aptos Narrow"/>
      <family val="2"/>
      <scheme val="minor"/>
    </font>
    <font>
      <b/>
      <u/>
      <sz val="14"/>
      <color rgb="FF0033CC"/>
      <name val="Aptos Narrow"/>
      <family val="2"/>
      <scheme val="minor"/>
    </font>
    <font>
      <sz val="14"/>
      <color theme="1"/>
      <name val="Aptos Narrow"/>
      <family val="2"/>
      <scheme val="minor"/>
    </font>
    <font>
      <b/>
      <sz val="10"/>
      <color theme="1"/>
      <name val="Arial"/>
      <family val="2"/>
    </font>
    <font>
      <sz val="10"/>
      <color theme="1"/>
      <name val="Arial"/>
      <family val="2"/>
    </font>
    <font>
      <sz val="9"/>
      <color indexed="81"/>
      <name val="Tahoma"/>
      <family val="2"/>
    </font>
    <font>
      <sz val="11"/>
      <color theme="9" tint="-0.499984740745262"/>
      <name val="Aptos Narrow"/>
      <family val="2"/>
      <scheme val="minor"/>
    </font>
    <font>
      <sz val="11"/>
      <color rgb="FFC00000"/>
      <name val="Aptos Narrow"/>
      <family val="2"/>
      <scheme val="minor"/>
    </font>
    <font>
      <sz val="11"/>
      <color theme="1"/>
      <name val="Calibri"/>
      <family val="2"/>
    </font>
    <font>
      <b/>
      <sz val="11"/>
      <color theme="5" tint="-0.499984740745262"/>
      <name val="Aptos Narrow"/>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
      <patternFill patternType="solid">
        <fgColor rgb="FFC00000"/>
        <bgColor indexed="64"/>
      </patternFill>
    </fill>
    <fill>
      <patternFill patternType="solid">
        <fgColor rgb="FFFFFF00"/>
        <bgColor indexed="64"/>
      </patternFill>
    </fill>
    <fill>
      <patternFill patternType="solid">
        <fgColor rgb="FF99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9FFCC"/>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3" tint="0.89999084444715716"/>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99FF66"/>
        <bgColor indexed="64"/>
      </patternFill>
    </fill>
    <fill>
      <patternFill patternType="solid">
        <fgColor theme="5" tint="-0.249977111117893"/>
        <bgColor indexed="64"/>
      </patternFill>
    </fill>
    <fill>
      <patternFill patternType="solid">
        <fgColor rgb="FF669900"/>
        <bgColor indexed="64"/>
      </patternFill>
    </fill>
    <fill>
      <patternFill patternType="solid">
        <fgColor rgb="FFCCFF99"/>
        <bgColor indexed="64"/>
      </patternFill>
    </fill>
    <fill>
      <patternFill patternType="solid">
        <fgColor theme="0" tint="-0.34998626667073579"/>
        <bgColor indexed="64"/>
      </patternFill>
    </fill>
    <fill>
      <patternFill patternType="solid">
        <fgColor rgb="FF66FFFF"/>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rgb="FF0033CC"/>
      </left>
      <right style="medium">
        <color rgb="FF0033CC"/>
      </right>
      <top style="medium">
        <color rgb="FF0033CC"/>
      </top>
      <bottom style="medium">
        <color rgb="FF0033CC"/>
      </bottom>
      <diagonal/>
    </border>
    <border>
      <left style="medium">
        <color theme="9" tint="-0.499984740745262"/>
      </left>
      <right style="medium">
        <color theme="9" tint="-0.499984740745262"/>
      </right>
      <top style="medium">
        <color rgb="FF0033CC"/>
      </top>
      <bottom style="medium">
        <color theme="9"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theme="9" tint="-0.499984740745262"/>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8" fontId="14" fillId="0" borderId="0"/>
    <xf numFmtId="10" fontId="14" fillId="0" borderId="0"/>
    <xf numFmtId="0" fontId="17" fillId="0" borderId="0" applyNumberFormat="0" applyFill="0" applyBorder="0" applyAlignment="0" applyProtection="0"/>
    <xf numFmtId="0" fontId="23" fillId="0" borderId="0"/>
  </cellStyleXfs>
  <cellXfs count="301">
    <xf numFmtId="0" fontId="0" fillId="0" borderId="0" xfId="0"/>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64" fontId="4" fillId="0" borderId="1" xfId="0" applyNumberFormat="1" applyFont="1" applyBorder="1" applyAlignment="1">
      <alignment vertical="center" wrapText="1"/>
    </xf>
    <xf numFmtId="0" fontId="0" fillId="0" borderId="1" xfId="0"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7"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0" borderId="1" xfId="0" applyBorder="1" applyAlignment="1">
      <alignment horizontal="center"/>
    </xf>
    <xf numFmtId="4" fontId="0" fillId="0" borderId="0" xfId="0" applyNumberFormat="1"/>
    <xf numFmtId="4" fontId="3" fillId="0" borderId="0" xfId="0" applyNumberFormat="1" applyFont="1"/>
    <xf numFmtId="0" fontId="3" fillId="0" borderId="0" xfId="0" applyFont="1" applyAlignment="1">
      <alignment horizontal="right" indent="1"/>
    </xf>
    <xf numFmtId="4" fontId="0" fillId="8" borderId="1" xfId="0" applyNumberFormat="1" applyFill="1" applyBorder="1"/>
    <xf numFmtId="0" fontId="0" fillId="8" borderId="1" xfId="0" applyFill="1" applyBorder="1" applyAlignment="1">
      <alignment horizontal="right"/>
    </xf>
    <xf numFmtId="3" fontId="0" fillId="8" borderId="1" xfId="0" applyNumberFormat="1" applyFill="1" applyBorder="1"/>
    <xf numFmtId="4" fontId="3" fillId="8" borderId="1" xfId="0" applyNumberFormat="1" applyFont="1" applyFill="1" applyBorder="1"/>
    <xf numFmtId="4" fontId="3" fillId="0" borderId="1" xfId="0" applyNumberFormat="1" applyFont="1" applyBorder="1"/>
    <xf numFmtId="0" fontId="0" fillId="2" borderId="1" xfId="0" applyFill="1" applyBorder="1"/>
    <xf numFmtId="4" fontId="0" fillId="0" borderId="1" xfId="0" applyNumberFormat="1" applyBorder="1"/>
    <xf numFmtId="0" fontId="3" fillId="9" borderId="1" xfId="0" applyFont="1" applyFill="1" applyBorder="1" applyAlignment="1">
      <alignment horizontal="center" vertical="center" wrapText="1"/>
    </xf>
    <xf numFmtId="165" fontId="0" fillId="8" borderId="1" xfId="0" applyNumberFormat="1" applyFill="1" applyBorder="1"/>
    <xf numFmtId="165" fontId="3" fillId="0" borderId="0" xfId="0" applyNumberFormat="1" applyFont="1"/>
    <xf numFmtId="165" fontId="0" fillId="0" borderId="1" xfId="0" applyNumberFormat="1" applyBorder="1"/>
    <xf numFmtId="0" fontId="0" fillId="0" borderId="0" xfId="0" quotePrefix="1"/>
    <xf numFmtId="0" fontId="2" fillId="0" borderId="0" xfId="0" applyFont="1" applyAlignment="1">
      <alignment horizontal="right" indent="1"/>
    </xf>
    <xf numFmtId="165" fontId="0" fillId="0" borderId="0" xfId="0" applyNumberFormat="1"/>
    <xf numFmtId="0" fontId="3" fillId="4" borderId="1" xfId="0" applyFont="1" applyFill="1" applyBorder="1" applyAlignment="1">
      <alignment horizontal="center"/>
    </xf>
    <xf numFmtId="10" fontId="0" fillId="0" borderId="1" xfId="0" applyNumberFormat="1" applyBorder="1"/>
    <xf numFmtId="0" fontId="0" fillId="9" borderId="1" xfId="0" applyFill="1" applyBorder="1"/>
    <xf numFmtId="4" fontId="0" fillId="8" borderId="4" xfId="0" applyNumberFormat="1" applyFill="1" applyBorder="1"/>
    <xf numFmtId="0" fontId="3" fillId="0" borderId="0" xfId="0" applyFont="1" applyAlignment="1">
      <alignment horizontal="left"/>
    </xf>
    <xf numFmtId="0" fontId="4" fillId="0" borderId="6" xfId="0" applyFont="1" applyBorder="1" applyAlignment="1">
      <alignment vertical="center" wrapText="1"/>
    </xf>
    <xf numFmtId="0" fontId="4" fillId="0" borderId="0" xfId="0" applyFont="1" applyAlignment="1">
      <alignment vertical="center" wrapText="1"/>
    </xf>
    <xf numFmtId="0" fontId="0" fillId="0" borderId="1" xfId="0" applyBorder="1" applyAlignment="1">
      <alignment vertical="center" wrapText="1"/>
    </xf>
    <xf numFmtId="0" fontId="12" fillId="2" borderId="1" xfId="0" applyFont="1" applyFill="1" applyBorder="1" applyAlignment="1">
      <alignment horizontal="center" vertical="center"/>
    </xf>
    <xf numFmtId="0" fontId="3" fillId="13" borderId="1" xfId="0" applyFont="1" applyFill="1" applyBorder="1" applyAlignment="1">
      <alignment horizontal="center"/>
    </xf>
    <xf numFmtId="0" fontId="3" fillId="0" borderId="0" xfId="0" applyFont="1"/>
    <xf numFmtId="0" fontId="0" fillId="0" borderId="1" xfId="0" applyBorder="1" applyAlignment="1">
      <alignment horizontal="center" vertical="center" wrapText="1"/>
    </xf>
    <xf numFmtId="166" fontId="4" fillId="0" borderId="1" xfId="0" applyNumberFormat="1" applyFont="1" applyBorder="1" applyAlignment="1">
      <alignment horizontal="center" vertical="center" wrapText="1"/>
    </xf>
    <xf numFmtId="14" fontId="0" fillId="8" borderId="9" xfId="0" applyNumberFormat="1" applyFill="1" applyBorder="1" applyAlignment="1">
      <alignment vertical="center"/>
    </xf>
    <xf numFmtId="0" fontId="0" fillId="0" borderId="9" xfId="0" applyBorder="1" applyAlignment="1">
      <alignment vertical="center"/>
    </xf>
    <xf numFmtId="0" fontId="0" fillId="0" borderId="0" xfId="0" applyAlignment="1">
      <alignment vertical="center"/>
    </xf>
    <xf numFmtId="0" fontId="0" fillId="5" borderId="0" xfId="0" applyFill="1"/>
    <xf numFmtId="14" fontId="0" fillId="8" borderId="1" xfId="0" applyNumberFormat="1" applyFill="1" applyBorder="1"/>
    <xf numFmtId="0" fontId="0" fillId="8" borderId="1" xfId="0" applyFill="1" applyBorder="1"/>
    <xf numFmtId="0" fontId="16" fillId="0" borderId="0" xfId="0" applyFont="1"/>
    <xf numFmtId="168" fontId="0" fillId="0" borderId="0" xfId="0" applyNumberFormat="1"/>
    <xf numFmtId="168" fontId="0" fillId="8" borderId="0" xfId="0" applyNumberFormat="1" applyFill="1"/>
    <xf numFmtId="4" fontId="0" fillId="8" borderId="0" xfId="0" applyNumberFormat="1" applyFill="1"/>
    <xf numFmtId="10" fontId="0" fillId="8" borderId="0" xfId="0" applyNumberFormat="1" applyFill="1"/>
    <xf numFmtId="0" fontId="13" fillId="0" borderId="0" xfId="0" applyFont="1"/>
    <xf numFmtId="9" fontId="0" fillId="8" borderId="8" xfId="1" applyFont="1" applyFill="1" applyBorder="1"/>
    <xf numFmtId="0" fontId="11" fillId="0" borderId="0" xfId="0" applyFont="1" applyAlignment="1">
      <alignment horizontal="center"/>
    </xf>
    <xf numFmtId="0" fontId="3" fillId="0" borderId="0" xfId="0" applyFont="1" applyAlignment="1">
      <alignment horizontal="left" inden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9" fontId="0" fillId="8" borderId="1" xfId="1" applyFont="1" applyFill="1" applyBorder="1"/>
    <xf numFmtId="164" fontId="6" fillId="0" borderId="1" xfId="0" applyNumberFormat="1" applyFont="1" applyBorder="1" applyAlignment="1">
      <alignment vertical="center" wrapText="1"/>
    </xf>
    <xf numFmtId="4" fontId="0" fillId="0" borderId="7" xfId="0" applyNumberFormat="1" applyBorder="1"/>
    <xf numFmtId="0" fontId="4" fillId="2" borderId="11" xfId="0" applyFont="1" applyFill="1" applyBorder="1" applyAlignment="1">
      <alignment horizontal="center" vertical="center" wrapText="1"/>
    </xf>
    <xf numFmtId="164" fontId="4" fillId="0" borderId="0" xfId="0" applyNumberFormat="1" applyFont="1" applyAlignment="1">
      <alignment horizontal="center" vertical="center" wrapText="1"/>
    </xf>
    <xf numFmtId="0" fontId="12" fillId="2" borderId="11" xfId="0" applyFont="1" applyFill="1" applyBorder="1" applyAlignment="1">
      <alignment horizontal="center" vertical="center" wrapText="1"/>
    </xf>
    <xf numFmtId="0" fontId="0" fillId="0" borderId="0" xfId="0" applyAlignment="1">
      <alignment horizontal="center"/>
    </xf>
    <xf numFmtId="0" fontId="4" fillId="0" borderId="8" xfId="0" applyFont="1" applyBorder="1" applyAlignment="1">
      <alignment vertical="center" wrapText="1"/>
    </xf>
    <xf numFmtId="0" fontId="21" fillId="0" borderId="0" xfId="0" applyFont="1"/>
    <xf numFmtId="0" fontId="3" fillId="8" borderId="1" xfId="0" applyFont="1" applyFill="1" applyBorder="1" applyAlignment="1" applyProtection="1">
      <alignment horizontal="center" vertical="center"/>
      <protection locked="0"/>
    </xf>
    <xf numFmtId="0" fontId="0" fillId="0" borderId="1" xfId="0" applyBorder="1" applyAlignment="1">
      <alignment vertical="center"/>
    </xf>
    <xf numFmtId="164" fontId="6" fillId="13" borderId="1" xfId="0" applyNumberFormat="1" applyFont="1" applyFill="1" applyBorder="1" applyAlignment="1">
      <alignment horizontal="center" vertical="center" wrapText="1"/>
    </xf>
    <xf numFmtId="0" fontId="7" fillId="5" borderId="4" xfId="0" applyFont="1" applyFill="1" applyBorder="1" applyAlignment="1">
      <alignment horizontal="center" vertical="center"/>
    </xf>
    <xf numFmtId="0" fontId="7" fillId="17" borderId="4" xfId="0" applyFont="1" applyFill="1" applyBorder="1" applyAlignment="1">
      <alignment horizontal="center" vertical="center"/>
    </xf>
    <xf numFmtId="0" fontId="7" fillId="5" borderId="1" xfId="0" applyFont="1" applyFill="1" applyBorder="1" applyAlignment="1">
      <alignment vertical="center"/>
    </xf>
    <xf numFmtId="164" fontId="6" fillId="9" borderId="1" xfId="0" applyNumberFormat="1" applyFont="1" applyFill="1" applyBorder="1" applyAlignment="1">
      <alignment horizontal="center" vertical="center" wrapText="1"/>
    </xf>
    <xf numFmtId="0" fontId="6" fillId="9" borderId="1" xfId="0" applyFont="1" applyFill="1" applyBorder="1" applyAlignment="1">
      <alignment horizontal="justify" vertical="center" wrapText="1"/>
    </xf>
    <xf numFmtId="0" fontId="0" fillId="8" borderId="1" xfId="0" applyFill="1" applyBorder="1" applyAlignment="1">
      <alignment horizontal="center"/>
    </xf>
    <xf numFmtId="0" fontId="3" fillId="14" borderId="0" xfId="0" applyFont="1" applyFill="1"/>
    <xf numFmtId="0" fontId="0" fillId="14" borderId="0" xfId="0" applyFill="1"/>
    <xf numFmtId="0" fontId="11" fillId="0" borderId="0" xfId="0" applyFont="1"/>
    <xf numFmtId="0" fontId="18" fillId="3" borderId="0" xfId="4" applyFont="1" applyFill="1" applyAlignment="1" applyProtection="1">
      <alignment horizontal="center"/>
      <protection locked="0"/>
    </xf>
    <xf numFmtId="0" fontId="3" fillId="19" borderId="1"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xf numFmtId="0" fontId="4" fillId="0" borderId="1" xfId="0" applyFont="1" applyBorder="1"/>
    <xf numFmtId="0" fontId="3" fillId="19" borderId="8"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27" fillId="11" borderId="1" xfId="0" applyFont="1" applyFill="1" applyBorder="1" applyAlignment="1">
      <alignment horizontal="center" vertical="center"/>
    </xf>
    <xf numFmtId="164" fontId="4" fillId="0" borderId="1" xfId="0" applyNumberFormat="1" applyFont="1" applyBorder="1" applyAlignment="1">
      <alignment horizontal="left" vertical="center" wrapText="1"/>
    </xf>
    <xf numFmtId="0" fontId="4" fillId="0" borderId="1" xfId="0" applyFont="1" applyBorder="1" applyAlignment="1">
      <alignment wrapText="1"/>
    </xf>
    <xf numFmtId="164" fontId="6" fillId="0" borderId="1" xfId="0" applyNumberFormat="1" applyFont="1" applyBorder="1" applyAlignment="1">
      <alignment horizontal="justify" vertical="center" wrapText="1"/>
    </xf>
    <xf numFmtId="0" fontId="6" fillId="0" borderId="1" xfId="0" applyFont="1" applyBorder="1" applyAlignment="1">
      <alignment horizontal="justify" vertical="center" wrapText="1"/>
    </xf>
    <xf numFmtId="4" fontId="0" fillId="0" borderId="1" xfId="0" applyNumberFormat="1" applyBorder="1" applyAlignment="1">
      <alignment vertical="center" wrapText="1"/>
    </xf>
    <xf numFmtId="0" fontId="3" fillId="16" borderId="1"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7" borderId="8" xfId="0" applyFont="1" applyFill="1" applyBorder="1" applyAlignment="1">
      <alignment horizontal="center" vertical="center"/>
    </xf>
    <xf numFmtId="0" fontId="7" fillId="5" borderId="8" xfId="0" applyFont="1" applyFill="1" applyBorder="1" applyAlignment="1">
      <alignment horizontal="center" vertical="center"/>
    </xf>
    <xf numFmtId="0" fontId="0" fillId="0" borderId="0" xfId="0" applyAlignment="1">
      <alignment horizontal="right" indent="1"/>
    </xf>
    <xf numFmtId="164" fontId="6" fillId="20" borderId="1" xfId="0" applyNumberFormat="1" applyFont="1" applyFill="1" applyBorder="1" applyAlignment="1">
      <alignment horizontal="center" vertical="center" wrapText="1"/>
    </xf>
    <xf numFmtId="4" fontId="0" fillId="20" borderId="1" xfId="0" applyNumberFormat="1" applyFill="1" applyBorder="1"/>
    <xf numFmtId="0" fontId="0" fillId="0" borderId="1" xfId="0" applyBorder="1" applyAlignment="1">
      <alignment horizontal="left"/>
    </xf>
    <xf numFmtId="0" fontId="3" fillId="0" borderId="0" xfId="0" applyFont="1" applyAlignment="1">
      <alignment horizontal="center"/>
    </xf>
    <xf numFmtId="164" fontId="4" fillId="15" borderId="8" xfId="0" applyNumberFormat="1" applyFont="1" applyFill="1" applyBorder="1" applyAlignment="1">
      <alignment horizontal="center" vertical="center" wrapText="1"/>
    </xf>
    <xf numFmtId="0" fontId="6" fillId="15" borderId="1" xfId="0" applyFont="1" applyFill="1" applyBorder="1" applyAlignment="1">
      <alignment vertical="center" wrapText="1"/>
    </xf>
    <xf numFmtId="4" fontId="0" fillId="15" borderId="1" xfId="0" applyNumberFormat="1" applyFill="1" applyBorder="1"/>
    <xf numFmtId="0" fontId="13" fillId="0" borderId="0" xfId="0" applyFont="1" applyAlignment="1">
      <alignment horizontal="center"/>
    </xf>
    <xf numFmtId="0" fontId="3" fillId="22" borderId="1" xfId="0" applyFont="1" applyFill="1" applyBorder="1" applyAlignment="1">
      <alignment horizontal="center"/>
    </xf>
    <xf numFmtId="0" fontId="0" fillId="8" borderId="1" xfId="0" applyFill="1" applyBorder="1" applyAlignment="1">
      <alignment horizontal="left"/>
    </xf>
    <xf numFmtId="4" fontId="0" fillId="0" borderId="1" xfId="0" applyNumberFormat="1" applyBorder="1" applyAlignment="1">
      <alignment horizontal="right"/>
    </xf>
    <xf numFmtId="0" fontId="3" fillId="8" borderId="1" xfId="0" applyFont="1" applyFill="1" applyBorder="1" applyAlignment="1">
      <alignment horizontal="right" indent="1"/>
    </xf>
    <xf numFmtId="0" fontId="0" fillId="0" borderId="0" xfId="0" applyAlignment="1">
      <alignment horizontal="left"/>
    </xf>
    <xf numFmtId="3" fontId="0" fillId="0" borderId="1" xfId="0" applyNumberFormat="1" applyBorder="1"/>
    <xf numFmtId="0" fontId="4" fillId="0" borderId="4" xfId="0" applyFont="1" applyBorder="1" applyAlignment="1">
      <alignment vertical="center" wrapText="1"/>
    </xf>
    <xf numFmtId="4" fontId="0" fillId="0" borderId="4" xfId="0" applyNumberFormat="1" applyBorder="1"/>
    <xf numFmtId="0" fontId="15" fillId="0" borderId="16" xfId="0" applyFont="1" applyBorder="1" applyAlignment="1">
      <alignment horizontal="left" indent="1"/>
    </xf>
    <xf numFmtId="0" fontId="0" fillId="0" borderId="16" xfId="0" applyBorder="1" applyAlignment="1">
      <alignment horizontal="right"/>
    </xf>
    <xf numFmtId="166" fontId="0" fillId="0" borderId="16" xfId="0" applyNumberFormat="1" applyBorder="1" applyAlignment="1">
      <alignment horizontal="right"/>
    </xf>
    <xf numFmtId="0" fontId="22" fillId="0" borderId="17" xfId="0" applyFont="1" applyBorder="1" applyAlignment="1">
      <alignment horizontal="left" indent="1"/>
    </xf>
    <xf numFmtId="0" fontId="22" fillId="0" borderId="18" xfId="0" applyFont="1" applyBorder="1" applyAlignment="1">
      <alignment horizontal="left" indent="1"/>
    </xf>
    <xf numFmtId="0" fontId="11" fillId="0" borderId="19" xfId="0" applyFont="1" applyBorder="1" applyAlignment="1">
      <alignment horizontal="left" indent="1"/>
    </xf>
    <xf numFmtId="0" fontId="11" fillId="0" borderId="20" xfId="0" applyFont="1" applyBorder="1" applyAlignment="1">
      <alignment horizontal="left" indent="1"/>
    </xf>
    <xf numFmtId="4" fontId="0" fillId="0" borderId="16" xfId="0" applyNumberFormat="1" applyBorder="1" applyAlignment="1">
      <alignment horizontal="right"/>
    </xf>
    <xf numFmtId="0" fontId="30" fillId="0" borderId="17" xfId="0" applyFont="1" applyBorder="1" applyAlignment="1">
      <alignment horizontal="right"/>
    </xf>
    <xf numFmtId="0" fontId="30" fillId="0" borderId="18" xfId="0" applyFont="1" applyBorder="1" applyAlignment="1">
      <alignment horizontal="right"/>
    </xf>
    <xf numFmtId="166" fontId="30" fillId="0" borderId="18" xfId="0" applyNumberFormat="1" applyFont="1" applyBorder="1" applyAlignment="1">
      <alignment horizontal="right"/>
    </xf>
    <xf numFmtId="4" fontId="30" fillId="0" borderId="18" xfId="0" applyNumberFormat="1" applyFont="1" applyBorder="1" applyAlignment="1">
      <alignment horizontal="right"/>
    </xf>
    <xf numFmtId="0" fontId="31" fillId="0" borderId="19" xfId="0" applyFont="1" applyBorder="1" applyAlignment="1">
      <alignment horizontal="right"/>
    </xf>
    <xf numFmtId="0" fontId="31" fillId="0" borderId="20" xfId="0" applyFont="1" applyBorder="1" applyAlignment="1">
      <alignment horizontal="right"/>
    </xf>
    <xf numFmtId="166" fontId="31" fillId="0" borderId="20" xfId="0" applyNumberFormat="1" applyFont="1" applyBorder="1" applyAlignment="1">
      <alignment horizontal="right"/>
    </xf>
    <xf numFmtId="4" fontId="31" fillId="0" borderId="20" xfId="0" applyNumberFormat="1" applyFont="1" applyBorder="1" applyAlignment="1">
      <alignment horizontal="right"/>
    </xf>
    <xf numFmtId="0" fontId="3" fillId="23" borderId="1" xfId="0" applyFont="1" applyFill="1" applyBorder="1" applyAlignment="1">
      <alignment horizontal="center" vertical="center"/>
    </xf>
    <xf numFmtId="0" fontId="3" fillId="23" borderId="1" xfId="0" applyFont="1" applyFill="1" applyBorder="1" applyAlignment="1">
      <alignment horizontal="center" vertical="center" wrapText="1"/>
    </xf>
    <xf numFmtId="4" fontId="0" fillId="0" borderId="1" xfId="0" quotePrefix="1" applyNumberFormat="1" applyBorder="1"/>
    <xf numFmtId="0" fontId="0" fillId="24" borderId="1" xfId="0" applyFill="1" applyBorder="1"/>
    <xf numFmtId="4" fontId="0" fillId="8" borderId="4" xfId="1" applyNumberFormat="1" applyFont="1" applyFill="1" applyBorder="1"/>
    <xf numFmtId="4" fontId="0" fillId="0" borderId="8" xfId="1" applyNumberFormat="1" applyFont="1" applyFill="1" applyBorder="1"/>
    <xf numFmtId="0" fontId="11" fillId="0" borderId="0" xfId="0" applyFont="1" applyAlignment="1">
      <alignment horizontal="right" indent="1"/>
    </xf>
    <xf numFmtId="4" fontId="11" fillId="0" borderId="0" xfId="0" applyNumberFormat="1" applyFont="1"/>
    <xf numFmtId="0" fontId="22" fillId="0" borderId="0" xfId="0" applyFont="1" applyAlignment="1">
      <alignment horizontal="right" indent="1"/>
    </xf>
    <xf numFmtId="4" fontId="30" fillId="0" borderId="0" xfId="0" applyNumberFormat="1" applyFont="1"/>
    <xf numFmtId="0" fontId="15" fillId="0" borderId="16" xfId="0" applyFont="1" applyBorder="1" applyAlignment="1">
      <alignment horizontal="right" indent="1"/>
    </xf>
    <xf numFmtId="4" fontId="15" fillId="0" borderId="16" xfId="0" applyNumberFormat="1" applyFont="1" applyBorder="1"/>
    <xf numFmtId="0" fontId="15" fillId="0" borderId="16" xfId="0" applyFont="1" applyBorder="1"/>
    <xf numFmtId="164" fontId="4" fillId="24" borderId="8" xfId="0" applyNumberFormat="1" applyFont="1" applyFill="1" applyBorder="1" applyAlignment="1">
      <alignment horizontal="center" vertical="center" wrapText="1"/>
    </xf>
    <xf numFmtId="4" fontId="0" fillId="24" borderId="1" xfId="0" applyNumberFormat="1" applyFill="1" applyBorder="1"/>
    <xf numFmtId="0" fontId="6" fillId="24" borderId="1" xfId="0" applyFont="1" applyFill="1" applyBorder="1" applyAlignment="1">
      <alignment vertical="center" wrapText="1"/>
    </xf>
    <xf numFmtId="164" fontId="6" fillId="0" borderId="0" xfId="0" applyNumberFormat="1"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4" fillId="0" borderId="1" xfId="0" applyFont="1" applyBorder="1" applyAlignment="1">
      <alignment vertical="center"/>
    </xf>
    <xf numFmtId="10" fontId="0" fillId="0" borderId="1" xfId="1" applyNumberFormat="1" applyFont="1" applyBorder="1"/>
    <xf numFmtId="0" fontId="3" fillId="0" borderId="0" xfId="0" applyFont="1" applyAlignment="1">
      <alignment horizontal="right"/>
    </xf>
    <xf numFmtId="0" fontId="0" fillId="27" borderId="0" xfId="0" applyFill="1"/>
    <xf numFmtId="0" fontId="2" fillId="0" borderId="0" xfId="0" applyFont="1"/>
    <xf numFmtId="4" fontId="21" fillId="0" borderId="0" xfId="0" applyNumberFormat="1" applyFont="1"/>
    <xf numFmtId="4" fontId="2" fillId="0" borderId="0" xfId="0" applyNumberFormat="1" applyFont="1"/>
    <xf numFmtId="168" fontId="21" fillId="0" borderId="0" xfId="0" applyNumberFormat="1" applyFont="1"/>
    <xf numFmtId="168" fontId="2" fillId="0" borderId="0" xfId="0" applyNumberFormat="1" applyFont="1"/>
    <xf numFmtId="4" fontId="21" fillId="0" borderId="1" xfId="0" applyNumberFormat="1" applyFont="1" applyBorder="1"/>
    <xf numFmtId="0" fontId="26" fillId="11" borderId="24" xfId="0" applyFont="1" applyFill="1" applyBorder="1"/>
    <xf numFmtId="0" fontId="26" fillId="13" borderId="24" xfId="0" applyFont="1" applyFill="1" applyBorder="1"/>
    <xf numFmtId="0" fontId="25" fillId="11" borderId="24" xfId="4" applyFont="1" applyFill="1" applyBorder="1" applyAlignment="1">
      <alignment horizontal="center"/>
    </xf>
    <xf numFmtId="0" fontId="25" fillId="13" borderId="24" xfId="4" applyFont="1" applyFill="1" applyBorder="1" applyAlignment="1">
      <alignment horizontal="center"/>
    </xf>
    <xf numFmtId="0" fontId="11" fillId="0" borderId="1" xfId="0" applyFont="1" applyBorder="1" applyAlignment="1">
      <alignment horizontal="center"/>
    </xf>
    <xf numFmtId="0" fontId="3" fillId="25" borderId="1" xfId="0" applyFont="1" applyFill="1" applyBorder="1" applyAlignment="1">
      <alignment horizontal="center" vertical="center"/>
    </xf>
    <xf numFmtId="0" fontId="7" fillId="12" borderId="0" xfId="0" applyFont="1" applyFill="1" applyAlignment="1">
      <alignment horizontal="center" vertical="center"/>
    </xf>
    <xf numFmtId="0" fontId="3" fillId="28" borderId="4" xfId="0" applyFont="1" applyFill="1" applyBorder="1" applyAlignment="1">
      <alignment horizontal="center" vertical="center"/>
    </xf>
    <xf numFmtId="0" fontId="3" fillId="28" borderId="1" xfId="0" applyFont="1" applyFill="1" applyBorder="1" applyAlignment="1">
      <alignment horizontal="center" vertical="center"/>
    </xf>
    <xf numFmtId="0" fontId="0" fillId="0" borderId="1" xfId="0" quotePrefix="1" applyBorder="1" applyAlignment="1">
      <alignment horizontal="center"/>
    </xf>
    <xf numFmtId="0" fontId="0" fillId="0" borderId="1" xfId="0" quotePrefix="1" applyBorder="1" applyAlignment="1">
      <alignment horizontal="center" vertical="center"/>
    </xf>
    <xf numFmtId="0" fontId="0" fillId="0" borderId="14" xfId="0" applyBorder="1"/>
    <xf numFmtId="0" fontId="3" fillId="0" borderId="14" xfId="0" applyFont="1" applyBorder="1" applyAlignment="1">
      <alignment horizontal="center"/>
    </xf>
    <xf numFmtId="0" fontId="0" fillId="0" borderId="0" xfId="0" applyAlignment="1">
      <alignment horizontal="right"/>
    </xf>
    <xf numFmtId="0" fontId="32" fillId="0" borderId="0" xfId="0" applyFont="1"/>
    <xf numFmtId="0" fontId="15" fillId="0" borderId="0" xfId="0" applyFont="1" applyAlignment="1">
      <alignment horizontal="right"/>
    </xf>
    <xf numFmtId="0" fontId="11" fillId="0" borderId="0" xfId="0" applyFont="1" applyAlignment="1">
      <alignment horizontal="right"/>
    </xf>
    <xf numFmtId="0" fontId="20" fillId="0" borderId="0" xfId="0" applyFont="1" applyAlignment="1">
      <alignment horizontal="right"/>
    </xf>
    <xf numFmtId="0" fontId="33" fillId="0" borderId="0" xfId="0" applyFont="1" applyAlignment="1">
      <alignment horizontal="right"/>
    </xf>
    <xf numFmtId="4" fontId="15" fillId="0" borderId="0" xfId="0" applyNumberFormat="1" applyFont="1"/>
    <xf numFmtId="0" fontId="4" fillId="2" borderId="1" xfId="0" applyFont="1" applyFill="1" applyBorder="1" applyAlignment="1">
      <alignment horizontal="center" vertical="center"/>
    </xf>
    <xf numFmtId="4" fontId="0" fillId="0" borderId="1" xfId="0" applyNumberFormat="1" applyBorder="1" applyAlignment="1">
      <alignment vertical="center"/>
    </xf>
    <xf numFmtId="0" fontId="4" fillId="2" borderId="21" xfId="0" applyFont="1" applyFill="1" applyBorder="1" applyAlignment="1">
      <alignment horizontal="center" vertical="center" wrapText="1"/>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justify"/>
    </xf>
    <xf numFmtId="0" fontId="24" fillId="14" borderId="12" xfId="0" applyFont="1" applyFill="1" applyBorder="1" applyAlignment="1">
      <alignment horizontal="center" vertical="center"/>
    </xf>
    <xf numFmtId="0" fontId="26" fillId="13" borderId="25" xfId="0" applyFont="1" applyFill="1" applyBorder="1"/>
    <xf numFmtId="0" fontId="25" fillId="13" borderId="25" xfId="4" applyFont="1" applyFill="1" applyBorder="1" applyAlignment="1">
      <alignment horizontal="center"/>
    </xf>
    <xf numFmtId="0" fontId="0" fillId="8" borderId="22" xfId="0" applyFill="1" applyBorder="1" applyAlignment="1" applyProtection="1">
      <alignment horizontal="center"/>
      <protection locked="0"/>
    </xf>
    <xf numFmtId="0" fontId="0" fillId="8" borderId="23" xfId="0" applyFill="1" applyBorder="1" applyAlignment="1" applyProtection="1">
      <alignment horizontal="center"/>
      <protection locked="0"/>
    </xf>
    <xf numFmtId="0" fontId="3" fillId="0" borderId="0" xfId="0" applyFont="1" applyAlignment="1">
      <alignment horizontal="center"/>
    </xf>
    <xf numFmtId="0" fontId="3" fillId="0" borderId="15" xfId="0" applyFont="1" applyBorder="1" applyAlignment="1">
      <alignment horizontal="center"/>
    </xf>
    <xf numFmtId="0" fontId="3" fillId="4" borderId="1" xfId="0" applyFont="1" applyFill="1" applyBorder="1" applyAlignment="1">
      <alignment horizontal="justify" vertical="center"/>
    </xf>
    <xf numFmtId="0" fontId="11" fillId="4" borderId="1" xfId="0" applyFont="1" applyFill="1" applyBorder="1" applyAlignment="1">
      <alignment horizontal="justify" vertical="center"/>
    </xf>
    <xf numFmtId="0" fontId="0" fillId="0" borderId="0" xfId="0" applyAlignment="1">
      <alignment horizontal="center"/>
    </xf>
    <xf numFmtId="0" fontId="11" fillId="9" borderId="1" xfId="0" applyFont="1" applyFill="1" applyBorder="1" applyAlignment="1">
      <alignment horizontal="justify" vertical="center" wrapText="1"/>
    </xf>
    <xf numFmtId="0" fontId="11" fillId="9" borderId="1" xfId="0" applyFont="1" applyFill="1" applyBorder="1" applyAlignment="1">
      <alignment horizontal="justify" vertical="center"/>
    </xf>
    <xf numFmtId="0" fontId="11" fillId="13" borderId="1" xfId="0" applyFont="1" applyFill="1" applyBorder="1" applyAlignment="1">
      <alignment horizontal="justify" vertical="center"/>
    </xf>
    <xf numFmtId="0" fontId="18" fillId="0" borderId="1" xfId="4" applyFont="1" applyBorder="1" applyAlignment="1">
      <alignment horizontal="left"/>
    </xf>
    <xf numFmtId="0" fontId="18" fillId="0" borderId="1" xfId="4" applyFont="1" applyBorder="1" applyAlignment="1">
      <alignment horizontal="left" wrapText="1"/>
    </xf>
    <xf numFmtId="0" fontId="2" fillId="18" borderId="1" xfId="0" applyFont="1" applyFill="1" applyBorder="1" applyAlignment="1">
      <alignment horizontal="center"/>
    </xf>
    <xf numFmtId="0" fontId="2" fillId="18" borderId="6" xfId="0" applyFont="1" applyFill="1" applyBorder="1" applyAlignment="1">
      <alignment horizontal="center"/>
    </xf>
    <xf numFmtId="0" fontId="2" fillId="18" borderId="5" xfId="0" applyFont="1" applyFill="1" applyBorder="1" applyAlignment="1">
      <alignment horizontal="center"/>
    </xf>
    <xf numFmtId="164" fontId="4" fillId="4" borderId="6" xfId="0" applyNumberFormat="1" applyFont="1" applyFill="1" applyBorder="1" applyAlignment="1">
      <alignment horizontal="justify" vertical="center" wrapText="1"/>
    </xf>
    <xf numFmtId="164" fontId="4" fillId="4" borderId="2" xfId="0" applyNumberFormat="1" applyFont="1" applyFill="1" applyBorder="1" applyAlignment="1">
      <alignment horizontal="justify" vertical="center" wrapText="1"/>
    </xf>
    <xf numFmtId="164" fontId="4" fillId="4" borderId="5" xfId="0" applyNumberFormat="1" applyFont="1" applyFill="1" applyBorder="1" applyAlignment="1">
      <alignment horizontal="justify" vertical="center" wrapText="1"/>
    </xf>
    <xf numFmtId="0" fontId="3" fillId="4" borderId="6"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28" fillId="11" borderId="1" xfId="0" applyFont="1" applyFill="1" applyBorder="1" applyAlignment="1">
      <alignment horizontal="justify" vertical="center" wrapText="1"/>
    </xf>
    <xf numFmtId="0" fontId="28" fillId="11" borderId="1" xfId="0" applyFont="1" applyFill="1" applyBorder="1" applyAlignment="1">
      <alignment horizontal="justify" vertical="center"/>
    </xf>
    <xf numFmtId="0" fontId="11" fillId="0" borderId="0" xfId="0" applyFont="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0" fontId="11" fillId="0" borderId="0" xfId="0" applyFont="1"/>
    <xf numFmtId="0" fontId="2" fillId="18" borderId="2" xfId="0" applyFont="1" applyFill="1" applyBorder="1" applyAlignment="1">
      <alignment horizontal="center"/>
    </xf>
    <xf numFmtId="0" fontId="4" fillId="0" borderId="1" xfId="0" applyFont="1" applyBorder="1" applyAlignment="1">
      <alignment horizontal="justify" wrapText="1"/>
    </xf>
    <xf numFmtId="0" fontId="3" fillId="4"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3" fillId="25" borderId="1" xfId="0" applyFont="1" applyFill="1" applyBorder="1" applyAlignment="1">
      <alignment horizontal="justify" vertical="center" wrapText="1"/>
    </xf>
    <xf numFmtId="0" fontId="3" fillId="25" borderId="1" xfId="0" applyFont="1" applyFill="1" applyBorder="1" applyAlignment="1">
      <alignment horizontal="justify" vertical="center"/>
    </xf>
    <xf numFmtId="0" fontId="7" fillId="14" borderId="7" xfId="0" applyFont="1" applyFill="1" applyBorder="1" applyAlignment="1">
      <alignment horizontal="center"/>
    </xf>
    <xf numFmtId="0" fontId="7" fillId="17" borderId="1" xfId="0" applyFont="1" applyFill="1" applyBorder="1" applyAlignment="1">
      <alignment horizontal="center" vertical="center"/>
    </xf>
    <xf numFmtId="164" fontId="6" fillId="0" borderId="6" xfId="0" applyNumberFormat="1" applyFont="1" applyBorder="1" applyAlignment="1">
      <alignment horizontal="justify" vertical="center" wrapText="1"/>
    </xf>
    <xf numFmtId="164" fontId="6" fillId="0" borderId="2" xfId="0" applyNumberFormat="1" applyFont="1" applyBorder="1" applyAlignment="1">
      <alignment horizontal="justify" vertical="center" wrapText="1"/>
    </xf>
    <xf numFmtId="164" fontId="6" fillId="0" borderId="5" xfId="0" applyNumberFormat="1" applyFont="1" applyBorder="1" applyAlignment="1">
      <alignment horizontal="justify" vertical="center" wrapText="1"/>
    </xf>
    <xf numFmtId="0" fontId="6" fillId="0" borderId="1" xfId="0" applyFont="1" applyBorder="1" applyAlignment="1">
      <alignment horizontal="left" vertical="center" wrapText="1"/>
    </xf>
    <xf numFmtId="0" fontId="3" fillId="13" borderId="1" xfId="0" applyFont="1" applyFill="1" applyBorder="1" applyAlignment="1">
      <alignment horizontal="justify" vertical="center" wrapText="1"/>
    </xf>
    <xf numFmtId="0" fontId="3" fillId="13" borderId="1" xfId="0" applyFont="1" applyFill="1" applyBorder="1" applyAlignment="1">
      <alignment horizontal="justify" vertical="center"/>
    </xf>
    <xf numFmtId="0" fontId="6" fillId="24" borderId="1" xfId="0" applyFont="1" applyFill="1" applyBorder="1" applyAlignment="1">
      <alignment horizontal="left" vertical="center" wrapText="1"/>
    </xf>
    <xf numFmtId="0" fontId="3" fillId="13" borderId="1" xfId="0" applyFont="1" applyFill="1" applyBorder="1" applyAlignment="1">
      <alignment horizontal="justify"/>
    </xf>
    <xf numFmtId="0" fontId="3" fillId="8" borderId="1" xfId="0" applyFont="1" applyFill="1" applyBorder="1" applyAlignment="1">
      <alignment horizontal="center"/>
    </xf>
    <xf numFmtId="0" fontId="0" fillId="9" borderId="1" xfId="0" applyFill="1" applyBorder="1" applyAlignment="1">
      <alignment horizontal="justify"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9" borderId="1" xfId="0" applyFont="1" applyFill="1" applyBorder="1" applyAlignment="1">
      <alignment horizontal="justify" vertical="center" wrapText="1"/>
    </xf>
    <xf numFmtId="0" fontId="3" fillId="9" borderId="1" xfId="0" applyFont="1" applyFill="1" applyBorder="1" applyAlignment="1">
      <alignment horizontal="justify" vertical="center"/>
    </xf>
    <xf numFmtId="0" fontId="13" fillId="0" borderId="1" xfId="0" applyFont="1" applyBorder="1" applyAlignment="1">
      <alignment horizontal="center"/>
    </xf>
    <xf numFmtId="0" fontId="3" fillId="21" borderId="1" xfId="0" applyFont="1" applyFill="1" applyBorder="1" applyAlignment="1">
      <alignment horizontal="justify" vertical="center" wrapText="1"/>
    </xf>
    <xf numFmtId="0" fontId="3" fillId="21" borderId="1" xfId="0" applyFont="1" applyFill="1" applyBorder="1" applyAlignment="1">
      <alignment horizontal="justify" vertical="center"/>
    </xf>
    <xf numFmtId="0" fontId="3" fillId="0" borderId="0" xfId="0" applyFont="1" applyAlignment="1">
      <alignment horizontal="left"/>
    </xf>
    <xf numFmtId="0" fontId="0" fillId="10" borderId="1" xfId="0" applyFill="1" applyBorder="1" applyAlignment="1">
      <alignment horizontal="justify" vertical="center" wrapText="1"/>
    </xf>
    <xf numFmtId="0" fontId="0" fillId="10" borderId="1" xfId="0" applyFill="1" applyBorder="1" applyAlignment="1">
      <alignment horizontal="justify" vertical="center"/>
    </xf>
    <xf numFmtId="0" fontId="7" fillId="14" borderId="0" xfId="0" applyFont="1" applyFill="1" applyAlignment="1">
      <alignment horizontal="center"/>
    </xf>
    <xf numFmtId="0" fontId="0" fillId="8" borderId="1" xfId="0" applyFill="1" applyBorder="1" applyAlignment="1">
      <alignment horizontal="center"/>
    </xf>
    <xf numFmtId="0" fontId="9" fillId="4" borderId="1" xfId="0" applyFont="1" applyFill="1" applyBorder="1" applyAlignment="1">
      <alignment horizontal="justify" vertical="center"/>
    </xf>
    <xf numFmtId="0" fontId="8" fillId="4" borderId="1" xfId="0" applyFont="1" applyFill="1" applyBorder="1" applyAlignment="1">
      <alignment horizontal="justify" vertical="center" wrapText="1"/>
    </xf>
    <xf numFmtId="0" fontId="8" fillId="4" borderId="1" xfId="0" applyFont="1" applyFill="1" applyBorder="1" applyAlignment="1">
      <alignment horizontal="justify" wrapText="1"/>
    </xf>
    <xf numFmtId="0" fontId="8" fillId="4" borderId="1" xfId="0" applyFont="1" applyFill="1" applyBorder="1" applyAlignment="1">
      <alignment horizontal="justify"/>
    </xf>
    <xf numFmtId="0" fontId="3" fillId="0" borderId="3" xfId="0" applyFont="1" applyBorder="1" applyAlignment="1">
      <alignment horizontal="right" indent="1"/>
    </xf>
    <xf numFmtId="0" fontId="6" fillId="13" borderId="1" xfId="0" applyFont="1" applyFill="1" applyBorder="1" applyAlignment="1">
      <alignment horizontal="center" vertical="center" wrapText="1"/>
    </xf>
    <xf numFmtId="0" fontId="0" fillId="7" borderId="1" xfId="0" applyFill="1" applyBorder="1" applyAlignment="1">
      <alignment horizontal="justify" vertical="center" wrapText="1"/>
    </xf>
    <xf numFmtId="0" fontId="0" fillId="7" borderId="1" xfId="0" applyFill="1" applyBorder="1" applyAlignment="1">
      <alignment horizontal="justify" vertical="center"/>
    </xf>
    <xf numFmtId="0" fontId="3" fillId="0" borderId="6" xfId="0" applyFont="1" applyBorder="1" applyAlignment="1">
      <alignment horizontal="center"/>
    </xf>
    <xf numFmtId="0" fontId="3" fillId="0" borderId="5" xfId="0" applyFont="1" applyBorder="1" applyAlignment="1">
      <alignment horizontal="center"/>
    </xf>
    <xf numFmtId="0" fontId="6" fillId="20" borderId="1" xfId="0" applyFont="1" applyFill="1" applyBorder="1" applyAlignment="1">
      <alignment horizontal="left" vertical="center" wrapText="1"/>
    </xf>
    <xf numFmtId="0" fontId="0" fillId="2" borderId="1" xfId="0" applyFill="1" applyBorder="1" applyAlignment="1">
      <alignment horizontal="center"/>
    </xf>
    <xf numFmtId="0" fontId="0" fillId="0" borderId="1" xfId="0" applyBorder="1" applyAlignment="1">
      <alignment horizontal="justify"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20" fillId="0" borderId="0" xfId="0" applyFont="1" applyAlignment="1">
      <alignment horizontal="right"/>
    </xf>
    <xf numFmtId="0" fontId="11" fillId="0" borderId="0" xfId="0" applyFont="1" applyAlignment="1">
      <alignment horizontal="justify" wrapText="1"/>
    </xf>
    <xf numFmtId="0" fontId="3" fillId="8" borderId="6" xfId="0" applyFont="1" applyFill="1" applyBorder="1" applyAlignment="1">
      <alignment horizontal="center"/>
    </xf>
    <xf numFmtId="0" fontId="3" fillId="8" borderId="5" xfId="0" applyFont="1" applyFill="1" applyBorder="1" applyAlignment="1">
      <alignment horizontal="center"/>
    </xf>
    <xf numFmtId="0" fontId="16" fillId="0" borderId="0" xfId="0" applyFont="1"/>
    <xf numFmtId="0" fontId="3" fillId="3" borderId="1" xfId="0" applyFont="1" applyFill="1" applyBorder="1"/>
    <xf numFmtId="0" fontId="3" fillId="0" borderId="10" xfId="0" applyFont="1" applyBorder="1" applyAlignment="1">
      <alignment horizontal="left"/>
    </xf>
    <xf numFmtId="0" fontId="7" fillId="26" borderId="6" xfId="0" applyFont="1" applyFill="1" applyBorder="1" applyAlignment="1">
      <alignment horizontal="left"/>
    </xf>
    <xf numFmtId="0" fontId="7" fillId="26" borderId="2" xfId="0" applyFont="1" applyFill="1" applyBorder="1" applyAlignment="1">
      <alignment horizontal="left"/>
    </xf>
    <xf numFmtId="0" fontId="7" fillId="26" borderId="5" xfId="0" applyFont="1" applyFill="1" applyBorder="1" applyAlignment="1">
      <alignment horizontal="left"/>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2" borderId="6" xfId="0" applyFont="1" applyFill="1" applyBorder="1" applyAlignment="1">
      <alignment horizontal="center"/>
    </xf>
    <xf numFmtId="0" fontId="3" fillId="2" borderId="5" xfId="0" applyFont="1" applyFill="1" applyBorder="1" applyAlignment="1">
      <alignment horizontal="center"/>
    </xf>
    <xf numFmtId="4" fontId="0" fillId="8" borderId="1" xfId="0" applyNumberFormat="1" applyFill="1" applyBorder="1" applyAlignment="1">
      <alignment vertical="center"/>
    </xf>
    <xf numFmtId="0" fontId="0" fillId="0" borderId="0" xfId="0" applyAlignment="1">
      <alignment horizontal="justify"/>
    </xf>
    <xf numFmtId="0" fontId="3" fillId="25" borderId="0" xfId="0" applyFont="1" applyFill="1" applyAlignment="1">
      <alignment horizontal="center" vertical="center"/>
    </xf>
    <xf numFmtId="0" fontId="18" fillId="0" borderId="1" xfId="4" applyFont="1" applyBorder="1" applyAlignment="1">
      <alignment vertical="center"/>
    </xf>
    <xf numFmtId="0" fontId="18" fillId="0" borderId="1" xfId="4" applyFont="1" applyBorder="1" applyAlignment="1">
      <alignment vertical="center" wrapText="1"/>
    </xf>
    <xf numFmtId="0" fontId="3" fillId="22" borderId="0" xfId="0" applyFont="1" applyFill="1" applyAlignment="1">
      <alignment horizont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18" fillId="0" borderId="1" xfId="4" applyFont="1" applyBorder="1" applyAlignment="1">
      <alignment horizontal="left" vertical="center"/>
    </xf>
    <xf numFmtId="0" fontId="3" fillId="0" borderId="1" xfId="0" applyFont="1" applyBorder="1" applyAlignment="1">
      <alignment vertical="center"/>
    </xf>
    <xf numFmtId="0" fontId="18" fillId="0" borderId="1" xfId="4" applyFont="1" applyBorder="1" applyAlignment="1">
      <alignment horizontal="justify" vertical="center" wrapText="1"/>
    </xf>
    <xf numFmtId="0" fontId="3" fillId="11" borderId="1" xfId="0" applyFont="1" applyFill="1" applyBorder="1" applyAlignment="1">
      <alignment horizontal="center" vertical="center" wrapText="1"/>
    </xf>
    <xf numFmtId="0" fontId="3" fillId="29" borderId="1" xfId="0" applyFont="1" applyFill="1" applyBorder="1" applyAlignment="1">
      <alignment horizontal="center" vertical="center"/>
    </xf>
    <xf numFmtId="4" fontId="0" fillId="0" borderId="0" xfId="0" applyNumberFormat="1" applyAlignment="1">
      <alignment vertical="center"/>
    </xf>
    <xf numFmtId="0" fontId="4" fillId="0" borderId="1" xfId="0" applyFont="1" applyBorder="1" applyAlignment="1">
      <alignment horizontal="justify" vertical="center" wrapText="1"/>
    </xf>
    <xf numFmtId="0" fontId="3" fillId="30" borderId="1" xfId="0" applyFont="1" applyFill="1" applyBorder="1" applyAlignment="1">
      <alignment horizontal="center" vertical="center"/>
    </xf>
    <xf numFmtId="0" fontId="3" fillId="30" borderId="1" xfId="0" applyFont="1" applyFill="1" applyBorder="1" applyAlignment="1">
      <alignment horizontal="center" vertical="center"/>
    </xf>
    <xf numFmtId="0" fontId="4" fillId="0" borderId="1" xfId="0" applyFont="1" applyBorder="1" applyAlignment="1">
      <alignment horizontal="justify" vertical="center" wrapText="1"/>
    </xf>
    <xf numFmtId="0" fontId="3" fillId="31" borderId="1" xfId="0" applyFont="1" applyFill="1" applyBorder="1" applyAlignment="1">
      <alignment horizontal="center" vertical="center"/>
    </xf>
    <xf numFmtId="0" fontId="4" fillId="0" borderId="0" xfId="0" applyFont="1" applyAlignment="1">
      <alignment horizontal="justify" vertical="center" wrapText="1"/>
    </xf>
    <xf numFmtId="0" fontId="3" fillId="19" borderId="1" xfId="0" applyFont="1" applyFill="1" applyBorder="1" applyAlignment="1">
      <alignment horizontal="center" vertical="center"/>
    </xf>
    <xf numFmtId="0" fontId="3" fillId="19" borderId="1" xfId="0" applyFont="1" applyFill="1" applyBorder="1" applyAlignment="1">
      <alignment horizontal="center" vertical="center"/>
    </xf>
  </cellXfs>
  <cellStyles count="6">
    <cellStyle name="currency" xfId="2" xr:uid="{9AB03076-35E8-4968-8537-5D05647610FB}"/>
    <cellStyle name="Hipervínculo" xfId="4" builtinId="8"/>
    <cellStyle name="Normal" xfId="0" builtinId="0"/>
    <cellStyle name="Normal 2 2" xfId="5" xr:uid="{C644F266-142D-4624-A3C7-BFC59B5D8894}"/>
    <cellStyle name="percent" xfId="3" xr:uid="{BD79E7F8-EB94-4FAE-BE93-AE94D8F90D89}"/>
    <cellStyle name="Porcentaje" xfId="1" builtinId="5"/>
  </cellStyles>
  <dxfs count="16">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numFmt numFmtId="4" formatCode="#,##0.00"/>
    </dxf>
    <dxf>
      <numFmt numFmtId="0" formatCode="General"/>
    </dxf>
    <dxf>
      <numFmt numFmtId="4" formatCode="#,##0.00"/>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FFFFCC"/>
      <color rgb="FF99FF33"/>
      <color rgb="FF0033CC"/>
      <color rgb="FF66FFFF"/>
      <color rgb="FF99FFCC"/>
      <color rgb="FF99FF66"/>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1.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twoCellAnchor editAs="oneCell">
    <xdr:from>
      <xdr:col>1</xdr:col>
      <xdr:colOff>25976</xdr:colOff>
      <xdr:row>2</xdr:row>
      <xdr:rowOff>34637</xdr:rowOff>
    </xdr:from>
    <xdr:to>
      <xdr:col>10</xdr:col>
      <xdr:colOff>109103</xdr:colOff>
      <xdr:row>27</xdr:row>
      <xdr:rowOff>38100</xdr:rowOff>
    </xdr:to>
    <xdr:pic>
      <xdr:nvPicPr>
        <xdr:cNvPr id="4" name="Imagen 3">
          <a:extLst>
            <a:ext uri="{FF2B5EF4-FFF2-40B4-BE49-F238E27FC236}">
              <a16:creationId xmlns:a16="http://schemas.microsoft.com/office/drawing/2014/main" id="{95CAE037-865B-917B-3373-BF07852EA3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681" y="432955"/>
          <a:ext cx="7590558" cy="5060372"/>
        </a:xfrm>
        <a:prstGeom prst="rect">
          <a:avLst/>
        </a:prstGeom>
      </xdr:spPr>
    </xdr:pic>
    <xdr:clientData/>
  </xdr:twoCellAnchor>
  <xdr:twoCellAnchor>
    <xdr:from>
      <xdr:col>1</xdr:col>
      <xdr:colOff>51954</xdr:colOff>
      <xdr:row>14</xdr:row>
      <xdr:rowOff>6928</xdr:rowOff>
    </xdr:from>
    <xdr:to>
      <xdr:col>5</xdr:col>
      <xdr:colOff>1021772</xdr:colOff>
      <xdr:row>15</xdr:row>
      <xdr:rowOff>83128</xdr:rowOff>
    </xdr:to>
    <xdr:sp macro="" textlink="">
      <xdr:nvSpPr>
        <xdr:cNvPr id="6" name="CuadroTexto 5">
          <a:extLst>
            <a:ext uri="{FF2B5EF4-FFF2-40B4-BE49-F238E27FC236}">
              <a16:creationId xmlns:a16="http://schemas.microsoft.com/office/drawing/2014/main" id="{D321C030-E81B-490E-90B4-35241AE887AD}"/>
            </a:ext>
          </a:extLst>
        </xdr:cNvPr>
        <xdr:cNvSpPr txBox="1"/>
      </xdr:nvSpPr>
      <xdr:spPr>
        <a:xfrm>
          <a:off x="389659" y="2985655"/>
          <a:ext cx="4182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kern="1200">
              <a:solidFill>
                <a:schemeClr val="tx1"/>
              </a:solidFill>
            </a:rPr>
            <a:t>Elaborado</a:t>
          </a:r>
          <a:r>
            <a:rPr lang="es-MX" sz="1100" b="1" kern="1200" baseline="0">
              <a:solidFill>
                <a:schemeClr val="tx1"/>
              </a:solidFill>
            </a:rPr>
            <a:t> por: C.P. Claudia Mendoza M. / C.P. Alberto Monroy S.</a:t>
          </a:r>
          <a:endParaRPr lang="es-MX" sz="1100" b="1" kern="1200">
            <a:solidFill>
              <a:schemeClr val="tx1"/>
            </a:solidFill>
          </a:endParaRPr>
        </a:p>
      </xdr:txBody>
    </xdr:sp>
    <xdr:clientData/>
  </xdr:twoCellAnchor>
  <xdr:twoCellAnchor editAs="oneCell">
    <xdr:from>
      <xdr:col>0</xdr:col>
      <xdr:colOff>225137</xdr:colOff>
      <xdr:row>41</xdr:row>
      <xdr:rowOff>84464</xdr:rowOff>
    </xdr:from>
    <xdr:to>
      <xdr:col>1</xdr:col>
      <xdr:colOff>510886</xdr:colOff>
      <xdr:row>45</xdr:row>
      <xdr:rowOff>172924</xdr:rowOff>
    </xdr:to>
    <xdr:pic>
      <xdr:nvPicPr>
        <xdr:cNvPr id="16" name="Imagen 15" descr="Lindo Perro Personaje Dibujos Animados Sentado Ilustración Vector de stock  por ©blueringmedia 658391462">
          <a:extLst>
            <a:ext uri="{FF2B5EF4-FFF2-40B4-BE49-F238E27FC236}">
              <a16:creationId xmlns:a16="http://schemas.microsoft.com/office/drawing/2014/main" id="{C954FFDB-DE07-6784-DE74-9ACE4E67FB28}"/>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5137" y="8189373"/>
          <a:ext cx="623454" cy="850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303067</xdr:colOff>
      <xdr:row>0</xdr:row>
      <xdr:rowOff>0</xdr:rowOff>
    </xdr:from>
    <xdr:to>
      <xdr:col>3</xdr:col>
      <xdr:colOff>353114</xdr:colOff>
      <xdr:row>3</xdr:row>
      <xdr:rowOff>86591</xdr:rowOff>
    </xdr:to>
    <xdr:pic>
      <xdr:nvPicPr>
        <xdr:cNvPr id="13" name="Imagen 12">
          <a:extLst>
            <a:ext uri="{FF2B5EF4-FFF2-40B4-BE49-F238E27FC236}">
              <a16:creationId xmlns:a16="http://schemas.microsoft.com/office/drawing/2014/main" id="{E0D5A010-690E-30E0-80FC-9E9F67BB28EC}"/>
            </a:ext>
          </a:extLst>
        </xdr:cNvPr>
        <xdr:cNvPicPr>
          <a:picLocks noChangeAspect="1"/>
        </xdr:cNvPicPr>
      </xdr:nvPicPr>
      <xdr:blipFill>
        <a:blip xmlns:r="http://schemas.openxmlformats.org/officeDocument/2006/relationships" r:embed="rId3"/>
        <a:stretch>
          <a:fillRect/>
        </a:stretch>
      </xdr:blipFill>
      <xdr:spPr>
        <a:xfrm>
          <a:off x="303067" y="0"/>
          <a:ext cx="1911752" cy="6754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1047750</xdr:colOff>
      <xdr:row>0</xdr:row>
      <xdr:rowOff>119063</xdr:rowOff>
    </xdr:from>
    <xdr:to>
      <xdr:col>3</xdr:col>
      <xdr:colOff>1962150</xdr:colOff>
      <xdr:row>2</xdr:row>
      <xdr:rowOff>147638</xdr:rowOff>
    </xdr:to>
    <xdr:pic>
      <xdr:nvPicPr>
        <xdr:cNvPr id="3" name="Imagen 2">
          <a:hlinkClick xmlns:r="http://schemas.openxmlformats.org/officeDocument/2006/relationships" r:id="rId1"/>
          <a:extLst>
            <a:ext uri="{FF2B5EF4-FFF2-40B4-BE49-F238E27FC236}">
              <a16:creationId xmlns:a16="http://schemas.microsoft.com/office/drawing/2014/main" id="{24841B3A-570F-45B0-BBC4-0F9B4CD9CA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08625" y="119063"/>
          <a:ext cx="914400"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2</xdr:row>
      <xdr:rowOff>133350</xdr:rowOff>
    </xdr:from>
    <xdr:to>
      <xdr:col>1</xdr:col>
      <xdr:colOff>981075</xdr:colOff>
      <xdr:row>2</xdr:row>
      <xdr:rowOff>542925</xdr:rowOff>
    </xdr:to>
    <xdr:pic>
      <xdr:nvPicPr>
        <xdr:cNvPr id="3" name="Imagen 2">
          <a:hlinkClick xmlns:r="http://schemas.openxmlformats.org/officeDocument/2006/relationships" r:id="rId1"/>
          <a:extLst>
            <a:ext uri="{FF2B5EF4-FFF2-40B4-BE49-F238E27FC236}">
              <a16:creationId xmlns:a16="http://schemas.microsoft.com/office/drawing/2014/main" id="{4F475658-4378-443E-945A-FC17BAC391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514350"/>
          <a:ext cx="91440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2359858</xdr:colOff>
      <xdr:row>0</xdr:row>
      <xdr:rowOff>33193</xdr:rowOff>
    </xdr:from>
    <xdr:ext cx="1924694" cy="937693"/>
    <xdr:sp macro="" textlink="">
      <xdr:nvSpPr>
        <xdr:cNvPr id="2" name="Rectángulo 1">
          <a:extLst>
            <a:ext uri="{FF2B5EF4-FFF2-40B4-BE49-F238E27FC236}">
              <a16:creationId xmlns:a16="http://schemas.microsoft.com/office/drawing/2014/main" id="{63DE4771-BD49-ECA1-BBF6-C926E9E096AE}"/>
            </a:ext>
          </a:extLst>
        </xdr:cNvPr>
        <xdr:cNvSpPr/>
      </xdr:nvSpPr>
      <xdr:spPr>
        <a:xfrm>
          <a:off x="2905381" y="33193"/>
          <a:ext cx="1924694" cy="937693"/>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103909</xdr:colOff>
      <xdr:row>0</xdr:row>
      <xdr:rowOff>86591</xdr:rowOff>
    </xdr:from>
    <xdr:to>
      <xdr:col>3</xdr:col>
      <xdr:colOff>1018309</xdr:colOff>
      <xdr:row>2</xdr:row>
      <xdr:rowOff>115166</xdr:rowOff>
    </xdr:to>
    <xdr:pic>
      <xdr:nvPicPr>
        <xdr:cNvPr id="2" name="Imagen 1">
          <a:hlinkClick xmlns:r="http://schemas.openxmlformats.org/officeDocument/2006/relationships" r:id="rId1"/>
          <a:extLst>
            <a:ext uri="{FF2B5EF4-FFF2-40B4-BE49-F238E27FC236}">
              <a16:creationId xmlns:a16="http://schemas.microsoft.com/office/drawing/2014/main" id="{55DB4BCB-F315-403F-96DA-620135D68C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2886" y="86591"/>
          <a:ext cx="914400"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587375</xdr:colOff>
      <xdr:row>1</xdr:row>
      <xdr:rowOff>63499</xdr:rowOff>
    </xdr:from>
    <xdr:to>
      <xdr:col>3</xdr:col>
      <xdr:colOff>1501775</xdr:colOff>
      <xdr:row>3</xdr:row>
      <xdr:rowOff>52387</xdr:rowOff>
    </xdr:to>
    <xdr:pic>
      <xdr:nvPicPr>
        <xdr:cNvPr id="2" name="Imagen 1">
          <a:hlinkClick xmlns:r="http://schemas.openxmlformats.org/officeDocument/2006/relationships" r:id="rId1"/>
          <a:extLst>
            <a:ext uri="{FF2B5EF4-FFF2-40B4-BE49-F238E27FC236}">
              <a16:creationId xmlns:a16="http://schemas.microsoft.com/office/drawing/2014/main" id="{63244BA9-8484-4761-B987-EE3C4D8E6B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28063" y="1023937"/>
          <a:ext cx="9144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484909</xdr:colOff>
      <xdr:row>1</xdr:row>
      <xdr:rowOff>60614</xdr:rowOff>
    </xdr:from>
    <xdr:to>
      <xdr:col>3</xdr:col>
      <xdr:colOff>1399309</xdr:colOff>
      <xdr:row>3</xdr:row>
      <xdr:rowOff>54552</xdr:rowOff>
    </xdr:to>
    <xdr:pic>
      <xdr:nvPicPr>
        <xdr:cNvPr id="2" name="Imagen 1">
          <a:hlinkClick xmlns:r="http://schemas.openxmlformats.org/officeDocument/2006/relationships" r:id="rId1"/>
          <a:extLst>
            <a:ext uri="{FF2B5EF4-FFF2-40B4-BE49-F238E27FC236}">
              <a16:creationId xmlns:a16="http://schemas.microsoft.com/office/drawing/2014/main" id="{6DF8B8A2-DEC2-4AD0-852C-0573C563E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72750" y="554182"/>
          <a:ext cx="914400"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493568</xdr:colOff>
      <xdr:row>0</xdr:row>
      <xdr:rowOff>484909</xdr:rowOff>
    </xdr:from>
    <xdr:to>
      <xdr:col>7</xdr:col>
      <xdr:colOff>645968</xdr:colOff>
      <xdr:row>2</xdr:row>
      <xdr:rowOff>28575</xdr:rowOff>
    </xdr:to>
    <xdr:pic>
      <xdr:nvPicPr>
        <xdr:cNvPr id="2" name="Imagen 1">
          <a:hlinkClick xmlns:r="http://schemas.openxmlformats.org/officeDocument/2006/relationships" r:id="rId1"/>
          <a:extLst>
            <a:ext uri="{FF2B5EF4-FFF2-40B4-BE49-F238E27FC236}">
              <a16:creationId xmlns:a16="http://schemas.microsoft.com/office/drawing/2014/main" id="{38A62407-870D-4BD6-9991-94AB47A2E4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39545" y="484909"/>
          <a:ext cx="91440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43296</xdr:colOff>
      <xdr:row>0</xdr:row>
      <xdr:rowOff>112568</xdr:rowOff>
    </xdr:from>
    <xdr:to>
      <xdr:col>4</xdr:col>
      <xdr:colOff>957696</xdr:colOff>
      <xdr:row>2</xdr:row>
      <xdr:rowOff>141143</xdr:rowOff>
    </xdr:to>
    <xdr:pic>
      <xdr:nvPicPr>
        <xdr:cNvPr id="3" name="Imagen 2">
          <a:hlinkClick xmlns:r="http://schemas.openxmlformats.org/officeDocument/2006/relationships" r:id="rId1"/>
          <a:extLst>
            <a:ext uri="{FF2B5EF4-FFF2-40B4-BE49-F238E27FC236}">
              <a16:creationId xmlns:a16="http://schemas.microsoft.com/office/drawing/2014/main" id="{6ABB2745-7232-4D2C-A424-03B5F24019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2137" y="112568"/>
          <a:ext cx="914400"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706437</xdr:colOff>
      <xdr:row>0</xdr:row>
      <xdr:rowOff>103187</xdr:rowOff>
    </xdr:from>
    <xdr:to>
      <xdr:col>6</xdr:col>
      <xdr:colOff>96837</xdr:colOff>
      <xdr:row>2</xdr:row>
      <xdr:rowOff>131762</xdr:rowOff>
    </xdr:to>
    <xdr:pic>
      <xdr:nvPicPr>
        <xdr:cNvPr id="2" name="Imagen 1">
          <a:hlinkClick xmlns:r="http://schemas.openxmlformats.org/officeDocument/2006/relationships" r:id="rId1"/>
          <a:extLst>
            <a:ext uri="{FF2B5EF4-FFF2-40B4-BE49-F238E27FC236}">
              <a16:creationId xmlns:a16="http://schemas.microsoft.com/office/drawing/2014/main" id="{16812BA2-92B1-4BD4-8310-5579CA37E2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3875" y="103187"/>
          <a:ext cx="914400"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1653886</xdr:colOff>
      <xdr:row>0</xdr:row>
      <xdr:rowOff>779318</xdr:rowOff>
    </xdr:from>
    <xdr:to>
      <xdr:col>8</xdr:col>
      <xdr:colOff>741218</xdr:colOff>
      <xdr:row>2</xdr:row>
      <xdr:rowOff>178377</xdr:rowOff>
    </xdr:to>
    <xdr:pic>
      <xdr:nvPicPr>
        <xdr:cNvPr id="2" name="Imagen 1">
          <a:hlinkClick xmlns:r="http://schemas.openxmlformats.org/officeDocument/2006/relationships" r:id="rId1"/>
          <a:extLst>
            <a:ext uri="{FF2B5EF4-FFF2-40B4-BE49-F238E27FC236}">
              <a16:creationId xmlns:a16="http://schemas.microsoft.com/office/drawing/2014/main" id="{24493B56-F36D-4B86-A45C-65B3B7EB6F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33409" y="779318"/>
          <a:ext cx="914400" cy="409575"/>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omawww.sat.gob.mx/terceros_autorizados/monederos_electronicos/Paginas/emisores_m_electronicos_vales_despensa.asp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BA1E-FC98-43F6-B0C7-19DE99CAA964}">
  <sheetPr codeName="Hoja1"/>
  <dimension ref="E1:J26"/>
  <sheetViews>
    <sheetView showGridLines="0" showRowColHeaders="0" tabSelected="1" zoomScale="110" zoomScaleNormal="110" workbookViewId="0">
      <selection activeCell="I2" sqref="I2:J2"/>
    </sheetView>
  </sheetViews>
  <sheetFormatPr baseColWidth="10" defaultRowHeight="15" x14ac:dyDescent="0.25"/>
  <cols>
    <col min="1" max="1" width="5" customWidth="1"/>
    <col min="5" max="5" width="13.85546875" customWidth="1"/>
    <col min="6" max="6" width="18.140625" customWidth="1"/>
    <col min="7" max="7" width="12" customWidth="1"/>
  </cols>
  <sheetData>
    <row r="1" spans="5:10" ht="15.75" thickBot="1" x14ac:dyDescent="0.3"/>
    <row r="2" spans="5:10" ht="15.75" thickBot="1" x14ac:dyDescent="0.3">
      <c r="E2" s="39"/>
      <c r="F2" s="194" t="s">
        <v>435</v>
      </c>
      <c r="G2" s="194"/>
      <c r="H2" s="195"/>
      <c r="I2" s="192"/>
      <c r="J2" s="193"/>
    </row>
    <row r="4" spans="5:10" ht="38.25" customHeight="1" x14ac:dyDescent="0.25"/>
    <row r="26" spans="5:5" x14ac:dyDescent="0.25">
      <c r="E26" s="68" t="s">
        <v>233</v>
      </c>
    </row>
  </sheetData>
  <sheetProtection algorithmName="SHA-512" hashValue="1ZbxKZ8u3920eVb4oz7kIMm4pEr8jqWalCaZTya6oCmka9F1mG6YUEjpczgLS/JpqEILBzvXaa4G9CUJq6gdGg==" saltValue="VlVKsctEHChEpHyDqiZ3DA==" spinCount="100000" sheet="1" objects="1" scenarios="1" selectLockedCells="1"/>
  <mergeCells count="2">
    <mergeCell ref="I2:J2"/>
    <mergeCell ref="F2:H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156A-642F-4CDF-B81C-2811345394D9}">
  <sheetPr codeName="Hoja5"/>
  <dimension ref="A5:K88"/>
  <sheetViews>
    <sheetView showGridLines="0" zoomScale="110" zoomScaleNormal="110" workbookViewId="0">
      <selection activeCell="D7" sqref="D7"/>
    </sheetView>
  </sheetViews>
  <sheetFormatPr baseColWidth="10" defaultColWidth="9.140625" defaultRowHeight="15" x14ac:dyDescent="0.25"/>
  <cols>
    <col min="2" max="2" width="38.5703125" customWidth="1"/>
    <col min="3" max="3" width="19.140625" customWidth="1"/>
    <col min="4" max="4" width="30.28515625" customWidth="1"/>
    <col min="5" max="5" width="3.140625" customWidth="1"/>
    <col min="6" max="6" width="29" customWidth="1"/>
    <col min="7" max="7" width="17.140625" customWidth="1"/>
    <col min="8" max="8" width="20" customWidth="1"/>
    <col min="9" max="9" width="18.7109375" customWidth="1"/>
  </cols>
  <sheetData>
    <row r="5" spans="2:10" ht="18.75" x14ac:dyDescent="0.3">
      <c r="B5" s="268" t="s">
        <v>175</v>
      </c>
      <c r="C5" s="268"/>
      <c r="D5" s="268"/>
      <c r="E5" s="268"/>
      <c r="F5" s="268"/>
      <c r="G5" s="268"/>
      <c r="H5" s="268"/>
      <c r="I5" s="268"/>
    </row>
    <row r="6" spans="2:10" ht="18.75" x14ac:dyDescent="0.3">
      <c r="B6" s="48"/>
      <c r="C6" s="48"/>
      <c r="D6" s="48"/>
      <c r="E6" s="48"/>
      <c r="F6" s="48"/>
      <c r="G6" s="48"/>
      <c r="H6" s="48"/>
      <c r="I6" s="48"/>
    </row>
    <row r="7" spans="2:10" x14ac:dyDescent="0.25">
      <c r="B7" s="14" t="s">
        <v>146</v>
      </c>
      <c r="D7" s="46">
        <f ca="1">TODAY()</f>
        <v>46098</v>
      </c>
    </row>
    <row r="9" spans="2:10" x14ac:dyDescent="0.25">
      <c r="B9" s="269" t="s">
        <v>397</v>
      </c>
      <c r="C9" s="269"/>
      <c r="D9" s="269"/>
      <c r="E9" s="269"/>
      <c r="F9" s="269"/>
      <c r="G9" s="269"/>
      <c r="H9" s="269"/>
      <c r="I9" s="269"/>
    </row>
    <row r="11" spans="2:10" x14ac:dyDescent="0.25">
      <c r="B11" s="244" t="s">
        <v>145</v>
      </c>
      <c r="C11" s="270"/>
      <c r="D11" s="42">
        <v>45658</v>
      </c>
      <c r="F11" s="53" t="s">
        <v>184</v>
      </c>
    </row>
    <row r="12" spans="2:10" x14ac:dyDescent="0.25">
      <c r="B12" s="244" t="s">
        <v>146</v>
      </c>
      <c r="C12" s="270"/>
      <c r="D12" s="42">
        <f ca="1">TODAY()</f>
        <v>46098</v>
      </c>
      <c r="G12" s="38" t="s">
        <v>186</v>
      </c>
      <c r="H12" s="38" t="s">
        <v>187</v>
      </c>
    </row>
    <row r="13" spans="2:10" x14ac:dyDescent="0.25">
      <c r="B13" s="244" t="str">
        <f>IFERROR(IF(CONTRA=GENERAL!$B$107,IF(ISODD(MONTH(D7)),"Días devengados del bimestre a calcular",""),""),"")</f>
        <v/>
      </c>
      <c r="C13" s="270"/>
      <c r="D13">
        <v>61</v>
      </c>
      <c r="F13" s="39" t="s">
        <v>185</v>
      </c>
      <c r="G13" s="54">
        <v>0.11</v>
      </c>
      <c r="H13" s="54">
        <v>0.11</v>
      </c>
      <c r="I13" s="13" t="str">
        <f>IFERROR(IF(CONTRA=GENERAL!$B$107,IF(G13=H13,"No integra al SBC","Integra $"&amp;ROUND(D14*G13,2)),""),"")</f>
        <v/>
      </c>
    </row>
    <row r="14" spans="2:10" x14ac:dyDescent="0.25">
      <c r="B14" s="244" t="s">
        <v>176</v>
      </c>
      <c r="C14" s="270"/>
      <c r="D14" s="50">
        <v>500</v>
      </c>
      <c r="F14" s="39" t="s">
        <v>42</v>
      </c>
      <c r="G14" s="47" t="s">
        <v>54</v>
      </c>
      <c r="H14" s="55" t="str">
        <f>IF(G14="Sí","Cobro al trabajador","")</f>
        <v>Cobro al trabajador</v>
      </c>
      <c r="I14" s="12">
        <v>20</v>
      </c>
      <c r="J14" s="39" t="str">
        <f>IFERROR(IF(H14&lt;&gt;"",IF(I14&gt;=ROUND(D20*0.2,2),"No integra","Integra "&amp;TEXT(0.25,"0%")&amp;" del salario"),""),"")</f>
        <v>Integra 25% del salario</v>
      </c>
    </row>
    <row r="15" spans="2:10" x14ac:dyDescent="0.25">
      <c r="B15" s="244" t="s">
        <v>177</v>
      </c>
      <c r="C15" s="270"/>
      <c r="D15" s="51">
        <v>15</v>
      </c>
      <c r="F15" s="39" t="s">
        <v>188</v>
      </c>
      <c r="G15" s="47">
        <v>1</v>
      </c>
      <c r="H15" s="55" t="str">
        <f>IFERROR(IF(CONTRA=GENERAL!$B$107,IF(G15&lt;&gt;"","Cobro al trabajador",""),""),"")</f>
        <v/>
      </c>
      <c r="I15" s="28">
        <v>20</v>
      </c>
    </row>
    <row r="16" spans="2:10" x14ac:dyDescent="0.25">
      <c r="B16" s="244" t="s">
        <v>178</v>
      </c>
      <c r="C16" s="270"/>
      <c r="D16" s="43">
        <f ca="1">IFERROR(VLOOKUP(VALUE(DATEDIF(D11,D12,"y")&amp;"."&amp;DATEDIF(D11,D12,"YM")&amp;DATEDIF(D11,D12,"MD")),TABLAV,3),"")</f>
        <v>14</v>
      </c>
      <c r="F16" s="39" t="s">
        <v>189</v>
      </c>
      <c r="G16" s="28">
        <v>50</v>
      </c>
      <c r="H16" s="39" t="str">
        <f>IFERROR(IF(G16&lt;&gt;"",IF(G16&gt;ROUND(D20*0.4,2),"Integra $"&amp;ROUND(G16-(D20*0.4),2),""),""),"")</f>
        <v>Integra $4.74</v>
      </c>
    </row>
    <row r="17" spans="2:4" x14ac:dyDescent="0.25">
      <c r="B17" s="244" t="s">
        <v>179</v>
      </c>
      <c r="C17" s="270"/>
      <c r="D17" s="52">
        <v>0.25</v>
      </c>
    </row>
    <row r="18" spans="2:4" x14ac:dyDescent="0.25">
      <c r="B18" s="244" t="s">
        <v>92</v>
      </c>
      <c r="C18" s="270"/>
      <c r="D18" s="47" t="s">
        <v>84</v>
      </c>
    </row>
    <row r="19" spans="2:4" x14ac:dyDescent="0.25">
      <c r="B19" s="244" t="s">
        <v>82</v>
      </c>
      <c r="C19" s="270"/>
      <c r="D19" s="21" t="str">
        <f>IFERROR(IF(CONTRA=GENERAL!$B$107,VLOOKUP(D18,GENERAL!$B$21:$C$22,2,FALSE),""),"")</f>
        <v/>
      </c>
    </row>
    <row r="20" spans="2:4" x14ac:dyDescent="0.25">
      <c r="B20" s="244" t="s">
        <v>180</v>
      </c>
      <c r="C20" s="270"/>
      <c r="D20" s="47">
        <v>113.14</v>
      </c>
    </row>
    <row r="22" spans="2:4" x14ac:dyDescent="0.25">
      <c r="B22" s="271" t="s">
        <v>224</v>
      </c>
      <c r="C22" s="272"/>
      <c r="D22" s="273"/>
    </row>
    <row r="24" spans="2:4" x14ac:dyDescent="0.25">
      <c r="B24" s="244" t="s">
        <v>181</v>
      </c>
      <c r="C24" s="244"/>
      <c r="D24" s="67" t="str">
        <f>IFERROR(IF(CONTRA=GENERAL!$B$107,ROUND(1+(D15/365)+(D16/365*D17),4),""),"")</f>
        <v/>
      </c>
    </row>
    <row r="25" spans="2:4" x14ac:dyDescent="0.25">
      <c r="B25" s="244" t="s">
        <v>182</v>
      </c>
      <c r="C25" s="244"/>
      <c r="D25" s="159" t="str">
        <f>IFERROR(IF(CONTRA=GENERAL!$B$107,ROUND(D14*D24,2),""),"")</f>
        <v/>
      </c>
    </row>
    <row r="26" spans="2:4" x14ac:dyDescent="0.25">
      <c r="B26" s="244" t="s">
        <v>190</v>
      </c>
      <c r="C26" s="244"/>
      <c r="D26" s="159" t="str">
        <f>IFERROR(IF(CONTRA=GENERAL!$B$107,IF(ISNUMBER(I13),I13,0),""),"")</f>
        <v/>
      </c>
    </row>
    <row r="27" spans="2:4" x14ac:dyDescent="0.25">
      <c r="B27" s="33" t="s">
        <v>42</v>
      </c>
      <c r="C27" s="33"/>
      <c r="D27" s="159">
        <f>IFERROR(IF(J14&lt;&gt;"",ROUND(D14*0.25,2),0),0)</f>
        <v>125</v>
      </c>
    </row>
    <row r="28" spans="2:4" x14ac:dyDescent="0.25">
      <c r="B28" s="244" t="s">
        <v>191</v>
      </c>
      <c r="C28" s="244"/>
      <c r="D28" s="159" t="str">
        <f>IFERROR(IF(CONTRA=GENERAL!B107,IF(I15&lt;ROUND(D20*0.2,2),IF(G15=1,ROUND(D14*0.0833,2),IF(G15=2,ROUND(D14*0.1666,2),ROUND(D14*0.25,2))),0),""),"")</f>
        <v/>
      </c>
    </row>
    <row r="29" spans="2:4" x14ac:dyDescent="0.25">
      <c r="B29" s="244" t="s">
        <v>192</v>
      </c>
      <c r="C29" s="244"/>
      <c r="D29" s="159" t="str">
        <f>IFERROR(IF(CONTRA=GENERAL!$B$107,IF(G16&gt;ROUND(D20*0.4,2),ROUND(G16-D20*0.4,2),0),""),"")</f>
        <v/>
      </c>
    </row>
    <row r="30" spans="2:4" x14ac:dyDescent="0.25">
      <c r="B30" s="244" t="str">
        <f ca="1">IFERROR(IF(ISODD(MONTH(D7)),"(+) Variables del bimestre anterior ("&amp;TEXT(EOMONTH(D7,-2),"mmmm")&amp;"-"&amp;TEXT(EOMONTH(D7,-1),"mmmm")&amp; " " &amp; IF(MONTH(D7)=1,YEAR(D7)-1,YEAR(D7))&amp;")",""),"")</f>
        <v>(+) Variables del bimestre anterior (enero-febrero 2026)</v>
      </c>
      <c r="C30" s="244"/>
      <c r="D30" s="49"/>
    </row>
    <row r="31" spans="2:4" x14ac:dyDescent="0.25">
      <c r="B31" s="56" t="str">
        <f ca="1">IF($B$30&lt;&gt;"","Premio de puntualidad " &amp;TEXT(EOMONTH($D$7,-2),"mmmm"),"")</f>
        <v>Premio de puntualidad enero</v>
      </c>
      <c r="C31" s="15">
        <v>1500</v>
      </c>
      <c r="D31" s="67"/>
    </row>
    <row r="32" spans="2:4" x14ac:dyDescent="0.25">
      <c r="B32" s="56" t="str">
        <f ca="1">IF($B$30&lt;&gt;"","Premio de puntualidad " &amp;TEXT(EOMONTH($D$7,-1),"mmmm"),"")</f>
        <v>Premio de puntualidad febrero</v>
      </c>
      <c r="C32" s="15">
        <v>1500</v>
      </c>
      <c r="D32" s="157" t="str">
        <f>IFERROR(IF(CONTRA=GENERAL!$B$107,IF(ROUND((C31+C32)/$D$13,2)&gt;=(SUMIF($D$25:$D$29,"&gt;0")*0.1),ROUND(((C31+C32)/$D$13)-(SUMIF($D$25:$D$29,"&gt;0")*0.1),2),""),""),"")</f>
        <v/>
      </c>
    </row>
    <row r="33" spans="1:11" x14ac:dyDescent="0.25">
      <c r="B33" s="56" t="str">
        <f ca="1">IF($B$30&lt;&gt;"","Premio de asistencia " &amp;TEXT(EOMONTH($D$7,-2),"mmmm"),"")</f>
        <v>Premio de asistencia enero</v>
      </c>
      <c r="C33" s="15">
        <v>1000</v>
      </c>
      <c r="D33" s="157"/>
    </row>
    <row r="34" spans="1:11" x14ac:dyDescent="0.25">
      <c r="B34" s="56" t="str">
        <f ca="1">IF($B$30&lt;&gt;"","Premio de asistencia " &amp;TEXT(EOMONTH($D$7,-1),"mmmm"),"")</f>
        <v>Premio de asistencia febrero</v>
      </c>
      <c r="C34" s="15">
        <v>1000</v>
      </c>
      <c r="D34" s="157" t="str">
        <f>IFERROR(IF(CONTRA=GENERAL!$B$107,IF(ROUND((C33+C34)/$D$13,2)&gt;=(SUMIF($D$25:$D$29,"&gt;0")*0.1),ROUND(((C33+C34)/$D$13)-(SUMIF($D$25:$D$29,"&gt;0")*0.1),2),""),""),"")</f>
        <v/>
      </c>
    </row>
    <row r="35" spans="1:11" x14ac:dyDescent="0.25">
      <c r="B35" s="56" t="str">
        <f ca="1">IF($B$30&lt;&gt;"","Comisiones " &amp;TEXT(EOMONTH($D$7,-2),"mmmm"),"")</f>
        <v>Comisiones enero</v>
      </c>
      <c r="C35" s="15">
        <v>1000</v>
      </c>
      <c r="D35" s="157"/>
    </row>
    <row r="36" spans="1:11" x14ac:dyDescent="0.25">
      <c r="B36" s="56" t="str">
        <f ca="1">IF($B$30&lt;&gt;"","Comisiones " &amp;TEXT(EOMONTH($D$7,-1),"mmmm"),"")</f>
        <v>Comisiones febrero</v>
      </c>
      <c r="C36" s="15">
        <v>2500</v>
      </c>
      <c r="D36" s="157" t="str">
        <f>IFERROR(IF(CONTRA=GENERAL!$B$107,ROUND((C35+C36)/$D$13,2),""),"")</f>
        <v/>
      </c>
    </row>
    <row r="37" spans="1:11" x14ac:dyDescent="0.25">
      <c r="B37" s="56" t="str">
        <f ca="1">IF($B$30&lt;&gt;"","Otros " &amp;TEXT(EOMONTH($D$7,-2),"mmmm"),"")</f>
        <v>Otros enero</v>
      </c>
      <c r="C37" s="15"/>
      <c r="D37" s="157"/>
    </row>
    <row r="38" spans="1:11" x14ac:dyDescent="0.25">
      <c r="B38" s="56" t="str">
        <f ca="1">IF($B$30&lt;&gt;"","Otros " &amp;TEXT(EOMONTH($D$7,-1),"mmmm"),"")</f>
        <v>Otros febrero</v>
      </c>
      <c r="C38" s="15"/>
      <c r="D38" s="157" t="str">
        <f>IFERROR(IF(CONTRA=GENERAL!$B$107,ROUND((C37+C38)/$D$13,2),""),"")</f>
        <v/>
      </c>
    </row>
    <row r="39" spans="1:11" x14ac:dyDescent="0.25">
      <c r="B39" s="56" t="str">
        <f ca="1">IF($B$30&lt;&gt;"","(=) Salario base de cotización","")</f>
        <v>(=) Salario base de cotización</v>
      </c>
      <c r="C39" s="49"/>
      <c r="D39" s="160" t="str">
        <f>IFERROR(IF(CONTRA=GENERAL!$B$107,SUMIF($D$25:$D$38,"&gt;0"),""),"")</f>
        <v/>
      </c>
    </row>
    <row r="40" spans="1:11" x14ac:dyDescent="0.25">
      <c r="B40" s="56"/>
      <c r="C40" s="49"/>
      <c r="D40" s="49"/>
    </row>
    <row r="41" spans="1:11" x14ac:dyDescent="0.25">
      <c r="B41" s="39" t="s">
        <v>183</v>
      </c>
      <c r="C41" s="49" t="str">
        <f>IFERROR(IF(CONTRA=GENERAL!B107,ROUND(GENERAL!C22*25,2),""),"")</f>
        <v/>
      </c>
      <c r="D41" s="49"/>
    </row>
    <row r="44" spans="1:11" x14ac:dyDescent="0.25">
      <c r="A44" s="45"/>
      <c r="B44" s="45"/>
      <c r="C44" s="45"/>
      <c r="D44" s="45"/>
      <c r="E44" s="45"/>
      <c r="F44" s="45"/>
      <c r="G44" s="45"/>
      <c r="H44" s="45"/>
      <c r="I44" s="45"/>
      <c r="J44" s="45"/>
      <c r="K44" s="45"/>
    </row>
    <row r="46" spans="1:11" x14ac:dyDescent="0.25">
      <c r="B46" s="39" t="s">
        <v>399</v>
      </c>
    </row>
    <row r="47" spans="1:11" x14ac:dyDescent="0.25">
      <c r="B47" s="39"/>
    </row>
    <row r="48" spans="1:11" x14ac:dyDescent="0.25">
      <c r="B48" s="14" t="s">
        <v>92</v>
      </c>
      <c r="C48" s="266" t="s">
        <v>84</v>
      </c>
      <c r="D48" s="267"/>
    </row>
    <row r="49" spans="2:4" x14ac:dyDescent="0.25">
      <c r="B49" s="14" t="s">
        <v>82</v>
      </c>
      <c r="C49" s="138">
        <f>IFERROR(VLOOKUP(C48,GENERAL!$B$21:$C$22,2,FALSE),"")</f>
        <v>315.04000000000002</v>
      </c>
    </row>
    <row r="50" spans="2:4" x14ac:dyDescent="0.25">
      <c r="B50" s="39" t="s">
        <v>403</v>
      </c>
      <c r="C50" s="15">
        <v>50</v>
      </c>
    </row>
    <row r="51" spans="2:4" ht="30" x14ac:dyDescent="0.25">
      <c r="B51" s="133" t="s">
        <v>400</v>
      </c>
      <c r="C51" s="133" t="s">
        <v>401</v>
      </c>
      <c r="D51" s="134" t="s">
        <v>402</v>
      </c>
    </row>
    <row r="52" spans="2:4" x14ac:dyDescent="0.25">
      <c r="B52" s="4" t="s">
        <v>355</v>
      </c>
      <c r="C52" s="47">
        <v>5</v>
      </c>
      <c r="D52" s="161">
        <f>IFERROR(IF(C52&lt;&gt;"",ROUND(C52*$C$50,2),""),"")</f>
        <v>250</v>
      </c>
    </row>
    <row r="53" spans="2:4" x14ac:dyDescent="0.25">
      <c r="B53" s="4" t="s">
        <v>356</v>
      </c>
      <c r="C53" s="47">
        <v>5</v>
      </c>
      <c r="D53" s="161">
        <f t="shared" ref="D53:D58" si="0">IFERROR(IF(C53&lt;&gt;"",ROUND(C53*$C$50,2),""),"")</f>
        <v>250</v>
      </c>
    </row>
    <row r="54" spans="2:4" x14ac:dyDescent="0.25">
      <c r="B54" s="4" t="s">
        <v>357</v>
      </c>
      <c r="C54" s="47">
        <v>5</v>
      </c>
      <c r="D54" s="161">
        <f t="shared" si="0"/>
        <v>250</v>
      </c>
    </row>
    <row r="55" spans="2:4" x14ac:dyDescent="0.25">
      <c r="B55" s="4" t="s">
        <v>358</v>
      </c>
      <c r="C55" s="47">
        <v>5</v>
      </c>
      <c r="D55" s="161">
        <f t="shared" si="0"/>
        <v>250</v>
      </c>
    </row>
    <row r="56" spans="2:4" x14ac:dyDescent="0.25">
      <c r="B56" s="4" t="s">
        <v>359</v>
      </c>
      <c r="C56" s="47">
        <v>4</v>
      </c>
      <c r="D56" s="161">
        <f t="shared" si="0"/>
        <v>200</v>
      </c>
    </row>
    <row r="57" spans="2:4" x14ac:dyDescent="0.25">
      <c r="B57" s="4" t="s">
        <v>360</v>
      </c>
      <c r="C57" s="47">
        <v>3</v>
      </c>
      <c r="D57" s="161">
        <f t="shared" si="0"/>
        <v>150</v>
      </c>
    </row>
    <row r="58" spans="2:4" x14ac:dyDescent="0.25">
      <c r="B58" s="4" t="s">
        <v>361</v>
      </c>
      <c r="C58" s="47"/>
      <c r="D58" s="161" t="str">
        <f t="shared" si="0"/>
        <v/>
      </c>
    </row>
    <row r="59" spans="2:4" x14ac:dyDescent="0.25">
      <c r="C59" t="s">
        <v>387</v>
      </c>
      <c r="D59" s="157">
        <f>SUMIF(D52:D58,"&gt;0")</f>
        <v>1350</v>
      </c>
    </row>
    <row r="60" spans="2:4" x14ac:dyDescent="0.25">
      <c r="C60" t="s">
        <v>404</v>
      </c>
      <c r="D60" s="67">
        <v>7</v>
      </c>
    </row>
    <row r="61" spans="2:4" x14ac:dyDescent="0.25">
      <c r="C61" t="s">
        <v>405</v>
      </c>
      <c r="D61" s="67">
        <f>IFERROR(ROUND(D59/D60,2),"")</f>
        <v>192.86</v>
      </c>
    </row>
    <row r="62" spans="2:4" x14ac:dyDescent="0.25">
      <c r="D62" s="67"/>
    </row>
    <row r="63" spans="2:4" x14ac:dyDescent="0.25">
      <c r="C63" s="154" t="s">
        <v>411</v>
      </c>
      <c r="D63" s="156">
        <f>IFERROR(IF(D61&gt;=C49,D61,C49),"")</f>
        <v>315.04000000000002</v>
      </c>
    </row>
    <row r="65" spans="1:11" x14ac:dyDescent="0.25">
      <c r="A65" s="155"/>
      <c r="B65" s="155"/>
      <c r="C65" s="155"/>
      <c r="D65" s="155"/>
      <c r="E65" s="155"/>
      <c r="F65" s="155"/>
      <c r="G65" s="155"/>
      <c r="H65" s="155"/>
      <c r="I65" s="155"/>
      <c r="J65" s="155"/>
      <c r="K65" s="155"/>
    </row>
    <row r="67" spans="1:11" x14ac:dyDescent="0.25">
      <c r="B67" s="39" t="s">
        <v>398</v>
      </c>
    </row>
    <row r="68" spans="1:11" x14ac:dyDescent="0.25">
      <c r="B68" s="39"/>
    </row>
    <row r="69" spans="1:11" x14ac:dyDescent="0.25">
      <c r="B69" s="14" t="s">
        <v>92</v>
      </c>
      <c r="C69" s="266" t="s">
        <v>84</v>
      </c>
      <c r="D69" s="267"/>
    </row>
    <row r="70" spans="1:11" x14ac:dyDescent="0.25">
      <c r="B70" s="14" t="s">
        <v>82</v>
      </c>
      <c r="C70" s="138">
        <f>IFERROR(VLOOKUP(C69,GENERAL!$B$21:$C$22,2,FALSE),"")</f>
        <v>315.04000000000002</v>
      </c>
    </row>
    <row r="71" spans="1:11" x14ac:dyDescent="0.25">
      <c r="B71" s="39" t="s">
        <v>144</v>
      </c>
      <c r="C71" s="15">
        <v>600</v>
      </c>
    </row>
    <row r="72" spans="1:11" ht="30" x14ac:dyDescent="0.25">
      <c r="B72" s="133" t="s">
        <v>400</v>
      </c>
      <c r="C72" s="133" t="s">
        <v>406</v>
      </c>
      <c r="D72" s="134" t="s">
        <v>402</v>
      </c>
    </row>
    <row r="73" spans="1:11" x14ac:dyDescent="0.25">
      <c r="B73" s="4" t="s">
        <v>355</v>
      </c>
      <c r="C73" s="76" t="s">
        <v>54</v>
      </c>
      <c r="D73" s="161">
        <f>IFERROR(IF(C73="Sí",$C$71,""),"")</f>
        <v>600</v>
      </c>
    </row>
    <row r="74" spans="1:11" x14ac:dyDescent="0.25">
      <c r="B74" s="4" t="s">
        <v>356</v>
      </c>
      <c r="C74" s="76"/>
      <c r="D74" s="161" t="str">
        <f t="shared" ref="D74:D79" si="1">IFERROR(IF(C74="Sí",$C$71,""),"")</f>
        <v/>
      </c>
    </row>
    <row r="75" spans="1:11" x14ac:dyDescent="0.25">
      <c r="B75" s="4" t="s">
        <v>357</v>
      </c>
      <c r="C75" s="76" t="s">
        <v>54</v>
      </c>
      <c r="D75" s="161">
        <f t="shared" si="1"/>
        <v>600</v>
      </c>
    </row>
    <row r="76" spans="1:11" x14ac:dyDescent="0.25">
      <c r="B76" s="4" t="s">
        <v>358</v>
      </c>
      <c r="C76" s="76"/>
      <c r="D76" s="161" t="str">
        <f t="shared" si="1"/>
        <v/>
      </c>
    </row>
    <row r="77" spans="1:11" x14ac:dyDescent="0.25">
      <c r="B77" s="4" t="s">
        <v>359</v>
      </c>
      <c r="C77" s="76" t="s">
        <v>54</v>
      </c>
      <c r="D77" s="161">
        <f t="shared" si="1"/>
        <v>600</v>
      </c>
    </row>
    <row r="78" spans="1:11" x14ac:dyDescent="0.25">
      <c r="B78" s="4" t="s">
        <v>360</v>
      </c>
      <c r="C78" s="76" t="s">
        <v>54</v>
      </c>
      <c r="D78" s="161">
        <f t="shared" si="1"/>
        <v>600</v>
      </c>
    </row>
    <row r="79" spans="1:11" x14ac:dyDescent="0.25">
      <c r="B79" s="4" t="s">
        <v>361</v>
      </c>
      <c r="C79" s="76"/>
      <c r="D79" s="161" t="str">
        <f t="shared" si="1"/>
        <v/>
      </c>
    </row>
    <row r="80" spans="1:11" x14ac:dyDescent="0.25">
      <c r="C80" s="154" t="s">
        <v>387</v>
      </c>
      <c r="D80" s="158">
        <f>SUMIF(D73:D79,"&gt;0")</f>
        <v>2400</v>
      </c>
    </row>
    <row r="81" spans="3:4" x14ac:dyDescent="0.25">
      <c r="C81" s="154" t="s">
        <v>407</v>
      </c>
      <c r="D81" s="158">
        <f>IFERROR(ROUND(D80*(1/6),2),"")</f>
        <v>400</v>
      </c>
    </row>
    <row r="82" spans="3:4" x14ac:dyDescent="0.25">
      <c r="C82" s="154" t="s">
        <v>408</v>
      </c>
      <c r="D82" s="158">
        <f>SUMIF(D80:D81,"&gt;0")</f>
        <v>2800</v>
      </c>
    </row>
    <row r="83" spans="3:4" x14ac:dyDescent="0.25">
      <c r="C83" s="154" t="s">
        <v>404</v>
      </c>
      <c r="D83" s="67">
        <v>7</v>
      </c>
    </row>
    <row r="84" spans="3:4" x14ac:dyDescent="0.25">
      <c r="C84" s="154" t="s">
        <v>409</v>
      </c>
      <c r="D84" s="157">
        <f>IFERROR(ROUND(D82/D83,2),"")</f>
        <v>400</v>
      </c>
    </row>
    <row r="85" spans="3:4" x14ac:dyDescent="0.25">
      <c r="C85" s="154" t="s">
        <v>410</v>
      </c>
      <c r="D85" s="47">
        <v>1.0492999999999999</v>
      </c>
    </row>
    <row r="86" spans="3:4" x14ac:dyDescent="0.25">
      <c r="C86" s="154" t="s">
        <v>405</v>
      </c>
      <c r="D86" s="158">
        <f>IFERROR(ROUND(D84+D85,2),"")</f>
        <v>401.05</v>
      </c>
    </row>
    <row r="87" spans="3:4" x14ac:dyDescent="0.25">
      <c r="D87" s="67"/>
    </row>
    <row r="88" spans="3:4" x14ac:dyDescent="0.25">
      <c r="C88" s="154" t="s">
        <v>411</v>
      </c>
      <c r="D88" s="158">
        <f>IFERROR(IF(D86&gt;=C70,D86,C70),"")</f>
        <v>401.05</v>
      </c>
    </row>
  </sheetData>
  <mergeCells count="21">
    <mergeCell ref="B24:C24"/>
    <mergeCell ref="B25:C25"/>
    <mergeCell ref="B26:C26"/>
    <mergeCell ref="B28:C28"/>
    <mergeCell ref="B22:D22"/>
    <mergeCell ref="C48:D48"/>
    <mergeCell ref="C69:D69"/>
    <mergeCell ref="B5:I5"/>
    <mergeCell ref="B9:I9"/>
    <mergeCell ref="B13:C13"/>
    <mergeCell ref="B14:C14"/>
    <mergeCell ref="B15:C15"/>
    <mergeCell ref="B29:C29"/>
    <mergeCell ref="B30:C30"/>
    <mergeCell ref="B19:C19"/>
    <mergeCell ref="B11:C11"/>
    <mergeCell ref="B12:C12"/>
    <mergeCell ref="B18:C18"/>
    <mergeCell ref="B16:C16"/>
    <mergeCell ref="B17:C17"/>
    <mergeCell ref="B20:C20"/>
  </mergeCells>
  <phoneticPr fontId="19" type="noConversion"/>
  <conditionalFormatting sqref="D13">
    <cfRule type="expression" dxfId="6" priority="9">
      <formula>IF($B$13&lt;&gt;"",1,0)</formula>
    </cfRule>
  </conditionalFormatting>
  <conditionalFormatting sqref="D14:D17">
    <cfRule type="notContainsBlanks" dxfId="5" priority="12">
      <formula>LEN(TRIM(D14))&gt;0</formula>
    </cfRule>
  </conditionalFormatting>
  <conditionalFormatting sqref="D32 D34 D36 D38">
    <cfRule type="expression" dxfId="3" priority="7">
      <formula>IF($B$13&lt;&gt;"",1,0)</formula>
    </cfRule>
  </conditionalFormatting>
  <conditionalFormatting sqref="G16">
    <cfRule type="expression" dxfId="2" priority="10">
      <formula>IF($H$15&lt;&gt;"",1,0)</formula>
    </cfRule>
  </conditionalFormatting>
  <conditionalFormatting sqref="I14">
    <cfRule type="expression" dxfId="1" priority="6">
      <formula>IF($H$14&lt;&gt;"",1,0)</formula>
    </cfRule>
  </conditionalFormatting>
  <conditionalFormatting sqref="I15">
    <cfRule type="expression" dxfId="0" priority="11">
      <formula>IF($H$15&lt;&gt;"",1,0)</formula>
    </cfRule>
  </conditionalFormatting>
  <dataValidations count="3">
    <dataValidation type="list" allowBlank="1" showInputMessage="1" showErrorMessage="1" errorTitle="Determinación del SBC" error="Solo se permiten datos de la lista" sqref="G15" xr:uid="{8D98FE25-6419-4CC3-9A38-88EE3C32C15E}">
      <formula1>"1,2,3"</formula1>
    </dataValidation>
    <dataValidation type="list" allowBlank="1" showInputMessage="1" showErrorMessage="1" errorTitle="Determinación del SBC" error="Solo se permiten datos de la lista" sqref="G14" xr:uid="{C2EF4431-543C-460F-A283-45F6C5D72876}">
      <formula1>"Sí,No"</formula1>
    </dataValidation>
    <dataValidation type="list" allowBlank="1" showInputMessage="1" showErrorMessage="1" errorTitle="SBC semana reducida" error="Solo se permiten datos de la lista" sqref="C73:C79" xr:uid="{C31C8BB4-2078-43ED-ACC0-458314D70810}">
      <formula1>"Sí,No"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5" id="{DAFEECE9-819D-46A4-9379-7E49FE102E91}">
            <xm:f>IF(CONTRA=GENERAL!B$107,1,0)</xm:f>
            <x14:dxf>
              <font>
                <color theme="1"/>
              </font>
            </x14:dxf>
          </x14:cfRule>
          <xm:sqref>D24:D29 D31:D39 D52:D63 D73:D84 D86:D88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Percepción" error="Solo se permiten datos de la lista" xr:uid="{D3FA9107-7D9B-4C5F-9E92-4522C6EBD4DA}">
          <x14:formula1>
            <xm:f>GENERAL!$B$21:$B$22</xm:f>
          </x14:formula1>
          <xm:sqref>D18</xm:sqref>
        </x14:dataValidation>
        <x14:dataValidation type="list" allowBlank="1" showInputMessage="1" showErrorMessage="1" errorTitle="Percepción" error="Solo se permiten datos de la lista" xr:uid="{239763C6-F627-4A95-BC91-10BEFE93F9B9}">
          <x14:formula1>
            <xm:f>GENERAL!$C$25:$C$26</xm:f>
          </x14:formula1>
          <xm:sqref>D20</xm:sqref>
        </x14:dataValidation>
        <x14:dataValidation type="list" allowBlank="1" showInputMessage="1" showErrorMessage="1" errorTitle="Tiempo extra" error="Solo se permiten datos de la lista" xr:uid="{D51530C7-2570-4D40-A6C5-FB8B7F80410B}">
          <x14:formula1>
            <xm:f>GENERAL!$B$21:$B$22</xm:f>
          </x14:formula1>
          <xm:sqref>C48 C69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49DB-6C73-4DD4-80D0-591C2FF67817}">
  <sheetPr codeName="Hoja8"/>
  <dimension ref="B3:D107"/>
  <sheetViews>
    <sheetView showGridLines="0" workbookViewId="0">
      <selection activeCell="D9" sqref="D9"/>
    </sheetView>
  </sheetViews>
  <sheetFormatPr baseColWidth="10" defaultRowHeight="15" x14ac:dyDescent="0.25"/>
  <cols>
    <col min="2" max="2" width="32.42578125" customWidth="1"/>
    <col min="10" max="10" width="17.42578125" customWidth="1"/>
    <col min="15" max="15" width="17.42578125" customWidth="1"/>
  </cols>
  <sheetData>
    <row r="3" spans="2:4" ht="54" customHeight="1" x14ac:dyDescent="0.25"/>
    <row r="5" spans="2:4" x14ac:dyDescent="0.25">
      <c r="B5" s="274" t="s">
        <v>77</v>
      </c>
      <c r="C5" s="275"/>
      <c r="D5" s="276"/>
    </row>
    <row r="6" spans="2:4" x14ac:dyDescent="0.25">
      <c r="B6" s="277" t="s">
        <v>78</v>
      </c>
      <c r="C6" s="278"/>
      <c r="D6" s="4"/>
    </row>
    <row r="7" spans="2:4" x14ac:dyDescent="0.25">
      <c r="B7" s="29" t="s">
        <v>79</v>
      </c>
      <c r="C7" s="29" t="s">
        <v>80</v>
      </c>
      <c r="D7" s="29" t="s">
        <v>81</v>
      </c>
    </row>
    <row r="8" spans="2:4" x14ac:dyDescent="0.25">
      <c r="B8" s="4">
        <v>0</v>
      </c>
      <c r="C8" s="4">
        <v>1</v>
      </c>
      <c r="D8" s="4">
        <v>12</v>
      </c>
    </row>
    <row r="9" spans="2:4" x14ac:dyDescent="0.25">
      <c r="B9" s="4">
        <f>C8+0.01</f>
        <v>1.01</v>
      </c>
      <c r="C9" s="4">
        <v>2</v>
      </c>
      <c r="D9" s="4">
        <f>D8+2</f>
        <v>14</v>
      </c>
    </row>
    <row r="10" spans="2:4" x14ac:dyDescent="0.25">
      <c r="B10" s="4">
        <f t="shared" ref="B10:B18" si="0">C9+0.01</f>
        <v>2.0099999999999998</v>
      </c>
      <c r="C10" s="4">
        <v>3</v>
      </c>
      <c r="D10" s="4">
        <f t="shared" ref="D10:D18" si="1">D9+2</f>
        <v>16</v>
      </c>
    </row>
    <row r="11" spans="2:4" x14ac:dyDescent="0.25">
      <c r="B11" s="4">
        <f t="shared" si="0"/>
        <v>3.01</v>
      </c>
      <c r="C11" s="4">
        <v>4</v>
      </c>
      <c r="D11" s="4">
        <f t="shared" si="1"/>
        <v>18</v>
      </c>
    </row>
    <row r="12" spans="2:4" x14ac:dyDescent="0.25">
      <c r="B12" s="4">
        <f t="shared" si="0"/>
        <v>4.01</v>
      </c>
      <c r="C12" s="4">
        <v>5</v>
      </c>
      <c r="D12" s="4">
        <f t="shared" si="1"/>
        <v>20</v>
      </c>
    </row>
    <row r="13" spans="2:4" x14ac:dyDescent="0.25">
      <c r="B13" s="4">
        <f t="shared" si="0"/>
        <v>5.01</v>
      </c>
      <c r="C13" s="4">
        <f>C12+5</f>
        <v>10</v>
      </c>
      <c r="D13" s="4">
        <f t="shared" si="1"/>
        <v>22</v>
      </c>
    </row>
    <row r="14" spans="2:4" x14ac:dyDescent="0.25">
      <c r="B14" s="4">
        <f t="shared" si="0"/>
        <v>10.01</v>
      </c>
      <c r="C14" s="4">
        <f t="shared" ref="C14:C18" si="2">C13+5</f>
        <v>15</v>
      </c>
      <c r="D14" s="4">
        <f t="shared" si="1"/>
        <v>24</v>
      </c>
    </row>
    <row r="15" spans="2:4" x14ac:dyDescent="0.25">
      <c r="B15" s="4">
        <f t="shared" si="0"/>
        <v>15.01</v>
      </c>
      <c r="C15" s="4">
        <f t="shared" si="2"/>
        <v>20</v>
      </c>
      <c r="D15" s="4">
        <f t="shared" si="1"/>
        <v>26</v>
      </c>
    </row>
    <row r="16" spans="2:4" x14ac:dyDescent="0.25">
      <c r="B16" s="4">
        <f t="shared" si="0"/>
        <v>20.010000000000002</v>
      </c>
      <c r="C16" s="4">
        <f t="shared" si="2"/>
        <v>25</v>
      </c>
      <c r="D16" s="4">
        <f t="shared" si="1"/>
        <v>28</v>
      </c>
    </row>
    <row r="17" spans="2:4" x14ac:dyDescent="0.25">
      <c r="B17" s="4">
        <f t="shared" si="0"/>
        <v>25.01</v>
      </c>
      <c r="C17" s="4">
        <f t="shared" si="2"/>
        <v>30</v>
      </c>
      <c r="D17" s="4">
        <f t="shared" si="1"/>
        <v>30</v>
      </c>
    </row>
    <row r="18" spans="2:4" x14ac:dyDescent="0.25">
      <c r="B18" s="4">
        <f t="shared" si="0"/>
        <v>30.01</v>
      </c>
      <c r="C18" s="4">
        <f t="shared" si="2"/>
        <v>35</v>
      </c>
      <c r="D18" s="4">
        <f t="shared" si="1"/>
        <v>32</v>
      </c>
    </row>
    <row r="20" spans="2:4" x14ac:dyDescent="0.25">
      <c r="B20" s="237" t="s">
        <v>82</v>
      </c>
      <c r="C20" s="237"/>
    </row>
    <row r="21" spans="2:4" x14ac:dyDescent="0.25">
      <c r="B21" s="4" t="s">
        <v>83</v>
      </c>
      <c r="C21" s="21">
        <v>440.87</v>
      </c>
    </row>
    <row r="22" spans="2:4" x14ac:dyDescent="0.25">
      <c r="B22" s="4" t="s">
        <v>84</v>
      </c>
      <c r="C22" s="21">
        <v>315.04000000000002</v>
      </c>
    </row>
    <row r="24" spans="2:4" x14ac:dyDescent="0.25">
      <c r="B24" s="237" t="s">
        <v>68</v>
      </c>
      <c r="C24" s="237"/>
    </row>
    <row r="25" spans="2:4" x14ac:dyDescent="0.25">
      <c r="B25" s="4" t="s">
        <v>85</v>
      </c>
      <c r="C25" s="4">
        <v>113.14</v>
      </c>
    </row>
    <row r="26" spans="2:4" x14ac:dyDescent="0.25">
      <c r="B26" s="4" t="s">
        <v>86</v>
      </c>
      <c r="C26" s="4">
        <v>117.31</v>
      </c>
    </row>
    <row r="28" spans="2:4" x14ac:dyDescent="0.25">
      <c r="B28" s="4" t="s">
        <v>87</v>
      </c>
      <c r="C28" s="21">
        <v>3439.46</v>
      </c>
    </row>
    <row r="29" spans="2:4" x14ac:dyDescent="0.25">
      <c r="B29" s="4" t="s">
        <v>88</v>
      </c>
      <c r="C29" s="21">
        <v>3566.22</v>
      </c>
    </row>
    <row r="30" spans="2:4" x14ac:dyDescent="0.25">
      <c r="B30" s="4" t="s">
        <v>89</v>
      </c>
      <c r="C30" s="21">
        <v>11492.66</v>
      </c>
    </row>
    <row r="31" spans="2:4" x14ac:dyDescent="0.25">
      <c r="B31" s="4" t="s">
        <v>90</v>
      </c>
      <c r="C31" s="153">
        <v>0.1502</v>
      </c>
    </row>
    <row r="32" spans="2:4" x14ac:dyDescent="0.25">
      <c r="B32" s="4" t="s">
        <v>91</v>
      </c>
      <c r="C32" s="30">
        <v>0.15590000000000001</v>
      </c>
    </row>
    <row r="35" spans="2:2" x14ac:dyDescent="0.25">
      <c r="B35" s="31" t="s">
        <v>81</v>
      </c>
    </row>
    <row r="36" spans="2:2" x14ac:dyDescent="0.25">
      <c r="B36" s="4">
        <v>1</v>
      </c>
    </row>
    <row r="37" spans="2:2" x14ac:dyDescent="0.25">
      <c r="B37" s="4">
        <v>2</v>
      </c>
    </row>
    <row r="38" spans="2:2" x14ac:dyDescent="0.25">
      <c r="B38" s="4">
        <v>3</v>
      </c>
    </row>
    <row r="39" spans="2:2" x14ac:dyDescent="0.25">
      <c r="B39" s="4">
        <v>4</v>
      </c>
    </row>
    <row r="40" spans="2:2" x14ac:dyDescent="0.25">
      <c r="B40" s="4">
        <v>5</v>
      </c>
    </row>
    <row r="41" spans="2:2" x14ac:dyDescent="0.25">
      <c r="B41" s="4">
        <v>6</v>
      </c>
    </row>
    <row r="42" spans="2:2" x14ac:dyDescent="0.25">
      <c r="B42" s="4">
        <v>7</v>
      </c>
    </row>
    <row r="43" spans="2:2" x14ac:dyDescent="0.25">
      <c r="B43" s="4">
        <v>8</v>
      </c>
    </row>
    <row r="44" spans="2:2" x14ac:dyDescent="0.25">
      <c r="B44" s="4">
        <v>9</v>
      </c>
    </row>
    <row r="45" spans="2:2" x14ac:dyDescent="0.25">
      <c r="B45" s="4">
        <v>10</v>
      </c>
    </row>
    <row r="46" spans="2:2" x14ac:dyDescent="0.25">
      <c r="B46" s="4">
        <v>11</v>
      </c>
    </row>
    <row r="47" spans="2:2" x14ac:dyDescent="0.25">
      <c r="B47" s="4">
        <v>12</v>
      </c>
    </row>
    <row r="48" spans="2:2" x14ac:dyDescent="0.25">
      <c r="B48" s="4">
        <v>13</v>
      </c>
    </row>
    <row r="49" spans="2:2" x14ac:dyDescent="0.25">
      <c r="B49" s="4">
        <v>14</v>
      </c>
    </row>
    <row r="50" spans="2:2" x14ac:dyDescent="0.25">
      <c r="B50" s="4">
        <v>15</v>
      </c>
    </row>
    <row r="51" spans="2:2" x14ac:dyDescent="0.25">
      <c r="B51" s="4">
        <v>16</v>
      </c>
    </row>
    <row r="52" spans="2:2" x14ac:dyDescent="0.25">
      <c r="B52" s="4">
        <v>17</v>
      </c>
    </row>
    <row r="53" spans="2:2" x14ac:dyDescent="0.25">
      <c r="B53" s="4">
        <v>18</v>
      </c>
    </row>
    <row r="54" spans="2:2" x14ac:dyDescent="0.25">
      <c r="B54" s="4">
        <v>19</v>
      </c>
    </row>
    <row r="55" spans="2:2" x14ac:dyDescent="0.25">
      <c r="B55" s="4">
        <v>20</v>
      </c>
    </row>
    <row r="56" spans="2:2" x14ac:dyDescent="0.25">
      <c r="B56" s="4">
        <v>21</v>
      </c>
    </row>
    <row r="57" spans="2:2" x14ac:dyDescent="0.25">
      <c r="B57" s="4">
        <v>22</v>
      </c>
    </row>
    <row r="58" spans="2:2" x14ac:dyDescent="0.25">
      <c r="B58" s="4">
        <v>23</v>
      </c>
    </row>
    <row r="59" spans="2:2" x14ac:dyDescent="0.25">
      <c r="B59" s="4">
        <v>24</v>
      </c>
    </row>
    <row r="60" spans="2:2" x14ac:dyDescent="0.25">
      <c r="B60" s="4">
        <v>25</v>
      </c>
    </row>
    <row r="61" spans="2:2" x14ac:dyDescent="0.25">
      <c r="B61" s="4">
        <v>26</v>
      </c>
    </row>
    <row r="62" spans="2:2" x14ac:dyDescent="0.25">
      <c r="B62" s="4">
        <v>27</v>
      </c>
    </row>
    <row r="63" spans="2:2" x14ac:dyDescent="0.25">
      <c r="B63" s="4">
        <v>28</v>
      </c>
    </row>
    <row r="64" spans="2:2" x14ac:dyDescent="0.25">
      <c r="B64" s="4">
        <v>29</v>
      </c>
    </row>
    <row r="65" spans="2:4" x14ac:dyDescent="0.25">
      <c r="B65" s="4">
        <v>30</v>
      </c>
    </row>
    <row r="66" spans="2:4" x14ac:dyDescent="0.25">
      <c r="B66" s="4">
        <v>31</v>
      </c>
    </row>
    <row r="69" spans="2:4" x14ac:dyDescent="0.25">
      <c r="B69" t="s">
        <v>54</v>
      </c>
    </row>
    <row r="70" spans="2:4" x14ac:dyDescent="0.25">
      <c r="B70" t="s">
        <v>94</v>
      </c>
    </row>
    <row r="72" spans="2:4" ht="15.75" thickBot="1" x14ac:dyDescent="0.3"/>
    <row r="73" spans="2:4" ht="28.5" x14ac:dyDescent="0.25">
      <c r="B73" s="57" t="s">
        <v>149</v>
      </c>
      <c r="C73" s="58" t="s">
        <v>1</v>
      </c>
    </row>
    <row r="74" spans="2:4" x14ac:dyDescent="0.25">
      <c r="B74" s="41">
        <v>1</v>
      </c>
      <c r="C74" s="2" t="s">
        <v>150</v>
      </c>
      <c r="D74" t="str">
        <f>"01 "&amp;C74</f>
        <v>01 Dobles</v>
      </c>
    </row>
    <row r="75" spans="2:4" x14ac:dyDescent="0.25">
      <c r="B75" s="41">
        <v>2</v>
      </c>
      <c r="C75" s="2" t="s">
        <v>151</v>
      </c>
      <c r="D75" t="str">
        <f>"02 "&amp;C75</f>
        <v>02 Triples</v>
      </c>
    </row>
    <row r="76" spans="2:4" x14ac:dyDescent="0.25">
      <c r="B76" s="41">
        <v>3</v>
      </c>
      <c r="C76" s="2" t="s">
        <v>152</v>
      </c>
      <c r="D76" t="str">
        <f>"03 "&amp;C76</f>
        <v>03 Simples</v>
      </c>
    </row>
    <row r="82" spans="2:2" x14ac:dyDescent="0.25">
      <c r="B82" t="s">
        <v>85</v>
      </c>
    </row>
    <row r="83" spans="2:2" x14ac:dyDescent="0.25">
      <c r="B83" t="s">
        <v>195</v>
      </c>
    </row>
    <row r="84" spans="2:2" x14ac:dyDescent="0.25">
      <c r="B84" t="s">
        <v>196</v>
      </c>
    </row>
    <row r="85" spans="2:2" x14ac:dyDescent="0.25">
      <c r="B85" t="s">
        <v>197</v>
      </c>
    </row>
    <row r="86" spans="2:2" x14ac:dyDescent="0.25">
      <c r="B86" t="s">
        <v>198</v>
      </c>
    </row>
    <row r="87" spans="2:2" x14ac:dyDescent="0.25">
      <c r="B87" t="s">
        <v>199</v>
      </c>
    </row>
    <row r="88" spans="2:2" x14ac:dyDescent="0.25">
      <c r="B88" t="s">
        <v>200</v>
      </c>
    </row>
    <row r="89" spans="2:2" x14ac:dyDescent="0.25">
      <c r="B89" t="s">
        <v>201</v>
      </c>
    </row>
    <row r="90" spans="2:2" x14ac:dyDescent="0.25">
      <c r="B90" t="s">
        <v>202</v>
      </c>
    </row>
    <row r="91" spans="2:2" x14ac:dyDescent="0.25">
      <c r="B91" t="s">
        <v>203</v>
      </c>
    </row>
    <row r="92" spans="2:2" x14ac:dyDescent="0.25">
      <c r="B92" t="s">
        <v>204</v>
      </c>
    </row>
    <row r="93" spans="2:2" x14ac:dyDescent="0.25">
      <c r="B93" t="s">
        <v>205</v>
      </c>
    </row>
    <row r="107" spans="2:2" x14ac:dyDescent="0.25">
      <c r="B107" s="67" t="s">
        <v>511</v>
      </c>
    </row>
  </sheetData>
  <mergeCells count="4">
    <mergeCell ref="B5:D5"/>
    <mergeCell ref="B6:C6"/>
    <mergeCell ref="B20:C20"/>
    <mergeCell ref="B24:C24"/>
  </mergeCells>
  <phoneticPr fontId="19" type="noConversion"/>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6CA1-F4E2-49EE-9BD1-E630A8486F82}">
  <sheetPr codeName="Hoja12"/>
  <dimension ref="B5:C15"/>
  <sheetViews>
    <sheetView showGridLines="0" showRowColHeaders="0" zoomScale="110" zoomScaleNormal="110" workbookViewId="0">
      <selection activeCell="B7" sqref="B7"/>
    </sheetView>
  </sheetViews>
  <sheetFormatPr baseColWidth="10" defaultRowHeight="15" x14ac:dyDescent="0.25"/>
  <cols>
    <col min="1" max="1" width="8.140625" customWidth="1"/>
    <col min="2" max="2" width="65.42578125" bestFit="1" customWidth="1"/>
    <col min="3" max="3" width="26" customWidth="1"/>
  </cols>
  <sheetData>
    <row r="5" spans="2:3" ht="15.75" thickBot="1" x14ac:dyDescent="0.3"/>
    <row r="6" spans="2:3" ht="18.75" x14ac:dyDescent="0.25">
      <c r="B6" s="189" t="s">
        <v>1</v>
      </c>
      <c r="C6" s="189" t="s">
        <v>225</v>
      </c>
    </row>
    <row r="7" spans="2:3" ht="18.75" x14ac:dyDescent="0.3">
      <c r="B7" s="163" t="s">
        <v>436</v>
      </c>
      <c r="C7" s="165" t="s">
        <v>437</v>
      </c>
    </row>
    <row r="8" spans="2:3" ht="18.75" x14ac:dyDescent="0.3">
      <c r="B8" s="162" t="s">
        <v>505</v>
      </c>
      <c r="C8" s="164" t="s">
        <v>506</v>
      </c>
    </row>
    <row r="9" spans="2:3" ht="18.75" x14ac:dyDescent="0.3">
      <c r="B9" s="163" t="s">
        <v>507</v>
      </c>
      <c r="C9" s="165" t="s">
        <v>440</v>
      </c>
    </row>
    <row r="10" spans="2:3" ht="18.75" x14ac:dyDescent="0.3">
      <c r="B10" s="162" t="s">
        <v>438</v>
      </c>
      <c r="C10" s="164" t="s">
        <v>229</v>
      </c>
    </row>
    <row r="11" spans="2:3" ht="18.75" x14ac:dyDescent="0.3">
      <c r="B11" s="163" t="s">
        <v>442</v>
      </c>
      <c r="C11" s="165" t="s">
        <v>226</v>
      </c>
    </row>
    <row r="12" spans="2:3" ht="18.75" x14ac:dyDescent="0.3">
      <c r="B12" s="162" t="s">
        <v>227</v>
      </c>
      <c r="C12" s="164" t="s">
        <v>228</v>
      </c>
    </row>
    <row r="13" spans="2:3" ht="18.75" x14ac:dyDescent="0.3">
      <c r="B13" s="163" t="s">
        <v>439</v>
      </c>
      <c r="C13" s="165" t="s">
        <v>510</v>
      </c>
    </row>
    <row r="14" spans="2:3" ht="18.75" x14ac:dyDescent="0.3">
      <c r="B14" s="162" t="s">
        <v>230</v>
      </c>
      <c r="C14" s="164" t="s">
        <v>193</v>
      </c>
    </row>
    <row r="15" spans="2:3" ht="19.5" thickBot="1" x14ac:dyDescent="0.35">
      <c r="B15" s="190" t="s">
        <v>231</v>
      </c>
      <c r="C15" s="191" t="s">
        <v>232</v>
      </c>
    </row>
  </sheetData>
  <sheetProtection algorithmName="SHA-512" hashValue="p9neB4fthS31srvnSbrHQ/92NPYkvtIEELNmnndDUJwDx3b0OEsXE6HFl9PUcvDGyisWMmVdMEHRai/32qrDKA==" saltValue="hhIWTtzAyff3RZisaTCXjw==" spinCount="100000" sheet="1" objects="1" scenarios="1"/>
  <hyperlinks>
    <hyperlink ref="C9" location="FUNDAMENTO!B6" display="FUNDAMENTO" xr:uid="{F3CEDA09-5EA7-4582-B60B-2FE4AB73DB3B}"/>
    <hyperlink ref="C12" location="PREVISION!C5" display="PREVISION" xr:uid="{DBCE8827-EEA8-4BB5-B260-50DCD5DDBD51}"/>
    <hyperlink ref="C10" location="MENU!C10" display="DEDUCCION" xr:uid="{244AE01B-F135-4B9A-B6CA-2A5E8D8758DC}"/>
    <hyperlink ref="C14" location="SBC!D7" display="SBC" xr:uid="{3D61F40B-2F70-4F2C-8ABA-41D3323CA780}"/>
    <hyperlink ref="C15" location="GENERAL!B7" display="GENERAL" xr:uid="{E45670FF-4D20-4826-946A-0AB74D9FC1B9}"/>
    <hyperlink ref="C7" location="APEND6!B4" display="APEND6" xr:uid="{36E45A0E-CD12-418D-904A-732323D1506B}"/>
    <hyperlink ref="C13" location="TIMBRADO!D4" display="TIMBRADO" xr:uid="{E2CCBBE2-4EDE-41E6-936C-D6C3AA9E6F3E}"/>
    <hyperlink ref="C8" location="REQUISITOS!B6" display="REQUISITOS" xr:uid="{8EC6DAF5-D3D5-4475-B21A-3D10E4617EED}"/>
    <hyperlink ref="C11" location="PERCEPCION!B6" display="PERCEPCION" xr:uid="{373DA410-A260-4EFE-B5B3-CDD671CD401D}"/>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800B-E2BD-4AD5-AE72-35195D8CEC4C}">
  <sheetPr codeName="Hoja13"/>
  <dimension ref="A4:J174"/>
  <sheetViews>
    <sheetView showGridLines="0" zoomScale="110" zoomScaleNormal="110" workbookViewId="0">
      <selection activeCell="E31" sqref="E31"/>
    </sheetView>
  </sheetViews>
  <sheetFormatPr baseColWidth="10" defaultRowHeight="15" outlineLevelRow="1" x14ac:dyDescent="0.25"/>
  <cols>
    <col min="1" max="1" width="5.140625" customWidth="1"/>
    <col min="3" max="3" width="58" customWidth="1"/>
    <col min="4" max="4" width="17" customWidth="1"/>
    <col min="5" max="5" width="34.28515625" customWidth="1"/>
    <col min="6" max="6" width="5.7109375" customWidth="1"/>
    <col min="8" max="8" width="69.85546875" customWidth="1"/>
  </cols>
  <sheetData>
    <row r="4" spans="2:8" x14ac:dyDescent="0.25">
      <c r="B4" s="202" t="s">
        <v>243</v>
      </c>
      <c r="C4" s="202"/>
      <c r="D4" s="202"/>
      <c r="E4" s="202"/>
      <c r="F4" s="202"/>
      <c r="G4" s="202"/>
      <c r="H4" s="202"/>
    </row>
    <row r="5" spans="2:8" x14ac:dyDescent="0.25">
      <c r="B5" s="202" t="s">
        <v>244</v>
      </c>
      <c r="C5" s="202"/>
      <c r="D5" s="202"/>
      <c r="E5" s="202"/>
      <c r="F5" s="202"/>
      <c r="G5" s="202"/>
      <c r="H5" s="202"/>
    </row>
    <row r="6" spans="2:8" x14ac:dyDescent="0.25">
      <c r="B6" s="202" t="s">
        <v>245</v>
      </c>
      <c r="C6" s="202"/>
      <c r="D6" s="202"/>
      <c r="E6" s="202"/>
      <c r="F6" s="202"/>
      <c r="G6" s="202"/>
      <c r="H6" s="202"/>
    </row>
    <row r="7" spans="2:8" ht="31.5" customHeight="1" x14ac:dyDescent="0.25">
      <c r="B7" s="203" t="s">
        <v>246</v>
      </c>
      <c r="C7" s="203"/>
      <c r="D7" s="203"/>
      <c r="E7" s="203"/>
      <c r="F7" s="203"/>
      <c r="G7" s="203"/>
      <c r="H7" s="203"/>
    </row>
    <row r="8" spans="2:8" x14ac:dyDescent="0.25">
      <c r="B8" s="202" t="s">
        <v>247</v>
      </c>
      <c r="C8" s="202"/>
      <c r="D8" s="202"/>
      <c r="E8" s="202"/>
      <c r="F8" s="202"/>
      <c r="G8" s="202"/>
      <c r="H8" s="202"/>
    </row>
    <row r="9" spans="2:8" x14ac:dyDescent="0.25">
      <c r="B9" s="39"/>
    </row>
    <row r="10" spans="2:8" x14ac:dyDescent="0.25">
      <c r="B10" s="77"/>
      <c r="C10" s="78"/>
      <c r="D10" s="78"/>
      <c r="E10" s="78"/>
      <c r="F10" s="78"/>
      <c r="G10" s="78"/>
      <c r="H10" s="78"/>
    </row>
    <row r="13" spans="2:8" x14ac:dyDescent="0.25">
      <c r="B13" s="79" t="s">
        <v>243</v>
      </c>
      <c r="E13" s="80" t="s">
        <v>248</v>
      </c>
    </row>
    <row r="14" spans="2:8" ht="55.5" hidden="1" customHeight="1" outlineLevel="1" x14ac:dyDescent="0.25">
      <c r="B14" s="196" t="s">
        <v>249</v>
      </c>
      <c r="C14" s="197"/>
      <c r="D14" s="197"/>
      <c r="E14" s="197"/>
      <c r="G14" s="198" t="e" vm="1">
        <v>#VALUE!</v>
      </c>
      <c r="H14" s="198"/>
    </row>
    <row r="15" spans="2:8" ht="120.75" hidden="1" customHeight="1" outlineLevel="1" x14ac:dyDescent="0.25">
      <c r="B15" s="199" t="s">
        <v>250</v>
      </c>
      <c r="C15" s="200"/>
      <c r="D15" s="200"/>
      <c r="E15" s="200"/>
      <c r="G15" s="198"/>
      <c r="H15" s="198"/>
    </row>
    <row r="16" spans="2:8" hidden="1" outlineLevel="1" x14ac:dyDescent="0.25">
      <c r="B16" s="201" t="s">
        <v>251</v>
      </c>
      <c r="C16" s="201"/>
      <c r="D16" s="201"/>
      <c r="E16" s="201"/>
      <c r="G16" s="198"/>
      <c r="H16" s="198"/>
    </row>
    <row r="17" spans="2:8" hidden="1" outlineLevel="1" x14ac:dyDescent="0.25">
      <c r="B17" s="201"/>
      <c r="C17" s="201"/>
      <c r="D17" s="201"/>
      <c r="E17" s="201"/>
      <c r="G17" s="198"/>
      <c r="H17" s="198"/>
    </row>
    <row r="18" spans="2:8" hidden="1" outlineLevel="1" x14ac:dyDescent="0.25">
      <c r="B18" s="201"/>
      <c r="C18" s="201"/>
      <c r="D18" s="201"/>
      <c r="E18" s="201"/>
      <c r="G18" s="198"/>
      <c r="H18" s="198"/>
    </row>
    <row r="19" spans="2:8" hidden="1" outlineLevel="1" x14ac:dyDescent="0.25"/>
    <row r="20" spans="2:8" collapsed="1" x14ac:dyDescent="0.25">
      <c r="B20" s="204" t="s">
        <v>252</v>
      </c>
      <c r="C20" s="204"/>
      <c r="D20" s="204"/>
      <c r="E20" s="204"/>
      <c r="G20" s="205" t="s">
        <v>253</v>
      </c>
      <c r="H20" s="206"/>
    </row>
    <row r="21" spans="2:8" ht="30" x14ac:dyDescent="0.25">
      <c r="B21" s="81" t="s">
        <v>49</v>
      </c>
      <c r="C21" s="81" t="s">
        <v>1</v>
      </c>
      <c r="D21" s="81" t="s">
        <v>254</v>
      </c>
      <c r="E21" s="81" t="s">
        <v>255</v>
      </c>
      <c r="G21" s="81" t="s">
        <v>256</v>
      </c>
      <c r="H21" s="81" t="s">
        <v>1</v>
      </c>
    </row>
    <row r="22" spans="2:8" x14ac:dyDescent="0.25">
      <c r="B22" s="82">
        <v>1</v>
      </c>
      <c r="C22" s="66" t="s">
        <v>2</v>
      </c>
      <c r="D22" s="7" t="s">
        <v>64</v>
      </c>
      <c r="E22" s="4"/>
      <c r="G22" s="82">
        <v>2</v>
      </c>
      <c r="H22" s="2" t="s">
        <v>208</v>
      </c>
    </row>
    <row r="23" spans="2:8" ht="98.25" hidden="1" customHeight="1" outlineLevel="1" x14ac:dyDescent="0.25">
      <c r="B23" s="207" t="s">
        <v>257</v>
      </c>
      <c r="C23" s="208"/>
      <c r="D23" s="208"/>
      <c r="E23" s="209"/>
      <c r="G23" s="82"/>
      <c r="H23" s="2"/>
    </row>
    <row r="24" spans="2:8" ht="30" collapsed="1" x14ac:dyDescent="0.25">
      <c r="B24" s="1">
        <v>2</v>
      </c>
      <c r="C24" s="2" t="s">
        <v>3</v>
      </c>
      <c r="D24" s="7" t="s">
        <v>258</v>
      </c>
      <c r="E24" s="40" t="s">
        <v>259</v>
      </c>
      <c r="G24" s="82">
        <v>6</v>
      </c>
      <c r="H24" s="2" t="s">
        <v>209</v>
      </c>
    </row>
    <row r="25" spans="2:8" ht="30" x14ac:dyDescent="0.25">
      <c r="B25" s="1">
        <v>3</v>
      </c>
      <c r="C25" s="2" t="s">
        <v>4</v>
      </c>
      <c r="D25" s="7" t="s">
        <v>258</v>
      </c>
      <c r="E25" s="40" t="s">
        <v>260</v>
      </c>
      <c r="G25" s="82">
        <v>12</v>
      </c>
      <c r="H25" s="2" t="s">
        <v>97</v>
      </c>
    </row>
    <row r="26" spans="2:8" x14ac:dyDescent="0.25">
      <c r="B26" s="1">
        <v>4</v>
      </c>
      <c r="C26" s="2" t="s">
        <v>5</v>
      </c>
      <c r="D26" s="7" t="s">
        <v>258</v>
      </c>
      <c r="E26" s="4"/>
      <c r="G26" s="82">
        <v>20</v>
      </c>
      <c r="H26" s="2" t="s">
        <v>99</v>
      </c>
    </row>
    <row r="27" spans="2:8" x14ac:dyDescent="0.25">
      <c r="B27" s="1">
        <v>5</v>
      </c>
      <c r="C27" s="2" t="s">
        <v>6</v>
      </c>
      <c r="D27" s="7" t="s">
        <v>258</v>
      </c>
      <c r="E27" s="4"/>
      <c r="G27" s="82">
        <v>13</v>
      </c>
      <c r="H27" s="2" t="s">
        <v>98</v>
      </c>
    </row>
    <row r="28" spans="2:8" x14ac:dyDescent="0.25">
      <c r="B28" s="1">
        <v>6</v>
      </c>
      <c r="C28" s="2" t="s">
        <v>7</v>
      </c>
      <c r="D28" s="7" t="s">
        <v>258</v>
      </c>
      <c r="E28" s="4"/>
      <c r="G28" s="82">
        <v>20</v>
      </c>
      <c r="H28" s="2" t="s">
        <v>99</v>
      </c>
    </row>
    <row r="29" spans="2:8" ht="28.5" x14ac:dyDescent="0.25">
      <c r="B29" s="1">
        <v>9</v>
      </c>
      <c r="C29" s="2" t="s">
        <v>8</v>
      </c>
      <c r="D29" s="7" t="s">
        <v>64</v>
      </c>
      <c r="E29" s="4"/>
      <c r="G29" s="82">
        <v>24</v>
      </c>
      <c r="H29" s="83" t="s">
        <v>101</v>
      </c>
    </row>
    <row r="30" spans="2:8" x14ac:dyDescent="0.25">
      <c r="B30" s="1">
        <v>10</v>
      </c>
      <c r="C30" s="2" t="s">
        <v>9</v>
      </c>
      <c r="D30" s="7" t="s">
        <v>64</v>
      </c>
      <c r="E30" s="4"/>
      <c r="G30" s="82">
        <v>25</v>
      </c>
      <c r="H30" s="83" t="s">
        <v>102</v>
      </c>
    </row>
    <row r="31" spans="2:8" ht="28.5" x14ac:dyDescent="0.25">
      <c r="B31" s="1">
        <v>11</v>
      </c>
      <c r="C31" s="2" t="s">
        <v>10</v>
      </c>
      <c r="D31" s="7" t="s">
        <v>258</v>
      </c>
      <c r="E31" s="4"/>
      <c r="G31" s="82">
        <v>26</v>
      </c>
      <c r="H31" s="83" t="s">
        <v>103</v>
      </c>
    </row>
    <row r="32" spans="2:8" ht="28.5" x14ac:dyDescent="0.25">
      <c r="B32" s="1">
        <v>12</v>
      </c>
      <c r="C32" s="2" t="s">
        <v>11</v>
      </c>
      <c r="D32" s="7" t="s">
        <v>258</v>
      </c>
      <c r="E32" s="4"/>
      <c r="G32" s="82">
        <v>27</v>
      </c>
      <c r="H32" s="83" t="s">
        <v>104</v>
      </c>
    </row>
    <row r="33" spans="2:8" ht="28.5" x14ac:dyDescent="0.25">
      <c r="B33" s="1">
        <v>13</v>
      </c>
      <c r="C33" s="2" t="s">
        <v>12</v>
      </c>
      <c r="D33" s="7" t="s">
        <v>64</v>
      </c>
      <c r="E33" s="4"/>
      <c r="G33" s="82">
        <v>28</v>
      </c>
      <c r="H33" s="83" t="s">
        <v>105</v>
      </c>
    </row>
    <row r="34" spans="2:8" x14ac:dyDescent="0.25">
      <c r="B34" s="1">
        <v>14</v>
      </c>
      <c r="C34" s="2" t="s">
        <v>13</v>
      </c>
      <c r="D34" s="7" t="s">
        <v>258</v>
      </c>
      <c r="E34" s="4"/>
      <c r="G34" s="82">
        <v>29</v>
      </c>
      <c r="H34" s="83" t="s">
        <v>106</v>
      </c>
    </row>
    <row r="35" spans="2:8" x14ac:dyDescent="0.25">
      <c r="B35" s="1">
        <v>15</v>
      </c>
      <c r="C35" s="2" t="s">
        <v>14</v>
      </c>
      <c r="D35" s="7" t="s">
        <v>258</v>
      </c>
      <c r="E35" s="4"/>
      <c r="G35" s="82">
        <v>30</v>
      </c>
      <c r="H35" s="83" t="s">
        <v>108</v>
      </c>
    </row>
    <row r="36" spans="2:8" ht="125.25" hidden="1" customHeight="1" outlineLevel="1" x14ac:dyDescent="0.25">
      <c r="B36" s="207" t="s">
        <v>261</v>
      </c>
      <c r="C36" s="208"/>
      <c r="D36" s="208"/>
      <c r="E36" s="209"/>
      <c r="G36" s="82"/>
      <c r="H36" s="83"/>
    </row>
    <row r="37" spans="2:8" ht="45" collapsed="1" x14ac:dyDescent="0.25">
      <c r="B37" s="1">
        <v>19</v>
      </c>
      <c r="C37" s="2" t="s">
        <v>15</v>
      </c>
      <c r="D37" s="7" t="s">
        <v>258</v>
      </c>
      <c r="E37" s="40" t="s">
        <v>262</v>
      </c>
      <c r="G37" s="82">
        <v>31</v>
      </c>
      <c r="H37" s="83" t="s">
        <v>158</v>
      </c>
    </row>
    <row r="38" spans="2:8" ht="101.25" hidden="1" customHeight="1" outlineLevel="1" x14ac:dyDescent="0.25">
      <c r="B38" s="207" t="s">
        <v>257</v>
      </c>
      <c r="C38" s="208"/>
      <c r="D38" s="208"/>
      <c r="E38" s="209"/>
      <c r="G38" s="82"/>
      <c r="H38" s="83"/>
    </row>
    <row r="39" spans="2:8" ht="45" collapsed="1" x14ac:dyDescent="0.25">
      <c r="B39" s="1">
        <v>20</v>
      </c>
      <c r="C39" s="2" t="s">
        <v>16</v>
      </c>
      <c r="D39" s="7" t="s">
        <v>258</v>
      </c>
      <c r="E39" s="40" t="s">
        <v>263</v>
      </c>
      <c r="G39" s="82">
        <v>32</v>
      </c>
      <c r="H39" s="83" t="s">
        <v>159</v>
      </c>
    </row>
    <row r="40" spans="2:8" ht="30" x14ac:dyDescent="0.25">
      <c r="B40" s="1">
        <v>21</v>
      </c>
      <c r="C40" s="2" t="s">
        <v>17</v>
      </c>
      <c r="D40" s="7" t="s">
        <v>258</v>
      </c>
      <c r="E40" s="40" t="s">
        <v>260</v>
      </c>
      <c r="G40" s="82">
        <v>33</v>
      </c>
      <c r="H40" s="83" t="s">
        <v>110</v>
      </c>
    </row>
    <row r="41" spans="2:8" x14ac:dyDescent="0.25">
      <c r="B41" s="1">
        <v>24</v>
      </c>
      <c r="C41" s="2" t="s">
        <v>20</v>
      </c>
      <c r="D41" s="7" t="s">
        <v>258</v>
      </c>
      <c r="E41" s="4"/>
      <c r="G41" s="82">
        <v>34</v>
      </c>
      <c r="H41" s="83" t="s">
        <v>112</v>
      </c>
    </row>
    <row r="42" spans="2:8" x14ac:dyDescent="0.25">
      <c r="B42" s="1">
        <v>26</v>
      </c>
      <c r="C42" s="2" t="s">
        <v>22</v>
      </c>
      <c r="D42" s="7" t="s">
        <v>258</v>
      </c>
      <c r="E42" s="4"/>
      <c r="G42" s="82">
        <v>35</v>
      </c>
      <c r="H42" s="83" t="s">
        <v>309</v>
      </c>
    </row>
    <row r="43" spans="2:8" ht="18" customHeight="1" x14ac:dyDescent="0.25">
      <c r="B43" s="1">
        <v>27</v>
      </c>
      <c r="C43" s="2" t="s">
        <v>23</v>
      </c>
      <c r="D43" s="7" t="s">
        <v>65</v>
      </c>
      <c r="E43" s="4"/>
      <c r="G43" s="82">
        <v>36</v>
      </c>
      <c r="H43" s="83" t="s">
        <v>114</v>
      </c>
    </row>
    <row r="44" spans="2:8" x14ac:dyDescent="0.25">
      <c r="B44" s="1">
        <v>28</v>
      </c>
      <c r="C44" s="2" t="s">
        <v>24</v>
      </c>
      <c r="D44" s="7" t="s">
        <v>64</v>
      </c>
      <c r="E44" s="4"/>
      <c r="G44" s="82">
        <v>37</v>
      </c>
      <c r="H44" s="83" t="s">
        <v>116</v>
      </c>
    </row>
    <row r="45" spans="2:8" x14ac:dyDescent="0.25">
      <c r="B45" s="1">
        <v>29</v>
      </c>
      <c r="C45" s="2" t="s">
        <v>25</v>
      </c>
      <c r="D45" s="7" t="s">
        <v>258</v>
      </c>
      <c r="E45" s="4"/>
      <c r="G45" s="82">
        <v>38</v>
      </c>
      <c r="H45" s="83" t="s">
        <v>162</v>
      </c>
    </row>
    <row r="46" spans="2:8" x14ac:dyDescent="0.25">
      <c r="B46" s="1">
        <v>30</v>
      </c>
      <c r="C46" s="2" t="s">
        <v>26</v>
      </c>
      <c r="D46" s="7" t="s">
        <v>258</v>
      </c>
      <c r="E46" s="4"/>
      <c r="G46" s="82">
        <v>39</v>
      </c>
      <c r="H46" s="83" t="s">
        <v>163</v>
      </c>
    </row>
    <row r="47" spans="2:8" x14ac:dyDescent="0.25">
      <c r="B47" s="1">
        <v>31</v>
      </c>
      <c r="C47" s="2" t="s">
        <v>27</v>
      </c>
      <c r="D47" s="7" t="s">
        <v>258</v>
      </c>
      <c r="E47" s="4"/>
      <c r="G47" s="82">
        <v>40</v>
      </c>
      <c r="H47" s="83" t="s">
        <v>164</v>
      </c>
    </row>
    <row r="48" spans="2:8" x14ac:dyDescent="0.25">
      <c r="B48" s="1">
        <v>32</v>
      </c>
      <c r="C48" s="2" t="s">
        <v>28</v>
      </c>
      <c r="D48" s="7" t="s">
        <v>258</v>
      </c>
      <c r="E48" s="4"/>
      <c r="G48" s="82">
        <v>41</v>
      </c>
      <c r="H48" s="83" t="s">
        <v>165</v>
      </c>
    </row>
    <row r="49" spans="2:8" x14ac:dyDescent="0.25">
      <c r="B49" s="1">
        <v>33</v>
      </c>
      <c r="C49" s="2" t="s">
        <v>29</v>
      </c>
      <c r="D49" s="7" t="s">
        <v>258</v>
      </c>
      <c r="E49" s="4"/>
      <c r="G49" s="82">
        <v>42</v>
      </c>
      <c r="H49" s="83" t="s">
        <v>118</v>
      </c>
    </row>
    <row r="50" spans="2:8" x14ac:dyDescent="0.25">
      <c r="B50" s="1">
        <v>34</v>
      </c>
      <c r="C50" s="2" t="s">
        <v>30</v>
      </c>
      <c r="D50" s="7" t="s">
        <v>258</v>
      </c>
      <c r="E50" s="4"/>
      <c r="G50" s="82">
        <v>43</v>
      </c>
      <c r="H50" s="83" t="s">
        <v>119</v>
      </c>
    </row>
    <row r="51" spans="2:8" x14ac:dyDescent="0.25">
      <c r="B51" s="1">
        <v>35</v>
      </c>
      <c r="C51" s="2" t="s">
        <v>31</v>
      </c>
      <c r="D51" s="7" t="s">
        <v>258</v>
      </c>
      <c r="E51" s="4"/>
      <c r="G51" s="82">
        <v>48</v>
      </c>
      <c r="H51" s="83" t="s">
        <v>264</v>
      </c>
    </row>
    <row r="52" spans="2:8" x14ac:dyDescent="0.25">
      <c r="B52" s="1">
        <v>36</v>
      </c>
      <c r="C52" s="2" t="s">
        <v>32</v>
      </c>
      <c r="D52" s="7" t="s">
        <v>258</v>
      </c>
      <c r="E52" s="4"/>
      <c r="G52" s="82">
        <v>51</v>
      </c>
      <c r="H52" s="83" t="s">
        <v>120</v>
      </c>
    </row>
    <row r="53" spans="2:8" x14ac:dyDescent="0.25">
      <c r="B53" s="1">
        <v>37</v>
      </c>
      <c r="C53" s="2" t="s">
        <v>33</v>
      </c>
      <c r="D53" s="7" t="s">
        <v>258</v>
      </c>
      <c r="E53" s="4"/>
      <c r="G53" s="82">
        <v>52</v>
      </c>
      <c r="H53" s="83" t="s">
        <v>166</v>
      </c>
    </row>
    <row r="54" spans="2:8" x14ac:dyDescent="0.25">
      <c r="B54" s="1">
        <v>38</v>
      </c>
      <c r="C54" s="2" t="s">
        <v>34</v>
      </c>
      <c r="D54" s="7" t="s">
        <v>64</v>
      </c>
      <c r="E54" s="4"/>
      <c r="G54" s="82">
        <v>53</v>
      </c>
      <c r="H54" s="83" t="s">
        <v>161</v>
      </c>
    </row>
    <row r="55" spans="2:8" ht="28.5" x14ac:dyDescent="0.25">
      <c r="B55" s="1" t="s">
        <v>40</v>
      </c>
      <c r="C55" s="3" t="s">
        <v>310</v>
      </c>
      <c r="D55" s="7" t="s">
        <v>258</v>
      </c>
      <c r="E55" s="4"/>
      <c r="G55" s="82">
        <v>54</v>
      </c>
      <c r="H55" s="83" t="s">
        <v>121</v>
      </c>
    </row>
    <row r="56" spans="2:8" x14ac:dyDescent="0.25">
      <c r="B56" s="1">
        <v>48</v>
      </c>
      <c r="C56" s="3" t="s">
        <v>42</v>
      </c>
      <c r="D56" s="7" t="s">
        <v>258</v>
      </c>
      <c r="E56" s="4"/>
      <c r="G56" s="82">
        <v>55</v>
      </c>
      <c r="H56" s="83" t="s">
        <v>123</v>
      </c>
    </row>
    <row r="57" spans="2:8" x14ac:dyDescent="0.25">
      <c r="B57" s="1">
        <v>49</v>
      </c>
      <c r="C57" s="3" t="s">
        <v>43</v>
      </c>
      <c r="D57" s="7" t="s">
        <v>64</v>
      </c>
      <c r="E57" s="4"/>
      <c r="G57" s="82">
        <v>56</v>
      </c>
      <c r="H57" s="83" t="s">
        <v>125</v>
      </c>
    </row>
    <row r="58" spans="2:8" x14ac:dyDescent="0.25">
      <c r="B58" s="1">
        <v>50</v>
      </c>
      <c r="C58" s="3" t="s">
        <v>44</v>
      </c>
      <c r="D58" s="7" t="s">
        <v>258</v>
      </c>
      <c r="E58" s="4"/>
      <c r="G58" s="82">
        <v>57</v>
      </c>
      <c r="H58" s="83" t="s">
        <v>127</v>
      </c>
    </row>
    <row r="59" spans="2:8" x14ac:dyDescent="0.25">
      <c r="B59" s="1">
        <v>54</v>
      </c>
      <c r="C59" s="91" t="s">
        <v>240</v>
      </c>
      <c r="D59" s="7" t="s">
        <v>258</v>
      </c>
      <c r="E59" s="4"/>
      <c r="G59" s="82">
        <v>58</v>
      </c>
      <c r="H59" s="83" t="s">
        <v>129</v>
      </c>
    </row>
    <row r="60" spans="2:8" x14ac:dyDescent="0.25">
      <c r="B60" s="1">
        <v>55</v>
      </c>
      <c r="C60" s="85" t="s">
        <v>311</v>
      </c>
      <c r="D60" s="7" t="s">
        <v>258</v>
      </c>
      <c r="E60" s="4"/>
      <c r="G60" s="82">
        <v>59</v>
      </c>
      <c r="H60" s="83" t="s">
        <v>131</v>
      </c>
    </row>
    <row r="61" spans="2:8" x14ac:dyDescent="0.25">
      <c r="B61" s="1">
        <v>56</v>
      </c>
      <c r="C61" s="85" t="s">
        <v>312</v>
      </c>
      <c r="D61" s="7" t="s">
        <v>258</v>
      </c>
      <c r="E61" s="4"/>
      <c r="G61" s="82">
        <v>60</v>
      </c>
      <c r="H61" s="83" t="s">
        <v>210</v>
      </c>
    </row>
    <row r="62" spans="2:8" x14ac:dyDescent="0.25">
      <c r="G62" s="82">
        <v>61</v>
      </c>
      <c r="H62" s="83" t="s">
        <v>133</v>
      </c>
    </row>
    <row r="63" spans="2:8" x14ac:dyDescent="0.25">
      <c r="G63" s="82">
        <v>62</v>
      </c>
      <c r="H63" s="83" t="s">
        <v>135</v>
      </c>
    </row>
    <row r="64" spans="2:8" x14ac:dyDescent="0.25">
      <c r="B64" s="205" t="s">
        <v>265</v>
      </c>
      <c r="C64" s="206"/>
      <c r="G64" s="82">
        <v>63</v>
      </c>
      <c r="H64" s="83" t="s">
        <v>137</v>
      </c>
    </row>
    <row r="65" spans="2:8" x14ac:dyDescent="0.25">
      <c r="B65" s="81" t="s">
        <v>206</v>
      </c>
      <c r="C65" s="81" t="s">
        <v>1</v>
      </c>
      <c r="G65" s="82">
        <v>64</v>
      </c>
      <c r="H65" s="83" t="s">
        <v>138</v>
      </c>
    </row>
    <row r="66" spans="2:8" ht="28.5" x14ac:dyDescent="0.25">
      <c r="B66" s="1">
        <v>1</v>
      </c>
      <c r="C66" s="2" t="s">
        <v>317</v>
      </c>
      <c r="G66" s="82">
        <v>71</v>
      </c>
      <c r="H66" s="84" t="s">
        <v>269</v>
      </c>
    </row>
    <row r="67" spans="2:8" ht="28.5" x14ac:dyDescent="0.25">
      <c r="B67" s="1">
        <v>2</v>
      </c>
      <c r="C67" s="2" t="s">
        <v>266</v>
      </c>
      <c r="G67" s="82">
        <v>74</v>
      </c>
      <c r="H67" s="60" t="s">
        <v>139</v>
      </c>
    </row>
    <row r="68" spans="2:8" x14ac:dyDescent="0.25">
      <c r="B68" s="1">
        <v>4</v>
      </c>
      <c r="C68" s="2" t="s">
        <v>267</v>
      </c>
      <c r="G68" s="82">
        <v>75</v>
      </c>
      <c r="H68" s="60" t="s">
        <v>140</v>
      </c>
    </row>
    <row r="69" spans="2:8" ht="28.5" x14ac:dyDescent="0.25">
      <c r="B69" s="1">
        <v>5</v>
      </c>
      <c r="C69" s="2" t="s">
        <v>268</v>
      </c>
      <c r="G69" s="82">
        <v>76</v>
      </c>
      <c r="H69" s="60" t="s">
        <v>141</v>
      </c>
    </row>
    <row r="70" spans="2:8" ht="28.5" x14ac:dyDescent="0.25">
      <c r="B70" s="1">
        <v>6</v>
      </c>
      <c r="C70" s="2" t="s">
        <v>318</v>
      </c>
      <c r="G70" s="82">
        <v>77</v>
      </c>
      <c r="H70" s="60" t="s">
        <v>142</v>
      </c>
    </row>
    <row r="71" spans="2:8" x14ac:dyDescent="0.25">
      <c r="B71" s="1">
        <v>7</v>
      </c>
      <c r="C71" s="2" t="s">
        <v>270</v>
      </c>
      <c r="G71" s="82">
        <v>78</v>
      </c>
      <c r="H71" s="60" t="s">
        <v>160</v>
      </c>
    </row>
    <row r="72" spans="2:8" ht="42.75" x14ac:dyDescent="0.25">
      <c r="B72" s="1">
        <v>8</v>
      </c>
      <c r="C72" s="2" t="s">
        <v>271</v>
      </c>
      <c r="G72" s="82">
        <v>80</v>
      </c>
      <c r="H72" s="60" t="s">
        <v>167</v>
      </c>
    </row>
    <row r="73" spans="2:8" x14ac:dyDescent="0.25">
      <c r="G73" s="82">
        <v>82</v>
      </c>
      <c r="H73" s="83" t="s">
        <v>107</v>
      </c>
    </row>
    <row r="74" spans="2:8" x14ac:dyDescent="0.25">
      <c r="G74" s="82">
        <v>83</v>
      </c>
      <c r="H74" s="83" t="s">
        <v>109</v>
      </c>
    </row>
    <row r="75" spans="2:8" x14ac:dyDescent="0.25">
      <c r="G75" s="82">
        <v>84</v>
      </c>
      <c r="H75" s="83" t="s">
        <v>111</v>
      </c>
    </row>
    <row r="76" spans="2:8" x14ac:dyDescent="0.25">
      <c r="G76" s="82">
        <v>85</v>
      </c>
      <c r="H76" s="83" t="s">
        <v>113</v>
      </c>
    </row>
    <row r="77" spans="2:8" x14ac:dyDescent="0.25">
      <c r="G77" s="82">
        <v>86</v>
      </c>
      <c r="H77" s="83" t="s">
        <v>115</v>
      </c>
    </row>
    <row r="78" spans="2:8" x14ac:dyDescent="0.25">
      <c r="G78" s="82">
        <v>87</v>
      </c>
      <c r="H78" s="83" t="s">
        <v>117</v>
      </c>
    </row>
    <row r="79" spans="2:8" x14ac:dyDescent="0.25">
      <c r="G79" s="82">
        <v>88</v>
      </c>
      <c r="H79" s="83" t="s">
        <v>272</v>
      </c>
    </row>
    <row r="80" spans="2:8" x14ac:dyDescent="0.25">
      <c r="G80" s="82">
        <v>89</v>
      </c>
      <c r="H80" s="83" t="s">
        <v>122</v>
      </c>
    </row>
    <row r="81" spans="7:8" x14ac:dyDescent="0.25">
      <c r="G81" s="82">
        <v>90</v>
      </c>
      <c r="H81" s="83" t="s">
        <v>124</v>
      </c>
    </row>
    <row r="82" spans="7:8" x14ac:dyDescent="0.25">
      <c r="G82" s="82">
        <v>91</v>
      </c>
      <c r="H82" s="83" t="s">
        <v>126</v>
      </c>
    </row>
    <row r="83" spans="7:8" x14ac:dyDescent="0.25">
      <c r="G83" s="82">
        <v>92</v>
      </c>
      <c r="H83" s="83" t="s">
        <v>128</v>
      </c>
    </row>
    <row r="84" spans="7:8" x14ac:dyDescent="0.25">
      <c r="G84" s="82">
        <v>93</v>
      </c>
      <c r="H84" s="83" t="s">
        <v>130</v>
      </c>
    </row>
    <row r="85" spans="7:8" x14ac:dyDescent="0.25">
      <c r="G85" s="82">
        <v>94</v>
      </c>
      <c r="H85" s="83" t="s">
        <v>132</v>
      </c>
    </row>
    <row r="86" spans="7:8" x14ac:dyDescent="0.25">
      <c r="G86" s="82">
        <v>95</v>
      </c>
      <c r="H86" s="83" t="s">
        <v>211</v>
      </c>
    </row>
    <row r="87" spans="7:8" x14ac:dyDescent="0.25">
      <c r="G87" s="82">
        <v>96</v>
      </c>
      <c r="H87" s="83" t="s">
        <v>134</v>
      </c>
    </row>
    <row r="88" spans="7:8" x14ac:dyDescent="0.25">
      <c r="G88" s="82">
        <v>97</v>
      </c>
      <c r="H88" s="83" t="s">
        <v>136</v>
      </c>
    </row>
    <row r="89" spans="7:8" x14ac:dyDescent="0.25">
      <c r="G89" s="82">
        <v>99</v>
      </c>
      <c r="H89" s="83" t="s">
        <v>100</v>
      </c>
    </row>
    <row r="90" spans="7:8" x14ac:dyDescent="0.25">
      <c r="G90" s="82">
        <v>100</v>
      </c>
      <c r="H90" s="83" t="s">
        <v>168</v>
      </c>
    </row>
    <row r="91" spans="7:8" x14ac:dyDescent="0.25">
      <c r="G91" s="82">
        <v>101</v>
      </c>
      <c r="H91" s="83" t="s">
        <v>273</v>
      </c>
    </row>
    <row r="92" spans="7:8" x14ac:dyDescent="0.25">
      <c r="G92" s="82">
        <v>107</v>
      </c>
      <c r="H92" s="85" t="s">
        <v>274</v>
      </c>
    </row>
    <row r="93" spans="7:8" x14ac:dyDescent="0.25">
      <c r="G93" s="89">
        <v>108</v>
      </c>
      <c r="H93" s="85" t="s">
        <v>241</v>
      </c>
    </row>
    <row r="94" spans="7:8" x14ac:dyDescent="0.25">
      <c r="G94" s="89">
        <v>109</v>
      </c>
      <c r="H94" s="85" t="s">
        <v>242</v>
      </c>
    </row>
    <row r="95" spans="7:8" x14ac:dyDescent="0.25">
      <c r="G95" s="89">
        <v>110</v>
      </c>
      <c r="H95" s="92" t="s">
        <v>313</v>
      </c>
    </row>
    <row r="96" spans="7:8" x14ac:dyDescent="0.25">
      <c r="G96" s="89">
        <v>111</v>
      </c>
      <c r="H96" s="92" t="s">
        <v>314</v>
      </c>
    </row>
    <row r="97" spans="1:10" x14ac:dyDescent="0.25">
      <c r="G97" s="89">
        <v>112</v>
      </c>
      <c r="H97" s="92" t="s">
        <v>315</v>
      </c>
    </row>
    <row r="98" spans="1:10" x14ac:dyDescent="0.25">
      <c r="G98" s="89">
        <v>113</v>
      </c>
      <c r="H98" s="92" t="s">
        <v>316</v>
      </c>
    </row>
    <row r="100" spans="1:10" x14ac:dyDescent="0.25">
      <c r="A100" s="45"/>
      <c r="B100" s="45"/>
      <c r="C100" s="45"/>
      <c r="D100" s="45"/>
      <c r="E100" s="45"/>
      <c r="F100" s="45"/>
      <c r="G100" s="45"/>
      <c r="H100" s="45"/>
      <c r="I100" s="45"/>
      <c r="J100" s="45"/>
    </row>
    <row r="102" spans="1:10" x14ac:dyDescent="0.25">
      <c r="B102" s="79" t="s">
        <v>244</v>
      </c>
      <c r="C102" s="79"/>
      <c r="D102" s="79"/>
      <c r="E102" s="79"/>
      <c r="F102" s="79"/>
      <c r="G102" s="79"/>
      <c r="H102" s="79"/>
    </row>
    <row r="104" spans="1:10" x14ac:dyDescent="0.25">
      <c r="B104" s="204" t="s">
        <v>252</v>
      </c>
      <c r="C104" s="204"/>
      <c r="D104" s="204"/>
      <c r="E104" s="204"/>
      <c r="G104" s="205" t="s">
        <v>253</v>
      </c>
      <c r="H104" s="206"/>
    </row>
    <row r="105" spans="1:10" ht="30" x14ac:dyDescent="0.25">
      <c r="B105" s="81" t="s">
        <v>49</v>
      </c>
      <c r="C105" s="81" t="s">
        <v>1</v>
      </c>
      <c r="D105" s="81" t="s">
        <v>254</v>
      </c>
      <c r="E105" s="81" t="s">
        <v>255</v>
      </c>
      <c r="G105" s="81" t="s">
        <v>256</v>
      </c>
      <c r="H105" s="81" t="s">
        <v>1</v>
      </c>
    </row>
    <row r="106" spans="1:10" ht="70.5" hidden="1" customHeight="1" outlineLevel="1" x14ac:dyDescent="0.25">
      <c r="B106" s="210" t="s">
        <v>275</v>
      </c>
      <c r="C106" s="211"/>
      <c r="D106" s="211"/>
      <c r="E106" s="212"/>
      <c r="G106" s="86"/>
      <c r="H106" s="81"/>
    </row>
    <row r="107" spans="1:10" ht="30" collapsed="1" x14ac:dyDescent="0.25">
      <c r="B107" s="1">
        <v>39</v>
      </c>
      <c r="C107" s="2" t="s">
        <v>35</v>
      </c>
      <c r="D107" s="7" t="s">
        <v>258</v>
      </c>
      <c r="E107" s="40" t="s">
        <v>276</v>
      </c>
      <c r="G107" s="82">
        <v>2</v>
      </c>
      <c r="H107" s="2" t="s">
        <v>208</v>
      </c>
    </row>
    <row r="108" spans="1:10" ht="42.75" x14ac:dyDescent="0.25">
      <c r="B108" s="1">
        <v>53</v>
      </c>
      <c r="C108" s="93" t="s">
        <v>47</v>
      </c>
      <c r="D108" s="7" t="s">
        <v>258</v>
      </c>
      <c r="E108" s="4"/>
      <c r="G108" s="87">
        <v>65</v>
      </c>
      <c r="H108" s="83" t="s">
        <v>277</v>
      </c>
    </row>
    <row r="109" spans="1:10" ht="28.5" x14ac:dyDescent="0.25">
      <c r="G109" s="87">
        <v>66</v>
      </c>
      <c r="H109" s="83" t="s">
        <v>278</v>
      </c>
    </row>
    <row r="110" spans="1:10" x14ac:dyDescent="0.25">
      <c r="G110" s="88">
        <v>101</v>
      </c>
      <c r="H110" s="83" t="s">
        <v>273</v>
      </c>
    </row>
    <row r="111" spans="1:10" ht="42.75" x14ac:dyDescent="0.25">
      <c r="G111" s="89">
        <v>105</v>
      </c>
      <c r="H111" s="60" t="s">
        <v>279</v>
      </c>
    </row>
    <row r="112" spans="1:10" ht="42.75" x14ac:dyDescent="0.25">
      <c r="G112" s="89">
        <v>106</v>
      </c>
      <c r="H112" s="93" t="s">
        <v>280</v>
      </c>
    </row>
    <row r="114" spans="2:8" x14ac:dyDescent="0.25">
      <c r="B114" s="79" t="s">
        <v>245</v>
      </c>
      <c r="C114" s="79"/>
      <c r="D114" s="79"/>
      <c r="E114" s="79"/>
      <c r="F114" s="79"/>
      <c r="G114" s="79"/>
      <c r="H114" s="79"/>
    </row>
    <row r="116" spans="2:8" x14ac:dyDescent="0.25">
      <c r="B116" s="204" t="s">
        <v>252</v>
      </c>
      <c r="C116" s="204"/>
      <c r="D116" s="204"/>
      <c r="E116" s="204"/>
      <c r="G116" s="205" t="s">
        <v>253</v>
      </c>
      <c r="H116" s="206"/>
    </row>
    <row r="117" spans="2:8" ht="30" x14ac:dyDescent="0.25">
      <c r="B117" s="81" t="s">
        <v>49</v>
      </c>
      <c r="C117" s="81" t="s">
        <v>1</v>
      </c>
      <c r="D117" s="81" t="s">
        <v>254</v>
      </c>
      <c r="E117" s="81" t="s">
        <v>255</v>
      </c>
      <c r="G117" s="81" t="s">
        <v>256</v>
      </c>
      <c r="H117" s="81" t="s">
        <v>1</v>
      </c>
    </row>
    <row r="118" spans="2:8" ht="149.25" hidden="1" customHeight="1" outlineLevel="1" x14ac:dyDescent="0.25">
      <c r="B118" s="210" t="s">
        <v>281</v>
      </c>
      <c r="C118" s="211"/>
      <c r="D118" s="211"/>
      <c r="E118" s="212"/>
    </row>
    <row r="119" spans="2:8" ht="30" collapsed="1" x14ac:dyDescent="0.25">
      <c r="B119" s="1">
        <v>44</v>
      </c>
      <c r="C119" s="2" t="s">
        <v>36</v>
      </c>
      <c r="D119" s="7" t="s">
        <v>258</v>
      </c>
      <c r="E119" s="40" t="s">
        <v>155</v>
      </c>
      <c r="G119" s="82">
        <v>2</v>
      </c>
      <c r="H119" s="2" t="s">
        <v>208</v>
      </c>
    </row>
    <row r="120" spans="2:8" ht="42.75" x14ac:dyDescent="0.25">
      <c r="B120" s="1">
        <v>51</v>
      </c>
      <c r="C120" s="60" t="s">
        <v>45</v>
      </c>
      <c r="D120" s="7" t="s">
        <v>64</v>
      </c>
      <c r="E120" s="7" t="s">
        <v>156</v>
      </c>
      <c r="G120" s="87">
        <v>69</v>
      </c>
      <c r="H120" s="83" t="s">
        <v>282</v>
      </c>
    </row>
    <row r="121" spans="2:8" ht="42.75" x14ac:dyDescent="0.25">
      <c r="B121" s="1">
        <v>52</v>
      </c>
      <c r="C121" s="93" t="s">
        <v>46</v>
      </c>
      <c r="D121" s="7" t="s">
        <v>258</v>
      </c>
      <c r="E121" s="4"/>
      <c r="G121" s="87">
        <v>70</v>
      </c>
      <c r="H121" s="83" t="s">
        <v>283</v>
      </c>
    </row>
    <row r="122" spans="2:8" x14ac:dyDescent="0.25">
      <c r="G122" s="88">
        <v>101</v>
      </c>
      <c r="H122" s="83" t="s">
        <v>273</v>
      </c>
    </row>
    <row r="123" spans="2:8" ht="42.75" x14ac:dyDescent="0.25">
      <c r="G123" s="89">
        <v>102</v>
      </c>
      <c r="H123" s="60" t="s">
        <v>284</v>
      </c>
    </row>
    <row r="124" spans="2:8" ht="42.75" x14ac:dyDescent="0.25">
      <c r="B124" s="205" t="s">
        <v>265</v>
      </c>
      <c r="C124" s="206"/>
      <c r="G124" s="89">
        <v>103</v>
      </c>
      <c r="H124" s="60" t="s">
        <v>285</v>
      </c>
    </row>
    <row r="125" spans="2:8" ht="42.75" x14ac:dyDescent="0.25">
      <c r="B125" s="81" t="s">
        <v>206</v>
      </c>
      <c r="C125" s="81" t="s">
        <v>1</v>
      </c>
      <c r="G125" s="89">
        <v>104</v>
      </c>
      <c r="H125" s="60" t="s">
        <v>286</v>
      </c>
    </row>
    <row r="126" spans="2:8" ht="28.5" x14ac:dyDescent="0.25">
      <c r="B126" s="1">
        <v>1</v>
      </c>
      <c r="C126" s="2" t="s">
        <v>317</v>
      </c>
    </row>
    <row r="127" spans="2:8" x14ac:dyDescent="0.25">
      <c r="B127" s="1">
        <v>4</v>
      </c>
      <c r="C127" s="2" t="s">
        <v>267</v>
      </c>
    </row>
    <row r="128" spans="2:8" ht="28.5" x14ac:dyDescent="0.25">
      <c r="B128" s="1">
        <v>5</v>
      </c>
      <c r="C128" s="2" t="s">
        <v>268</v>
      </c>
    </row>
    <row r="135" spans="1:10" x14ac:dyDescent="0.25">
      <c r="A135" s="45"/>
      <c r="B135" s="45"/>
      <c r="C135" s="45"/>
      <c r="D135" s="45"/>
      <c r="E135" s="45"/>
      <c r="F135" s="45"/>
      <c r="G135" s="45"/>
      <c r="H135" s="45"/>
      <c r="I135" s="45"/>
      <c r="J135" s="45"/>
    </row>
    <row r="137" spans="1:10" ht="34.5" customHeight="1" x14ac:dyDescent="0.25">
      <c r="B137" s="215" t="s">
        <v>246</v>
      </c>
      <c r="C137" s="215"/>
      <c r="D137" s="215"/>
      <c r="E137" s="215"/>
      <c r="F137" s="215"/>
      <c r="G137" s="215"/>
      <c r="H137" s="215"/>
    </row>
    <row r="139" spans="1:10" x14ac:dyDescent="0.25">
      <c r="B139" s="204" t="s">
        <v>252</v>
      </c>
      <c r="C139" s="204"/>
      <c r="D139" s="204"/>
      <c r="E139" s="204"/>
      <c r="G139" s="205" t="s">
        <v>253</v>
      </c>
      <c r="H139" s="206"/>
    </row>
    <row r="140" spans="1:10" ht="30" x14ac:dyDescent="0.25">
      <c r="B140" s="81" t="s">
        <v>49</v>
      </c>
      <c r="C140" s="81" t="s">
        <v>1</v>
      </c>
      <c r="D140" s="81" t="s">
        <v>254</v>
      </c>
      <c r="E140" s="81" t="s">
        <v>255</v>
      </c>
      <c r="G140" s="81" t="s">
        <v>256</v>
      </c>
      <c r="H140" s="81" t="s">
        <v>1</v>
      </c>
    </row>
    <row r="141" spans="1:10" ht="53.25" hidden="1" customHeight="1" outlineLevel="1" x14ac:dyDescent="0.25">
      <c r="B141" s="216" t="s">
        <v>287</v>
      </c>
      <c r="C141" s="217"/>
      <c r="D141" s="217"/>
      <c r="E141" s="217"/>
    </row>
    <row r="142" spans="1:10" ht="40.5" hidden="1" customHeight="1" outlineLevel="1" x14ac:dyDescent="0.25">
      <c r="B142" s="90" t="s">
        <v>288</v>
      </c>
      <c r="C142" s="214" t="s">
        <v>289</v>
      </c>
      <c r="D142" s="214"/>
      <c r="E142" s="214"/>
    </row>
    <row r="143" spans="1:10" ht="36" hidden="1" customHeight="1" outlineLevel="1" x14ac:dyDescent="0.25">
      <c r="B143" s="90" t="s">
        <v>290</v>
      </c>
      <c r="C143" s="214" t="s">
        <v>291</v>
      </c>
      <c r="D143" s="214"/>
      <c r="E143" s="214"/>
    </row>
    <row r="144" spans="1:10" ht="164.25" hidden="1" customHeight="1" outlineLevel="1" x14ac:dyDescent="0.25">
      <c r="B144" s="90" t="s">
        <v>292</v>
      </c>
      <c r="C144" s="213" t="s">
        <v>293</v>
      </c>
      <c r="D144" s="214"/>
      <c r="E144" s="214"/>
    </row>
    <row r="145" spans="1:10" ht="49.5" hidden="1" customHeight="1" outlineLevel="1" x14ac:dyDescent="0.25">
      <c r="B145" s="90" t="s">
        <v>294</v>
      </c>
      <c r="C145" s="213" t="s">
        <v>295</v>
      </c>
      <c r="D145" s="214"/>
      <c r="E145" s="214"/>
    </row>
    <row r="146" spans="1:10" ht="45.75" hidden="1" customHeight="1" outlineLevel="1" x14ac:dyDescent="0.25">
      <c r="B146" s="90" t="s">
        <v>296</v>
      </c>
      <c r="C146" s="213" t="s">
        <v>297</v>
      </c>
      <c r="D146" s="214"/>
      <c r="E146" s="214"/>
    </row>
    <row r="147" spans="1:10" ht="92.25" hidden="1" customHeight="1" outlineLevel="1" x14ac:dyDescent="0.25">
      <c r="B147" s="90" t="s">
        <v>298</v>
      </c>
      <c r="C147" s="213" t="s">
        <v>299</v>
      </c>
      <c r="D147" s="214"/>
      <c r="E147" s="214"/>
    </row>
    <row r="148" spans="1:10" collapsed="1" x14ac:dyDescent="0.25">
      <c r="B148" s="1">
        <v>45</v>
      </c>
      <c r="C148" s="2" t="s">
        <v>37</v>
      </c>
      <c r="D148" s="7" t="s">
        <v>64</v>
      </c>
      <c r="E148" s="7" t="s">
        <v>156</v>
      </c>
      <c r="G148" s="1">
        <v>2</v>
      </c>
      <c r="H148" s="2" t="s">
        <v>208</v>
      </c>
    </row>
    <row r="149" spans="1:10" ht="28.5" x14ac:dyDescent="0.25">
      <c r="B149" s="1" t="s">
        <v>38</v>
      </c>
      <c r="C149" s="3" t="s">
        <v>39</v>
      </c>
      <c r="D149" s="7" t="s">
        <v>64</v>
      </c>
      <c r="E149" s="7" t="s">
        <v>156</v>
      </c>
      <c r="G149" s="87">
        <v>73</v>
      </c>
      <c r="H149" s="83" t="s">
        <v>300</v>
      </c>
    </row>
    <row r="150" spans="1:10" x14ac:dyDescent="0.25">
      <c r="G150" s="88">
        <v>98</v>
      </c>
      <c r="H150" s="83" t="s">
        <v>301</v>
      </c>
    </row>
    <row r="151" spans="1:10" x14ac:dyDescent="0.25">
      <c r="B151" s="205" t="s">
        <v>265</v>
      </c>
      <c r="C151" s="206"/>
      <c r="G151" s="88">
        <v>101</v>
      </c>
      <c r="H151" s="83" t="s">
        <v>273</v>
      </c>
    </row>
    <row r="152" spans="1:10" x14ac:dyDescent="0.25">
      <c r="B152" s="81" t="s">
        <v>206</v>
      </c>
      <c r="C152" s="81" t="s">
        <v>1</v>
      </c>
    </row>
    <row r="153" spans="1:10" ht="28.5" x14ac:dyDescent="0.25">
      <c r="B153" s="1">
        <v>1</v>
      </c>
      <c r="C153" s="2" t="s">
        <v>317</v>
      </c>
    </row>
    <row r="154" spans="1:10" x14ac:dyDescent="0.25">
      <c r="B154" s="1">
        <v>4</v>
      </c>
      <c r="C154" s="2" t="s">
        <v>267</v>
      </c>
    </row>
    <row r="155" spans="1:10" ht="28.5" x14ac:dyDescent="0.25">
      <c r="B155" s="1">
        <v>5</v>
      </c>
      <c r="C155" s="2" t="s">
        <v>268</v>
      </c>
    </row>
    <row r="158" spans="1:10" x14ac:dyDescent="0.25">
      <c r="A158" s="45"/>
      <c r="B158" s="45"/>
      <c r="C158" s="45"/>
      <c r="D158" s="45"/>
      <c r="E158" s="45"/>
      <c r="F158" s="45"/>
      <c r="G158" s="45"/>
      <c r="H158" s="45"/>
      <c r="I158" s="45"/>
      <c r="J158" s="45"/>
    </row>
    <row r="160" spans="1:10" x14ac:dyDescent="0.25">
      <c r="B160" s="218" t="s">
        <v>247</v>
      </c>
      <c r="C160" s="218"/>
      <c r="D160" s="218"/>
      <c r="E160" s="218"/>
    </row>
    <row r="162" spans="2:8" x14ac:dyDescent="0.25">
      <c r="B162" s="205" t="s">
        <v>252</v>
      </c>
      <c r="C162" s="219"/>
      <c r="D162" s="219"/>
      <c r="E162" s="206"/>
      <c r="G162" s="205" t="s">
        <v>253</v>
      </c>
      <c r="H162" s="206"/>
    </row>
    <row r="163" spans="2:8" ht="30" x14ac:dyDescent="0.25">
      <c r="B163" s="81" t="s">
        <v>49</v>
      </c>
      <c r="C163" s="81" t="s">
        <v>1</v>
      </c>
      <c r="D163" s="81" t="s">
        <v>254</v>
      </c>
      <c r="E163" s="81" t="s">
        <v>255</v>
      </c>
      <c r="G163" s="81" t="s">
        <v>256</v>
      </c>
      <c r="H163" s="81" t="s">
        <v>1</v>
      </c>
    </row>
    <row r="164" spans="2:8" ht="159.75" hidden="1" customHeight="1" outlineLevel="1" x14ac:dyDescent="0.25">
      <c r="B164" s="210" t="s">
        <v>281</v>
      </c>
      <c r="C164" s="211"/>
      <c r="D164" s="211"/>
      <c r="E164" s="212"/>
    </row>
    <row r="165" spans="2:8" ht="30" collapsed="1" x14ac:dyDescent="0.25">
      <c r="B165" s="1">
        <v>22</v>
      </c>
      <c r="C165" s="2" t="s">
        <v>18</v>
      </c>
      <c r="D165" s="7" t="s">
        <v>258</v>
      </c>
      <c r="E165" s="40" t="s">
        <v>157</v>
      </c>
      <c r="G165" s="1">
        <v>2</v>
      </c>
      <c r="H165" s="2" t="s">
        <v>208</v>
      </c>
    </row>
    <row r="166" spans="2:8" ht="30" x14ac:dyDescent="0.25">
      <c r="B166" s="1">
        <v>23</v>
      </c>
      <c r="C166" s="2" t="s">
        <v>19</v>
      </c>
      <c r="D166" s="7" t="s">
        <v>258</v>
      </c>
      <c r="E166" s="40" t="s">
        <v>157</v>
      </c>
      <c r="G166" s="87">
        <v>44</v>
      </c>
      <c r="H166" s="83" t="s">
        <v>302</v>
      </c>
    </row>
    <row r="167" spans="2:8" ht="30" x14ac:dyDescent="0.25">
      <c r="B167" s="1">
        <v>25</v>
      </c>
      <c r="C167" s="2" t="s">
        <v>21</v>
      </c>
      <c r="D167" s="7" t="s">
        <v>258</v>
      </c>
      <c r="E167" s="40" t="s">
        <v>157</v>
      </c>
      <c r="G167" s="87">
        <v>45</v>
      </c>
      <c r="H167" s="83" t="s">
        <v>303</v>
      </c>
    </row>
    <row r="168" spans="2:8" x14ac:dyDescent="0.25">
      <c r="G168" s="87">
        <v>46</v>
      </c>
      <c r="H168" s="83" t="s">
        <v>304</v>
      </c>
    </row>
    <row r="169" spans="2:8" x14ac:dyDescent="0.25">
      <c r="G169" s="87">
        <v>47</v>
      </c>
      <c r="H169" s="83" t="s">
        <v>305</v>
      </c>
    </row>
    <row r="170" spans="2:8" x14ac:dyDescent="0.25">
      <c r="B170" s="205" t="s">
        <v>265</v>
      </c>
      <c r="C170" s="206"/>
      <c r="G170" s="87">
        <v>49</v>
      </c>
      <c r="H170" s="83" t="s">
        <v>306</v>
      </c>
    </row>
    <row r="171" spans="2:8" x14ac:dyDescent="0.25">
      <c r="B171" s="81" t="s">
        <v>206</v>
      </c>
      <c r="C171" s="81" t="s">
        <v>1</v>
      </c>
      <c r="G171" s="87">
        <v>50</v>
      </c>
      <c r="H171" s="83" t="s">
        <v>307</v>
      </c>
    </row>
    <row r="172" spans="2:8" ht="28.5" x14ac:dyDescent="0.25">
      <c r="B172" s="1">
        <v>1</v>
      </c>
      <c r="C172" s="2" t="s">
        <v>317</v>
      </c>
      <c r="G172" s="87">
        <v>67</v>
      </c>
      <c r="H172" s="83" t="s">
        <v>308</v>
      </c>
    </row>
    <row r="173" spans="2:8" x14ac:dyDescent="0.25">
      <c r="B173" s="1">
        <v>4</v>
      </c>
      <c r="C173" s="2" t="s">
        <v>267</v>
      </c>
      <c r="G173" s="88">
        <v>101</v>
      </c>
      <c r="H173" s="83" t="s">
        <v>273</v>
      </c>
    </row>
    <row r="174" spans="2:8" ht="28.5" x14ac:dyDescent="0.25">
      <c r="B174" s="1">
        <v>5</v>
      </c>
      <c r="C174" s="2" t="s">
        <v>268</v>
      </c>
    </row>
  </sheetData>
  <mergeCells count="38">
    <mergeCell ref="B160:E160"/>
    <mergeCell ref="B162:E162"/>
    <mergeCell ref="G162:H162"/>
    <mergeCell ref="B164:E164"/>
    <mergeCell ref="B170:C170"/>
    <mergeCell ref="B64:C64"/>
    <mergeCell ref="B124:C124"/>
    <mergeCell ref="C143:E143"/>
    <mergeCell ref="C144:E144"/>
    <mergeCell ref="C145:E145"/>
    <mergeCell ref="B104:E104"/>
    <mergeCell ref="C146:E146"/>
    <mergeCell ref="C147:E147"/>
    <mergeCell ref="B151:C151"/>
    <mergeCell ref="B137:H137"/>
    <mergeCell ref="B139:E139"/>
    <mergeCell ref="G139:H139"/>
    <mergeCell ref="B141:E141"/>
    <mergeCell ref="C142:E142"/>
    <mergeCell ref="G104:H104"/>
    <mergeCell ref="B106:E106"/>
    <mergeCell ref="B116:E116"/>
    <mergeCell ref="G116:H116"/>
    <mergeCell ref="B118:E118"/>
    <mergeCell ref="B20:E20"/>
    <mergeCell ref="G20:H20"/>
    <mergeCell ref="B23:E23"/>
    <mergeCell ref="B36:E36"/>
    <mergeCell ref="B38:E38"/>
    <mergeCell ref="B14:E14"/>
    <mergeCell ref="G14:H18"/>
    <mergeCell ref="B15:E15"/>
    <mergeCell ref="B16:E18"/>
    <mergeCell ref="B4:H4"/>
    <mergeCell ref="B5:H5"/>
    <mergeCell ref="B6:H6"/>
    <mergeCell ref="B7:H7"/>
    <mergeCell ref="B8:H8"/>
  </mergeCells>
  <hyperlinks>
    <hyperlink ref="B4" location="APEND6!B13" display="Para el TipoRegimen “002-Sueldos”" xr:uid="{37DC035A-A39F-47DC-8C94-1FA2D9145BE2}"/>
    <hyperlink ref="B5" location="APEND6!B88" display="Para el TipoRegimen “003- Jubilados”, “004-Pensionados” y “012- Jubilados o Pensionados”, específicamente para los casos de Jubilación en una sola exhibición" xr:uid="{E2F5B8D5-91FA-4175-8B8B-BAA1B3BCED0B}"/>
    <hyperlink ref="B6" location="APEND6!B99" display="Para el TipoRegimen “003- Jubilados”, “004-Pensionados” y “012- Jubilados o Pensionados”, específicamente para los casos de Jubilación en parcialidades" xr:uid="{FC916E2E-BAE8-4DE8-94E8-AAC7818B24F6}"/>
    <hyperlink ref="B7:H7" location="APEND6!A131" display="Para el TipoRegimen “05-Asimilados Miembros Sociedades Cooperativas Produccion”, “06-Asimilados Integrantes Sociedades Asociaciones Civiles”, “07-Asimilados Miembros consejos”, “08-Asimilados comisionistas”, “09- Asimilados Honorarios”, “10-Asimilados acciones” y “11-Asimilados otros”" xr:uid="{6BC365D5-94A3-40A0-86F0-1FC586918B26}"/>
    <hyperlink ref="B8" location="APEND6!A137" display="Para el TipoRegimen “13- Indemnización o Separación”" xr:uid="{95FD8EA7-E31D-44FF-860C-C6E44A1A04E0}"/>
    <hyperlink ref="E13" location="MENU!B5" display="Ir al MENÚ" xr:uid="{6F9491A4-6A40-4BC1-B1DC-DE07F4DEB110}"/>
    <hyperlink ref="B5:H5" location="APEND6!B96" display="Para el TipoRegimen “003- Jubilados”, “004-Pensionados” y “012- Jubilados o Pensionados”, específicamente para los casos de Jubilación en una sola exhibición" xr:uid="{B87F5987-3AF8-4F70-B259-D3D31D69B3A6}"/>
    <hyperlink ref="B6:H6" location="APEND6!B108" display="Para el TipoRegimen “003- Jubilados”, “004-Pensionados” y “012- Jubilados o Pensionados”, específicamente para los casos de Jubilación en parcialidades" xr:uid="{4FA038BD-1F86-4F79-806E-0980775FDD3C}"/>
    <hyperlink ref="B8:H8" location="APEND6!B154" display="Para el TipoRegimen “13- Indemnización o Separación”" xr:uid="{0CA476AB-6DBC-403C-9E8D-4F90D6F7F9E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787F-6F96-4D7A-8AD2-0D2ABD9DE151}">
  <sheetPr codeName="Hoja9"/>
  <dimension ref="B1:D12"/>
  <sheetViews>
    <sheetView showGridLines="0" zoomScale="120" zoomScaleNormal="120" workbookViewId="0">
      <selection activeCell="B6" sqref="B6"/>
    </sheetView>
  </sheetViews>
  <sheetFormatPr baseColWidth="10" defaultRowHeight="15" x14ac:dyDescent="0.25"/>
  <cols>
    <col min="1" max="1" width="7.7109375" customWidth="1"/>
    <col min="2" max="2" width="13.85546875" customWidth="1"/>
    <col min="3" max="3" width="99" customWidth="1"/>
    <col min="4" max="4" width="38.140625" bestFit="1" customWidth="1"/>
  </cols>
  <sheetData>
    <row r="1" spans="2:4" ht="75.75" customHeight="1" x14ac:dyDescent="0.25"/>
    <row r="2" spans="2:4" ht="18.2" customHeight="1" x14ac:dyDescent="0.25"/>
    <row r="3" spans="2:4" x14ac:dyDescent="0.25">
      <c r="B3" s="39" t="s">
        <v>462</v>
      </c>
    </row>
    <row r="5" spans="2:4" x14ac:dyDescent="0.25">
      <c r="B5" s="281" t="s">
        <v>463</v>
      </c>
      <c r="C5" s="281" t="s">
        <v>464</v>
      </c>
      <c r="D5" s="281" t="s">
        <v>465</v>
      </c>
    </row>
    <row r="6" spans="2:4" ht="38.25" customHeight="1" x14ac:dyDescent="0.25">
      <c r="B6" s="290" t="s">
        <v>227</v>
      </c>
      <c r="C6" s="282" t="s">
        <v>466</v>
      </c>
      <c r="D6" s="69" t="s">
        <v>467</v>
      </c>
    </row>
    <row r="7" spans="2:4" ht="5.25" customHeight="1" x14ac:dyDescent="0.25"/>
    <row r="8" spans="2:4" ht="38.25" customHeight="1" x14ac:dyDescent="0.25">
      <c r="B8" s="290" t="s">
        <v>25</v>
      </c>
      <c r="C8" s="282" t="s">
        <v>468</v>
      </c>
      <c r="D8" s="69" t="s">
        <v>467</v>
      </c>
    </row>
    <row r="9" spans="2:4" ht="5.25" customHeight="1" x14ac:dyDescent="0.25"/>
    <row r="10" spans="2:4" ht="38.25" customHeight="1" x14ac:dyDescent="0.25">
      <c r="B10" s="290" t="s">
        <v>190</v>
      </c>
      <c r="C10" s="283" t="s">
        <v>469</v>
      </c>
      <c r="D10" s="69" t="s">
        <v>470</v>
      </c>
    </row>
    <row r="11" spans="2:4" ht="5.25" customHeight="1" x14ac:dyDescent="0.25"/>
    <row r="12" spans="2:4" ht="48.75" customHeight="1" x14ac:dyDescent="0.25">
      <c r="B12" s="290" t="s">
        <v>498</v>
      </c>
      <c r="C12" s="187" t="s">
        <v>471</v>
      </c>
      <c r="D12" s="69" t="s">
        <v>472</v>
      </c>
    </row>
  </sheetData>
  <hyperlinks>
    <hyperlink ref="C8" location="FUNDAMENTO!B6" display="En el caso de vales de despensa se paguen con monedero electrónico" xr:uid="{54BBBA9F-92B3-4AFC-9099-76732FB0585A}"/>
    <hyperlink ref="C6" location="DEDUCCION!B4" display="Sean otorgadas en forma general para todos los trabajadores" xr:uid="{2ECB8642-BD41-4F05-B56C-F81F65C8DA75}"/>
    <hyperlink ref="C10" location="FUNDAMENTO!B8" display="En el caso del fondo de ahorro no debe de exceder del 13% del salario del trabajador y con un limite de 1.3 veces el valor de la UMA anual" xr:uid="{113CE3F7-598B-47AE-B321-36CE64C289C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6F4-D33C-4F35-ADFF-4BE3B63CACD1}">
  <sheetPr codeName="Hoja3"/>
  <dimension ref="B1:D17"/>
  <sheetViews>
    <sheetView showGridLines="0" zoomScale="110" zoomScaleNormal="110" workbookViewId="0">
      <selection activeCell="B6" sqref="B6"/>
    </sheetView>
  </sheetViews>
  <sheetFormatPr baseColWidth="10" defaultRowHeight="15" x14ac:dyDescent="0.25"/>
  <cols>
    <col min="1" max="1" width="3" customWidth="1"/>
    <col min="2" max="2" width="17.5703125" customWidth="1"/>
    <col min="3" max="3" width="130.7109375" customWidth="1"/>
    <col min="4" max="4" width="25.5703125" customWidth="1"/>
  </cols>
  <sheetData>
    <row r="1" spans="2:4" ht="39" customHeight="1" x14ac:dyDescent="0.25"/>
    <row r="2" spans="2:4" ht="18.2" customHeight="1" x14ac:dyDescent="0.25"/>
    <row r="5" spans="2:4" x14ac:dyDescent="0.25">
      <c r="B5" s="284" t="s">
        <v>215</v>
      </c>
      <c r="C5" s="284" t="s">
        <v>1</v>
      </c>
      <c r="D5" s="284" t="s">
        <v>465</v>
      </c>
    </row>
    <row r="6" spans="2:4" ht="148.5" customHeight="1" x14ac:dyDescent="0.25">
      <c r="B6" s="285" t="s">
        <v>25</v>
      </c>
      <c r="C6" s="187" t="s">
        <v>473</v>
      </c>
      <c r="D6" s="186" t="s">
        <v>474</v>
      </c>
    </row>
    <row r="7" spans="2:4" ht="30" x14ac:dyDescent="0.25">
      <c r="B7" s="286" t="s">
        <v>475</v>
      </c>
      <c r="C7" s="287" t="s">
        <v>476</v>
      </c>
      <c r="D7" s="287"/>
    </row>
    <row r="8" spans="2:4" ht="177" customHeight="1" x14ac:dyDescent="0.25">
      <c r="B8" s="186" t="s">
        <v>190</v>
      </c>
      <c r="C8" s="187" t="s">
        <v>477</v>
      </c>
      <c r="D8" s="186" t="s">
        <v>478</v>
      </c>
    </row>
    <row r="9" spans="2:4" ht="366" customHeight="1" x14ac:dyDescent="0.25">
      <c r="B9" s="285" t="s">
        <v>479</v>
      </c>
      <c r="C9" s="262" t="s">
        <v>480</v>
      </c>
      <c r="D9" s="262"/>
    </row>
    <row r="10" spans="2:4" ht="69.75" customHeight="1" x14ac:dyDescent="0.25">
      <c r="B10" s="285" t="s">
        <v>481</v>
      </c>
      <c r="C10" s="36" t="s">
        <v>482</v>
      </c>
      <c r="D10" s="186" t="s">
        <v>483</v>
      </c>
    </row>
    <row r="11" spans="2:4" ht="182.25" customHeight="1" x14ac:dyDescent="0.25">
      <c r="B11" s="285" t="s">
        <v>484</v>
      </c>
      <c r="C11" s="261" t="s">
        <v>509</v>
      </c>
      <c r="D11" s="261"/>
    </row>
    <row r="12" spans="2:4" ht="161.25" customHeight="1" x14ac:dyDescent="0.25">
      <c r="B12" s="285" t="s">
        <v>485</v>
      </c>
      <c r="C12" s="262" t="s">
        <v>508</v>
      </c>
      <c r="D12" s="262"/>
    </row>
    <row r="13" spans="2:4" ht="65.25" customHeight="1" x14ac:dyDescent="0.25">
      <c r="B13" s="285" t="s">
        <v>486</v>
      </c>
      <c r="C13" s="36" t="s">
        <v>487</v>
      </c>
      <c r="D13" s="288" t="s">
        <v>488</v>
      </c>
    </row>
    <row r="14" spans="2:4" ht="40.5" customHeight="1" x14ac:dyDescent="0.25">
      <c r="B14" s="285" t="s">
        <v>486</v>
      </c>
      <c r="C14" s="289" t="s">
        <v>489</v>
      </c>
      <c r="D14" s="288" t="s">
        <v>490</v>
      </c>
    </row>
    <row r="15" spans="2:4" ht="45" x14ac:dyDescent="0.25">
      <c r="B15" s="285" t="s">
        <v>491</v>
      </c>
      <c r="C15" s="188" t="s">
        <v>492</v>
      </c>
      <c r="D15" s="285" t="s">
        <v>493</v>
      </c>
    </row>
    <row r="16" spans="2:4" ht="45" x14ac:dyDescent="0.25">
      <c r="B16" s="285" t="s">
        <v>419</v>
      </c>
      <c r="C16" s="188" t="s">
        <v>494</v>
      </c>
      <c r="D16" s="285" t="s">
        <v>495</v>
      </c>
    </row>
    <row r="17" spans="2:4" ht="45" x14ac:dyDescent="0.25">
      <c r="B17" s="285" t="s">
        <v>496</v>
      </c>
      <c r="C17" s="188" t="s">
        <v>492</v>
      </c>
      <c r="D17" s="285" t="s">
        <v>497</v>
      </c>
    </row>
  </sheetData>
  <mergeCells count="4">
    <mergeCell ref="C7:D7"/>
    <mergeCell ref="C9:D9"/>
    <mergeCell ref="C11:D11"/>
    <mergeCell ref="C12:D12"/>
  </mergeCells>
  <hyperlinks>
    <hyperlink ref="C7" r:id="rId1" xr:uid="{60B8A666-5E25-46E5-84EF-A8D8B904B8B6}"/>
    <hyperlink ref="C14" location="FUNDAMENTO!B8" display="Los provenientes de cajas de ahorro de trabajadores y de fondos de ahorro establecidos por las empresas para sus trabajadores cuando reúnan los requisitos de deducibilidad del Título II de esta Ley o, en su caso, del presente Título." xr:uid="{605F316B-2DA4-4A0C-8B20-E27DA1B1A1A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355E-4E85-49EA-8419-65BC2922065E}">
  <sheetPr codeName="Hoja6"/>
  <dimension ref="B1:H31"/>
  <sheetViews>
    <sheetView showGridLines="0" zoomScale="110" zoomScaleNormal="110" workbookViewId="0">
      <selection activeCell="B4" sqref="B4:H4"/>
    </sheetView>
  </sheetViews>
  <sheetFormatPr baseColWidth="10" defaultRowHeight="15" x14ac:dyDescent="0.25"/>
  <cols>
    <col min="1" max="1" width="3.85546875" customWidth="1"/>
    <col min="2" max="2" width="65" customWidth="1"/>
  </cols>
  <sheetData>
    <row r="1" spans="2:8" ht="50.25" customHeight="1" x14ac:dyDescent="0.25"/>
    <row r="2" spans="2:8" ht="18.2" customHeight="1" x14ac:dyDescent="0.25"/>
    <row r="4" spans="2:8" ht="66.75" customHeight="1" x14ac:dyDescent="0.25">
      <c r="B4" s="262" t="s">
        <v>443</v>
      </c>
      <c r="C4" s="263"/>
      <c r="D4" s="263"/>
      <c r="E4" s="263"/>
      <c r="F4" s="263"/>
      <c r="G4" s="263"/>
      <c r="H4" s="263"/>
    </row>
    <row r="5" spans="2:8" ht="61.5" customHeight="1" x14ac:dyDescent="0.25">
      <c r="B5" s="262" t="s">
        <v>444</v>
      </c>
      <c r="C5" s="262"/>
      <c r="D5" s="262"/>
      <c r="E5" s="262"/>
      <c r="F5" s="262"/>
      <c r="G5" s="262"/>
      <c r="H5" s="262"/>
    </row>
    <row r="6" spans="2:8" ht="96.75" customHeight="1" x14ac:dyDescent="0.25">
      <c r="B6" s="262" t="s">
        <v>445</v>
      </c>
      <c r="C6" s="262"/>
      <c r="D6" s="262"/>
      <c r="E6" s="262"/>
      <c r="F6" s="262"/>
      <c r="G6" s="262"/>
      <c r="H6" s="262"/>
    </row>
    <row r="7" spans="2:8" ht="142.5" customHeight="1" x14ac:dyDescent="0.25">
      <c r="B7" s="262" t="s">
        <v>446</v>
      </c>
      <c r="C7" s="262"/>
      <c r="D7" s="262"/>
      <c r="E7" s="262"/>
      <c r="F7" s="262"/>
      <c r="G7" s="262"/>
      <c r="H7" s="262"/>
    </row>
    <row r="9" spans="2:8" ht="30" x14ac:dyDescent="0.25">
      <c r="B9" s="185" t="s">
        <v>447</v>
      </c>
      <c r="C9" s="279"/>
    </row>
    <row r="10" spans="2:8" x14ac:dyDescent="0.25">
      <c r="B10" t="s">
        <v>448</v>
      </c>
      <c r="C10" s="15"/>
    </row>
    <row r="11" spans="2:8" x14ac:dyDescent="0.25">
      <c r="B11" s="39" t="s">
        <v>449</v>
      </c>
      <c r="C11" s="13" t="str">
        <f>IFERROR(ROUND(C9/C10,2),"")</f>
        <v/>
      </c>
    </row>
    <row r="13" spans="2:8" ht="30" x14ac:dyDescent="0.25">
      <c r="B13" s="280" t="s">
        <v>450</v>
      </c>
      <c r="C13" s="279"/>
    </row>
    <row r="14" spans="2:8" x14ac:dyDescent="0.25">
      <c r="B14" t="s">
        <v>451</v>
      </c>
      <c r="C14" s="15"/>
    </row>
    <row r="15" spans="2:8" x14ac:dyDescent="0.25">
      <c r="B15" s="39" t="s">
        <v>449</v>
      </c>
      <c r="C15" s="13" t="str">
        <f>IFERROR(ROUND(C13/C14,4),"")</f>
        <v/>
      </c>
    </row>
    <row r="18" spans="2:8" x14ac:dyDescent="0.25">
      <c r="B18" s="39" t="s">
        <v>452</v>
      </c>
    </row>
    <row r="19" spans="2:8" ht="117" customHeight="1" x14ac:dyDescent="0.25">
      <c r="B19" s="262" t="s">
        <v>453</v>
      </c>
      <c r="C19" s="263"/>
      <c r="D19" s="263"/>
      <c r="E19" s="263"/>
      <c r="F19" s="263"/>
      <c r="G19" s="263"/>
      <c r="H19" s="263"/>
    </row>
    <row r="21" spans="2:8" x14ac:dyDescent="0.25">
      <c r="B21" s="39" t="s">
        <v>454</v>
      </c>
    </row>
    <row r="22" spans="2:8" ht="57" customHeight="1" x14ac:dyDescent="0.25">
      <c r="B22" s="262" t="s">
        <v>455</v>
      </c>
      <c r="C22" s="263"/>
      <c r="D22" s="263"/>
      <c r="E22" s="263"/>
      <c r="F22" s="263"/>
      <c r="G22" s="263"/>
      <c r="H22" s="263"/>
    </row>
    <row r="24" spans="2:8" x14ac:dyDescent="0.25">
      <c r="B24" t="s">
        <v>68</v>
      </c>
      <c r="C24" s="47"/>
    </row>
    <row r="25" spans="2:8" x14ac:dyDescent="0.25">
      <c r="B25" t="s">
        <v>456</v>
      </c>
      <c r="C25" s="15"/>
    </row>
    <row r="26" spans="2:8" x14ac:dyDescent="0.25">
      <c r="B26" t="s">
        <v>457</v>
      </c>
      <c r="C26" s="15"/>
    </row>
    <row r="27" spans="2:8" x14ac:dyDescent="0.25">
      <c r="B27" t="s">
        <v>458</v>
      </c>
      <c r="C27" s="17"/>
    </row>
    <row r="29" spans="2:8" x14ac:dyDescent="0.25">
      <c r="B29" t="s">
        <v>459</v>
      </c>
      <c r="C29" s="12">
        <f>IFERROR(ROUND(C25/C27,2),0)</f>
        <v>0</v>
      </c>
    </row>
    <row r="30" spans="2:8" x14ac:dyDescent="0.25">
      <c r="B30" t="s">
        <v>460</v>
      </c>
      <c r="C30" s="12">
        <f>IFERROR(ROUND(C24+C26,2),0)</f>
        <v>0</v>
      </c>
    </row>
    <row r="31" spans="2:8" x14ac:dyDescent="0.25">
      <c r="B31" s="79" t="s">
        <v>461</v>
      </c>
      <c r="C31" s="79">
        <f>IFERROR(IF(C29&gt;C30,C30,C29),"")</f>
        <v>0</v>
      </c>
    </row>
  </sheetData>
  <mergeCells count="6">
    <mergeCell ref="B4:H4"/>
    <mergeCell ref="B5:H5"/>
    <mergeCell ref="B6:H6"/>
    <mergeCell ref="B7:H7"/>
    <mergeCell ref="B19:H19"/>
    <mergeCell ref="B22:H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EC55-DBB7-407E-8122-18F7E8F3B60F}">
  <sheetPr codeName="Hoja3"/>
  <dimension ref="B4:J438"/>
  <sheetViews>
    <sheetView showGridLines="0" zoomScale="110" zoomScaleNormal="110" workbookViewId="0">
      <selection activeCell="B7" sqref="B7:D7"/>
    </sheetView>
  </sheetViews>
  <sheetFormatPr baseColWidth="10" defaultRowHeight="15" x14ac:dyDescent="0.25"/>
  <cols>
    <col min="1" max="1" width="6.85546875" customWidth="1"/>
    <col min="2" max="2" width="17.28515625" customWidth="1"/>
    <col min="3" max="3" width="58.85546875" customWidth="1"/>
    <col min="4" max="4" width="16.85546875" customWidth="1"/>
    <col min="5" max="5" width="14.85546875" customWidth="1"/>
    <col min="6" max="6" width="13.140625" customWidth="1"/>
    <col min="7" max="7" width="12.42578125" customWidth="1"/>
    <col min="10" max="10" width="36.28515625" customWidth="1"/>
  </cols>
  <sheetData>
    <row r="4" spans="2:9" x14ac:dyDescent="0.25">
      <c r="E4" s="247" t="s">
        <v>234</v>
      </c>
      <c r="F4" s="247"/>
      <c r="G4" s="247"/>
      <c r="H4" s="247"/>
    </row>
    <row r="5" spans="2:9" ht="30" x14ac:dyDescent="0.25">
      <c r="B5" s="5" t="s">
        <v>49</v>
      </c>
      <c r="C5" s="5" t="s">
        <v>1</v>
      </c>
      <c r="D5" s="6" t="s">
        <v>48</v>
      </c>
      <c r="E5" s="72" t="s">
        <v>235</v>
      </c>
      <c r="F5" s="226" t="s">
        <v>236</v>
      </c>
      <c r="G5" s="226"/>
      <c r="H5" s="226"/>
    </row>
    <row r="6" spans="2:9" ht="28.5" customHeight="1" x14ac:dyDescent="0.25">
      <c r="B6" s="1">
        <v>1</v>
      </c>
      <c r="C6" s="2" t="s">
        <v>2</v>
      </c>
      <c r="D6" s="7" t="s">
        <v>50</v>
      </c>
      <c r="E6" s="70">
        <v>12</v>
      </c>
      <c r="F6" s="254" t="s">
        <v>97</v>
      </c>
      <c r="G6" s="254"/>
      <c r="H6" s="254"/>
    </row>
    <row r="7" spans="2:9" ht="39" customHeight="1" x14ac:dyDescent="0.25">
      <c r="B7" s="250" t="s">
        <v>70</v>
      </c>
      <c r="C7" s="250"/>
      <c r="D7" s="250"/>
      <c r="E7" s="70">
        <v>13</v>
      </c>
      <c r="F7" s="254" t="s">
        <v>98</v>
      </c>
      <c r="G7" s="254"/>
      <c r="H7" s="254"/>
    </row>
    <row r="8" spans="2:9" ht="49.5" customHeight="1" x14ac:dyDescent="0.25">
      <c r="B8" s="251" t="s">
        <v>71</v>
      </c>
      <c r="C8" s="252"/>
      <c r="D8" s="252"/>
      <c r="E8" s="70">
        <v>20</v>
      </c>
      <c r="F8" s="254" t="s">
        <v>99</v>
      </c>
      <c r="G8" s="254"/>
      <c r="H8" s="254"/>
    </row>
    <row r="9" spans="2:9" ht="84" customHeight="1" x14ac:dyDescent="0.25">
      <c r="B9" s="250" t="s">
        <v>72</v>
      </c>
      <c r="C9" s="250"/>
      <c r="D9" s="250"/>
      <c r="E9" s="70">
        <v>99</v>
      </c>
      <c r="F9" s="254" t="s">
        <v>100</v>
      </c>
      <c r="G9" s="254"/>
      <c r="H9" s="254"/>
    </row>
    <row r="10" spans="2:9" ht="84" customHeight="1" x14ac:dyDescent="0.25">
      <c r="B10" s="250" t="s">
        <v>237</v>
      </c>
      <c r="C10" s="250"/>
      <c r="D10" s="250"/>
    </row>
    <row r="11" spans="2:9" ht="15" customHeight="1" x14ac:dyDescent="0.25">
      <c r="B11" s="253" t="s">
        <v>55</v>
      </c>
      <c r="C11" s="253"/>
      <c r="D11" s="23">
        <v>15000</v>
      </c>
      <c r="E11" s="8" t="s">
        <v>51</v>
      </c>
      <c r="F11" s="9" t="s">
        <v>52</v>
      </c>
      <c r="G11" s="10" t="s">
        <v>53</v>
      </c>
      <c r="I11" s="26"/>
    </row>
    <row r="12" spans="2:9" ht="15" customHeight="1" x14ac:dyDescent="0.25">
      <c r="B12" s="14"/>
      <c r="C12" s="14" t="s">
        <v>56</v>
      </c>
      <c r="D12" s="23">
        <v>30</v>
      </c>
      <c r="E12" s="11" t="s">
        <v>54</v>
      </c>
      <c r="F12" s="11" t="s">
        <v>54</v>
      </c>
      <c r="G12" s="11" t="s">
        <v>54</v>
      </c>
    </row>
    <row r="13" spans="2:9" ht="15" customHeight="1" x14ac:dyDescent="0.25">
      <c r="B13" s="14"/>
      <c r="C13" s="14" t="s">
        <v>57</v>
      </c>
      <c r="D13" s="24" t="str">
        <f>IFERROR(IF(CONTRA=GENERAL!B107,ROUND(D11/D12,2),""),"")</f>
        <v/>
      </c>
      <c r="E13" s="25" t="str">
        <f>$D$13</f>
        <v/>
      </c>
      <c r="F13" s="25" t="str">
        <f t="shared" ref="F13:G13" si="0">$D$13</f>
        <v/>
      </c>
      <c r="G13" s="25" t="str">
        <f t="shared" si="0"/>
        <v/>
      </c>
    </row>
    <row r="14" spans="2:9" ht="15" customHeight="1" x14ac:dyDescent="0.25">
      <c r="B14" s="14"/>
      <c r="C14" s="14"/>
      <c r="D14" s="24"/>
      <c r="E14" s="28"/>
      <c r="F14" s="28"/>
      <c r="G14" s="28"/>
    </row>
    <row r="15" spans="2:9" ht="35.25" customHeight="1" x14ac:dyDescent="0.25">
      <c r="B15" s="249" t="s">
        <v>74</v>
      </c>
      <c r="C15" s="249"/>
      <c r="D15" s="249"/>
    </row>
    <row r="16" spans="2:9" ht="81.75" customHeight="1" x14ac:dyDescent="0.25">
      <c r="B16" s="249" t="s">
        <v>75</v>
      </c>
      <c r="C16" s="249"/>
      <c r="D16" s="249"/>
    </row>
    <row r="17" spans="2:10" ht="15" customHeight="1" x14ac:dyDescent="0.25">
      <c r="B17" s="14"/>
      <c r="C17" s="27" t="s">
        <v>58</v>
      </c>
      <c r="D17" s="16">
        <v>7</v>
      </c>
    </row>
    <row r="18" spans="2:10" ht="15" customHeight="1" x14ac:dyDescent="0.25">
      <c r="B18" s="14"/>
      <c r="C18" s="27" t="s">
        <v>59</v>
      </c>
      <c r="D18" s="17">
        <v>2</v>
      </c>
    </row>
    <row r="19" spans="2:10" ht="15" customHeight="1" x14ac:dyDescent="0.25">
      <c r="B19" s="14"/>
      <c r="C19" s="27" t="s">
        <v>62</v>
      </c>
      <c r="D19" s="28" t="str">
        <f>IFERROR(IF(CONTRA=GENERAL!B107,D17-D18,""),"")</f>
        <v/>
      </c>
    </row>
    <row r="20" spans="2:10" ht="15" customHeight="1" x14ac:dyDescent="0.25">
      <c r="B20" s="14"/>
      <c r="C20" s="27" t="s">
        <v>61</v>
      </c>
      <c r="D20" s="28">
        <f>IFERROR(ROUND(1/6*D18,2),"")</f>
        <v>0.33</v>
      </c>
    </row>
    <row r="21" spans="2:10" ht="15" customHeight="1" x14ac:dyDescent="0.25">
      <c r="B21" s="14"/>
      <c r="C21" s="27" t="s">
        <v>60</v>
      </c>
      <c r="D21" s="24" t="str">
        <f>IFERROR(ROUND(D19-D20,2),"")</f>
        <v/>
      </c>
    </row>
    <row r="22" spans="2:10" ht="15" customHeight="1" x14ac:dyDescent="0.25">
      <c r="B22" s="14"/>
      <c r="C22" s="27" t="s">
        <v>63</v>
      </c>
      <c r="D22" s="18">
        <v>500</v>
      </c>
    </row>
    <row r="23" spans="2:10" ht="15" customHeight="1" x14ac:dyDescent="0.25">
      <c r="B23" s="14"/>
      <c r="C23" s="14"/>
      <c r="D23" s="13"/>
    </row>
    <row r="24" spans="2:10" ht="33" customHeight="1" x14ac:dyDescent="0.25">
      <c r="B24" s="22" t="s">
        <v>49</v>
      </c>
      <c r="C24" s="22" t="s">
        <v>1</v>
      </c>
      <c r="D24" s="22" t="s">
        <v>64</v>
      </c>
      <c r="E24" s="22" t="s">
        <v>65</v>
      </c>
    </row>
    <row r="25" spans="2:10" ht="15" customHeight="1" x14ac:dyDescent="0.25">
      <c r="B25" s="1">
        <v>1</v>
      </c>
      <c r="C25" s="2" t="s">
        <v>238</v>
      </c>
      <c r="D25" s="19" t="str">
        <f>IFERROR(ROUND(D22*D21,2),"")</f>
        <v/>
      </c>
      <c r="E25" s="20"/>
    </row>
    <row r="26" spans="2:10" ht="15" customHeight="1" x14ac:dyDescent="0.25">
      <c r="B26" s="14"/>
      <c r="C26" s="14"/>
      <c r="D26" s="13"/>
    </row>
    <row r="27" spans="2:10" ht="15" customHeight="1" x14ac:dyDescent="0.25">
      <c r="B27" s="14"/>
      <c r="C27" s="14"/>
      <c r="D27" s="13"/>
    </row>
    <row r="28" spans="2:10" ht="15" customHeight="1" x14ac:dyDescent="0.25">
      <c r="B28" s="14"/>
      <c r="C28" s="14"/>
      <c r="D28" s="13"/>
      <c r="E28" s="225" t="s">
        <v>234</v>
      </c>
      <c r="F28" s="225"/>
      <c r="G28" s="225"/>
      <c r="H28" s="225"/>
      <c r="I28" s="225"/>
      <c r="J28" s="225"/>
    </row>
    <row r="29" spans="2:10" ht="36" customHeight="1" x14ac:dyDescent="0.25">
      <c r="B29" s="5" t="s">
        <v>49</v>
      </c>
      <c r="C29" s="5" t="s">
        <v>1</v>
      </c>
      <c r="D29" s="6" t="s">
        <v>48</v>
      </c>
      <c r="E29" s="72" t="s">
        <v>235</v>
      </c>
      <c r="F29" s="226" t="s">
        <v>236</v>
      </c>
      <c r="G29" s="226"/>
      <c r="H29" s="226"/>
      <c r="I29" s="71" t="s">
        <v>235</v>
      </c>
      <c r="J29" s="73" t="s">
        <v>236</v>
      </c>
    </row>
    <row r="30" spans="2:10" ht="31.5" customHeight="1" x14ac:dyDescent="0.25">
      <c r="B30" s="1">
        <v>2</v>
      </c>
      <c r="C30" s="2" t="s">
        <v>3</v>
      </c>
      <c r="D30" s="69" t="s">
        <v>66</v>
      </c>
      <c r="E30" s="70">
        <v>25</v>
      </c>
      <c r="F30" s="254" t="s">
        <v>102</v>
      </c>
      <c r="G30" s="254"/>
      <c r="H30" s="254"/>
      <c r="I30" s="74">
        <v>24</v>
      </c>
      <c r="J30" s="75" t="s">
        <v>101</v>
      </c>
    </row>
    <row r="31" spans="2:10" ht="108.75" customHeight="1" x14ac:dyDescent="0.25">
      <c r="B31" s="249" t="s">
        <v>76</v>
      </c>
      <c r="C31" s="249"/>
      <c r="D31" s="249"/>
      <c r="E31" s="255" t="s">
        <v>239</v>
      </c>
      <c r="F31" s="256"/>
      <c r="G31" s="256"/>
      <c r="H31" s="256"/>
      <c r="I31" s="256"/>
      <c r="J31" s="256"/>
    </row>
    <row r="32" spans="2:10" ht="86.25" customHeight="1" x14ac:dyDescent="0.25">
      <c r="B32" s="250" t="s">
        <v>72</v>
      </c>
      <c r="C32" s="250"/>
      <c r="D32" s="250"/>
      <c r="E32" s="256"/>
      <c r="F32" s="256"/>
      <c r="G32" s="256"/>
      <c r="H32" s="256"/>
      <c r="I32" s="256"/>
      <c r="J32" s="256"/>
    </row>
    <row r="33" spans="2:10" ht="84" customHeight="1" x14ac:dyDescent="0.25">
      <c r="B33" s="250" t="s">
        <v>73</v>
      </c>
      <c r="C33" s="250"/>
      <c r="D33" s="250"/>
      <c r="E33" s="256"/>
      <c r="F33" s="256"/>
      <c r="G33" s="256"/>
      <c r="H33" s="256"/>
      <c r="I33" s="256"/>
      <c r="J33" s="256"/>
    </row>
    <row r="34" spans="2:10" ht="15" customHeight="1" x14ac:dyDescent="0.25">
      <c r="B34" s="14"/>
      <c r="C34" s="27" t="s">
        <v>67</v>
      </c>
      <c r="D34" s="17">
        <v>15</v>
      </c>
      <c r="E34" s="99" t="s">
        <v>51</v>
      </c>
      <c r="F34" s="97" t="s">
        <v>52</v>
      </c>
      <c r="G34" s="98" t="s">
        <v>53</v>
      </c>
    </row>
    <row r="35" spans="2:10" ht="15" customHeight="1" x14ac:dyDescent="0.25">
      <c r="B35" s="14"/>
      <c r="C35" s="27" t="s">
        <v>63</v>
      </c>
      <c r="D35" s="15">
        <v>500</v>
      </c>
      <c r="E35" s="11" t="s">
        <v>54</v>
      </c>
      <c r="F35" s="11" t="s">
        <v>54</v>
      </c>
      <c r="G35" s="11" t="s">
        <v>54</v>
      </c>
    </row>
    <row r="36" spans="2:10" ht="15" customHeight="1" x14ac:dyDescent="0.25">
      <c r="B36" s="14"/>
      <c r="C36" s="27" t="s">
        <v>69</v>
      </c>
      <c r="D36" s="32">
        <v>113.14</v>
      </c>
      <c r="E36" t="str">
        <f>IFERROR(IF(CONTRA=GENERAL!$B$107,ROUND($D$34/365*$D$35,2),""),"")</f>
        <v/>
      </c>
      <c r="F36" t="str">
        <f>IFERROR(IF(CONTRA=GENERAL!$B$107,ROUND($D$34/365*$D$35,2),""),"")</f>
        <v/>
      </c>
      <c r="G36" t="str">
        <f>IFERROR(IF(CONTRA=GENERAL!$B$107,ROUND($D$34/365*$D$35,2),""),"")</f>
        <v/>
      </c>
    </row>
    <row r="37" spans="2:10" ht="15" customHeight="1" x14ac:dyDescent="0.25">
      <c r="B37" s="14"/>
      <c r="C37" s="14" t="s">
        <v>92</v>
      </c>
      <c r="D37" s="248" t="s">
        <v>84</v>
      </c>
      <c r="E37" s="248"/>
    </row>
    <row r="38" spans="2:10" ht="15" customHeight="1" x14ac:dyDescent="0.25">
      <c r="B38" s="14"/>
      <c r="C38" s="14" t="s">
        <v>82</v>
      </c>
      <c r="D38" s="4" t="str">
        <f>IFERROR(IF(CONTRA=GENERAL!$B$107,VLOOKUP(D37,GENERAL!$B$21:$C$22,2,FALSE),""),"")</f>
        <v/>
      </c>
    </row>
    <row r="39" spans="2:10" ht="15" customHeight="1" x14ac:dyDescent="0.25">
      <c r="B39" s="14"/>
      <c r="C39" s="14"/>
    </row>
    <row r="40" spans="2:10" ht="15" customHeight="1" x14ac:dyDescent="0.25">
      <c r="B40" s="14"/>
      <c r="C40" s="14"/>
    </row>
    <row r="41" spans="2:10" ht="15" customHeight="1" x14ac:dyDescent="0.25">
      <c r="B41" s="22" t="s">
        <v>49</v>
      </c>
      <c r="C41" s="22" t="s">
        <v>1</v>
      </c>
      <c r="D41" s="22" t="s">
        <v>64</v>
      </c>
      <c r="E41" s="22" t="s">
        <v>65</v>
      </c>
    </row>
    <row r="42" spans="2:10" ht="15" customHeight="1" x14ac:dyDescent="0.25">
      <c r="B42" s="1">
        <v>4</v>
      </c>
      <c r="C42" s="2" t="s">
        <v>5</v>
      </c>
      <c r="D42" s="21">
        <f>IF((D35*D34)&gt;E42,(D35*D34)-(D36*30),"")</f>
        <v>4105.8</v>
      </c>
      <c r="E42" s="21">
        <f>IFERROR(IF((D35*D34)&gt;=(D36*30),D36*30,D35*D34),0)</f>
        <v>3394.2</v>
      </c>
    </row>
    <row r="43" spans="2:10" ht="15" customHeight="1" x14ac:dyDescent="0.25">
      <c r="B43" s="14"/>
      <c r="C43" s="14"/>
    </row>
    <row r="44" spans="2:10" ht="15" customHeight="1" x14ac:dyDescent="0.25"/>
    <row r="45" spans="2:10" ht="15" customHeight="1" x14ac:dyDescent="0.25">
      <c r="B45" s="14"/>
      <c r="C45" s="14"/>
      <c r="E45" s="225" t="s">
        <v>234</v>
      </c>
      <c r="F45" s="225"/>
      <c r="G45" s="225"/>
      <c r="H45" s="225"/>
      <c r="I45" s="225"/>
      <c r="J45" s="225"/>
    </row>
    <row r="46" spans="2:10" ht="15" customHeight="1" x14ac:dyDescent="0.25">
      <c r="B46" s="5" t="s">
        <v>49</v>
      </c>
      <c r="C46" s="5" t="s">
        <v>1</v>
      </c>
      <c r="D46" s="6" t="s">
        <v>48</v>
      </c>
      <c r="E46" s="72" t="s">
        <v>235</v>
      </c>
      <c r="F46" s="226" t="s">
        <v>236</v>
      </c>
      <c r="G46" s="226"/>
      <c r="H46" s="226"/>
      <c r="I46" s="71" t="s">
        <v>235</v>
      </c>
      <c r="J46" s="73" t="s">
        <v>236</v>
      </c>
    </row>
    <row r="47" spans="2:10" ht="45" customHeight="1" x14ac:dyDescent="0.25">
      <c r="B47" s="1">
        <v>3</v>
      </c>
      <c r="C47" s="2" t="s">
        <v>4</v>
      </c>
      <c r="D47" s="69" t="s">
        <v>66</v>
      </c>
      <c r="E47" s="70">
        <v>27</v>
      </c>
      <c r="F47" s="254" t="s">
        <v>104</v>
      </c>
      <c r="G47" s="254"/>
      <c r="H47" s="254"/>
      <c r="I47" s="74">
        <v>26</v>
      </c>
      <c r="J47" s="75" t="s">
        <v>103</v>
      </c>
    </row>
    <row r="48" spans="2:10" ht="15" customHeight="1" x14ac:dyDescent="0.25">
      <c r="B48" s="14"/>
      <c r="C48" s="14"/>
      <c r="E48" s="8" t="s">
        <v>51</v>
      </c>
      <c r="F48" s="9" t="s">
        <v>52</v>
      </c>
      <c r="G48" s="10" t="s">
        <v>53</v>
      </c>
    </row>
    <row r="49" spans="2:10" ht="15" customHeight="1" x14ac:dyDescent="0.25">
      <c r="B49" s="14"/>
      <c r="C49" s="14"/>
      <c r="E49" s="11" t="s">
        <v>54</v>
      </c>
      <c r="F49" s="11" t="s">
        <v>94</v>
      </c>
      <c r="G49" s="11" t="s">
        <v>94</v>
      </c>
    </row>
    <row r="50" spans="2:10" ht="15" customHeight="1" x14ac:dyDescent="0.25">
      <c r="B50" s="14"/>
      <c r="C50" s="14"/>
      <c r="F50" s="257" t="s">
        <v>93</v>
      </c>
      <c r="G50" s="258"/>
    </row>
    <row r="51" spans="2:10" ht="15" customHeight="1" x14ac:dyDescent="0.25">
      <c r="B51" s="14"/>
      <c r="C51" s="14"/>
    </row>
    <row r="52" spans="2:10" ht="44.25" customHeight="1" x14ac:dyDescent="0.25">
      <c r="B52" s="236" t="s">
        <v>95</v>
      </c>
      <c r="C52" s="236"/>
      <c r="D52" s="236"/>
      <c r="E52" s="236"/>
      <c r="F52" s="236"/>
      <c r="G52" s="236"/>
    </row>
    <row r="53" spans="2:10" ht="128.25" customHeight="1" x14ac:dyDescent="0.25">
      <c r="B53" s="216" t="s">
        <v>96</v>
      </c>
      <c r="C53" s="216"/>
      <c r="D53" s="216"/>
      <c r="E53" s="216"/>
      <c r="F53" s="216"/>
      <c r="G53" s="216"/>
    </row>
    <row r="54" spans="2:10" ht="15" customHeight="1" x14ac:dyDescent="0.25">
      <c r="B54" s="14"/>
      <c r="C54" s="14"/>
    </row>
    <row r="55" spans="2:10" ht="15" customHeight="1" x14ac:dyDescent="0.25">
      <c r="B55" s="5" t="s">
        <v>49</v>
      </c>
      <c r="C55" s="5" t="s">
        <v>1</v>
      </c>
      <c r="D55" s="6" t="s">
        <v>48</v>
      </c>
      <c r="E55" s="72" t="s">
        <v>235</v>
      </c>
      <c r="F55" s="226" t="s">
        <v>236</v>
      </c>
      <c r="G55" s="226"/>
      <c r="H55" s="226"/>
      <c r="I55" s="71" t="s">
        <v>235</v>
      </c>
      <c r="J55" s="73" t="s">
        <v>236</v>
      </c>
    </row>
    <row r="56" spans="2:10" ht="46.5" customHeight="1" x14ac:dyDescent="0.25">
      <c r="B56" s="1">
        <v>4</v>
      </c>
      <c r="C56" s="2" t="s">
        <v>5</v>
      </c>
      <c r="D56" s="69" t="s">
        <v>66</v>
      </c>
      <c r="E56" s="20"/>
      <c r="F56" s="260"/>
      <c r="G56" s="260"/>
      <c r="H56" s="260"/>
      <c r="I56" s="87">
        <v>28</v>
      </c>
      <c r="J56" s="94" t="s">
        <v>105</v>
      </c>
    </row>
    <row r="57" spans="2:10" ht="15" customHeight="1" x14ac:dyDescent="0.25">
      <c r="B57" s="14"/>
      <c r="C57" s="14"/>
      <c r="E57" s="8" t="s">
        <v>51</v>
      </c>
      <c r="F57" s="9" t="s">
        <v>52</v>
      </c>
      <c r="G57" s="10" t="s">
        <v>53</v>
      </c>
    </row>
    <row r="58" spans="2:10" ht="15" customHeight="1" x14ac:dyDescent="0.25">
      <c r="B58" s="14"/>
      <c r="C58" s="14"/>
      <c r="E58" s="11" t="s">
        <v>54</v>
      </c>
      <c r="F58" s="11" t="s">
        <v>94</v>
      </c>
      <c r="G58" s="11" t="s">
        <v>94</v>
      </c>
    </row>
    <row r="59" spans="2:10" ht="15" customHeight="1" x14ac:dyDescent="0.25">
      <c r="B59" s="14"/>
      <c r="C59" s="14"/>
      <c r="E59" s="65"/>
      <c r="F59" s="241" t="s">
        <v>332</v>
      </c>
      <c r="G59" s="241"/>
    </row>
    <row r="60" spans="2:10" ht="15" customHeight="1" x14ac:dyDescent="0.25">
      <c r="B60" s="14"/>
      <c r="C60" s="14"/>
    </row>
    <row r="61" spans="2:10" ht="66.75" customHeight="1" x14ac:dyDescent="0.25">
      <c r="B61" s="216" t="s">
        <v>319</v>
      </c>
      <c r="C61" s="216"/>
      <c r="D61" s="216"/>
      <c r="E61" s="216"/>
      <c r="F61" s="216"/>
      <c r="G61" s="216"/>
    </row>
    <row r="62" spans="2:10" ht="54" customHeight="1" x14ac:dyDescent="0.25">
      <c r="B62" s="234" t="s">
        <v>331</v>
      </c>
      <c r="C62" s="234"/>
      <c r="D62" s="234"/>
      <c r="E62" s="234"/>
      <c r="F62" s="234"/>
      <c r="G62" s="234"/>
    </row>
    <row r="63" spans="2:10" ht="15" customHeight="1" x14ac:dyDescent="0.25">
      <c r="B63" s="14"/>
      <c r="C63" s="14"/>
    </row>
    <row r="64" spans="2:10" ht="15" customHeight="1" x14ac:dyDescent="0.25">
      <c r="B64" s="14"/>
      <c r="C64" s="96" t="s">
        <v>320</v>
      </c>
      <c r="D64" s="96" t="s">
        <v>321</v>
      </c>
      <c r="E64" s="96" t="s">
        <v>322</v>
      </c>
      <c r="F64" s="96" t="s">
        <v>323</v>
      </c>
    </row>
    <row r="65" spans="2:10" ht="15" customHeight="1" x14ac:dyDescent="0.25">
      <c r="B65" s="14"/>
      <c r="C65" s="36" t="s">
        <v>329</v>
      </c>
      <c r="D65" s="36" t="s">
        <v>324</v>
      </c>
      <c r="E65" s="36" t="s">
        <v>325</v>
      </c>
      <c r="F65" s="95">
        <v>16000</v>
      </c>
    </row>
    <row r="66" spans="2:10" ht="15" customHeight="1" x14ac:dyDescent="0.25">
      <c r="B66" s="14"/>
      <c r="C66" s="36" t="s">
        <v>330</v>
      </c>
      <c r="D66" s="36" t="s">
        <v>326</v>
      </c>
      <c r="E66" s="36" t="s">
        <v>327</v>
      </c>
      <c r="F66" s="95">
        <v>2450</v>
      </c>
    </row>
    <row r="67" spans="2:10" ht="15" customHeight="1" x14ac:dyDescent="0.25">
      <c r="B67" s="14"/>
      <c r="E67" s="39" t="s">
        <v>328</v>
      </c>
      <c r="F67" s="13">
        <v>18450</v>
      </c>
    </row>
    <row r="68" spans="2:10" ht="15" customHeight="1" x14ac:dyDescent="0.25">
      <c r="B68" s="14"/>
      <c r="C68" s="14"/>
    </row>
    <row r="69" spans="2:10" ht="15" customHeight="1" x14ac:dyDescent="0.25">
      <c r="B69" s="22" t="s">
        <v>49</v>
      </c>
      <c r="C69" s="22" t="s">
        <v>1</v>
      </c>
      <c r="D69" s="22" t="s">
        <v>64</v>
      </c>
      <c r="E69" s="22" t="s">
        <v>65</v>
      </c>
    </row>
    <row r="70" spans="2:10" ht="15" customHeight="1" x14ac:dyDescent="0.25">
      <c r="B70" s="1">
        <v>4</v>
      </c>
      <c r="C70" s="2" t="s">
        <v>5</v>
      </c>
      <c r="D70" s="21"/>
      <c r="E70" s="21">
        <f>F67</f>
        <v>18450</v>
      </c>
    </row>
    <row r="71" spans="2:10" ht="15" customHeight="1" x14ac:dyDescent="0.25">
      <c r="B71" s="14"/>
      <c r="C71" s="14"/>
    </row>
    <row r="72" spans="2:10" ht="15" customHeight="1" x14ac:dyDescent="0.25">
      <c r="B72" s="14"/>
      <c r="C72" s="14"/>
    </row>
    <row r="73" spans="2:10" ht="15" customHeight="1" x14ac:dyDescent="0.25">
      <c r="B73" s="14"/>
      <c r="C73" s="14"/>
      <c r="E73" s="225" t="s">
        <v>234</v>
      </c>
      <c r="F73" s="225"/>
      <c r="G73" s="225"/>
      <c r="H73" s="225"/>
      <c r="I73" s="225"/>
      <c r="J73" s="225"/>
    </row>
    <row r="74" spans="2:10" ht="15" customHeight="1" x14ac:dyDescent="0.25">
      <c r="B74" s="5" t="s">
        <v>49</v>
      </c>
      <c r="C74" s="5" t="s">
        <v>1</v>
      </c>
      <c r="D74" s="6" t="s">
        <v>48</v>
      </c>
      <c r="E74" s="72" t="s">
        <v>235</v>
      </c>
      <c r="F74" s="226" t="s">
        <v>236</v>
      </c>
      <c r="G74" s="226"/>
      <c r="H74" s="226"/>
      <c r="I74" s="71" t="s">
        <v>235</v>
      </c>
      <c r="J74" s="73" t="s">
        <v>236</v>
      </c>
    </row>
    <row r="75" spans="2:10" ht="26.25" customHeight="1" x14ac:dyDescent="0.25">
      <c r="B75" s="1">
        <v>5</v>
      </c>
      <c r="C75" s="2" t="s">
        <v>6</v>
      </c>
      <c r="D75" s="69" t="s">
        <v>50</v>
      </c>
      <c r="E75" s="87" t="s">
        <v>214</v>
      </c>
      <c r="F75" s="230" t="s">
        <v>107</v>
      </c>
      <c r="G75" s="230"/>
      <c r="H75" s="230"/>
      <c r="I75" s="87">
        <v>29</v>
      </c>
      <c r="J75" s="94" t="s">
        <v>106</v>
      </c>
    </row>
    <row r="76" spans="2:10" ht="26.25" customHeight="1" x14ac:dyDescent="0.25">
      <c r="B76" s="1">
        <v>6</v>
      </c>
      <c r="C76" s="2" t="s">
        <v>7</v>
      </c>
      <c r="D76" s="69" t="s">
        <v>50</v>
      </c>
      <c r="E76" s="87" t="s">
        <v>333</v>
      </c>
      <c r="F76" s="230" t="s">
        <v>109</v>
      </c>
      <c r="G76" s="230"/>
      <c r="H76" s="230"/>
      <c r="I76" s="87">
        <v>30</v>
      </c>
      <c r="J76" s="94" t="s">
        <v>108</v>
      </c>
    </row>
    <row r="77" spans="2:10" ht="15" customHeight="1" x14ac:dyDescent="0.25">
      <c r="B77" s="14"/>
      <c r="C77" s="14"/>
      <c r="E77" s="8" t="s">
        <v>51</v>
      </c>
      <c r="F77" s="97" t="s">
        <v>52</v>
      </c>
      <c r="G77" s="98" t="s">
        <v>53</v>
      </c>
    </row>
    <row r="78" spans="2:10" ht="15" customHeight="1" x14ac:dyDescent="0.25">
      <c r="B78" s="14"/>
      <c r="C78" s="14"/>
      <c r="E78" s="11" t="s">
        <v>54</v>
      </c>
      <c r="F78" s="11" t="s">
        <v>94</v>
      </c>
      <c r="G78" s="11" t="s">
        <v>94</v>
      </c>
    </row>
    <row r="79" spans="2:10" ht="15" customHeight="1" x14ac:dyDescent="0.25">
      <c r="B79" s="14"/>
      <c r="C79" s="14"/>
      <c r="E79" s="65"/>
      <c r="F79" s="257" t="s">
        <v>93</v>
      </c>
      <c r="G79" s="258"/>
    </row>
    <row r="80" spans="2:10" ht="15" customHeight="1" x14ac:dyDescent="0.25">
      <c r="B80" s="14"/>
      <c r="C80" s="14"/>
    </row>
    <row r="81" spans="2:10" ht="75" customHeight="1" x14ac:dyDescent="0.25">
      <c r="B81" s="216" t="s">
        <v>335</v>
      </c>
      <c r="C81" s="216"/>
      <c r="D81" s="216"/>
      <c r="E81" s="216"/>
      <c r="F81" s="216"/>
      <c r="G81" s="216"/>
    </row>
    <row r="82" spans="2:10" ht="111" customHeight="1" x14ac:dyDescent="0.25">
      <c r="B82" s="231" t="s">
        <v>334</v>
      </c>
      <c r="C82" s="232"/>
      <c r="D82" s="232"/>
      <c r="E82" s="232"/>
      <c r="F82" s="232"/>
      <c r="G82" s="232"/>
    </row>
    <row r="83" spans="2:10" ht="15" customHeight="1" x14ac:dyDescent="0.25">
      <c r="B83" s="14"/>
      <c r="C83" s="14"/>
    </row>
    <row r="84" spans="2:10" ht="15" customHeight="1" x14ac:dyDescent="0.25">
      <c r="B84" s="14"/>
      <c r="C84" s="100" t="s">
        <v>336</v>
      </c>
      <c r="D84" s="15">
        <v>500</v>
      </c>
    </row>
    <row r="85" spans="2:10" ht="15" customHeight="1" x14ac:dyDescent="0.25">
      <c r="B85" s="14"/>
      <c r="C85" s="100" t="s">
        <v>338</v>
      </c>
      <c r="D85" s="17">
        <v>7</v>
      </c>
    </row>
    <row r="86" spans="2:10" ht="15" customHeight="1" x14ac:dyDescent="0.25">
      <c r="B86" s="14"/>
      <c r="C86" s="100" t="s">
        <v>337</v>
      </c>
      <c r="D86" s="59">
        <v>0.13</v>
      </c>
    </row>
    <row r="87" spans="2:10" ht="15" customHeight="1" x14ac:dyDescent="0.25">
      <c r="B87" s="14"/>
      <c r="C87" s="14"/>
    </row>
    <row r="88" spans="2:10" ht="15" customHeight="1" x14ac:dyDescent="0.25">
      <c r="B88" s="22" t="s">
        <v>49</v>
      </c>
      <c r="C88" s="22" t="s">
        <v>1</v>
      </c>
      <c r="D88" s="22" t="s">
        <v>64</v>
      </c>
      <c r="E88" s="22" t="s">
        <v>65</v>
      </c>
    </row>
    <row r="89" spans="2:10" ht="15" customHeight="1" x14ac:dyDescent="0.25">
      <c r="B89" s="1">
        <v>5</v>
      </c>
      <c r="C89" s="2" t="s">
        <v>6</v>
      </c>
      <c r="D89" s="21"/>
      <c r="E89" s="21">
        <f>IFERROR(IF(D86&lt;=0.13,ROUND(D84*D86*D85,2),""),"")</f>
        <v>455</v>
      </c>
      <c r="F89" s="53" t="str">
        <f>IF(D86&gt;0.13,"Realizar el cálculo del artículo 93 penúltimo párrafo LISR","")</f>
        <v/>
      </c>
    </row>
    <row r="90" spans="2:10" ht="15" customHeight="1" x14ac:dyDescent="0.25"/>
    <row r="91" spans="2:10" ht="15" customHeight="1" x14ac:dyDescent="0.25">
      <c r="B91" s="39" t="s">
        <v>342</v>
      </c>
    </row>
    <row r="92" spans="2:10" ht="139.5" customHeight="1" x14ac:dyDescent="0.25">
      <c r="B92" s="245" t="s">
        <v>341</v>
      </c>
      <c r="C92" s="246"/>
      <c r="D92" s="246"/>
      <c r="E92" s="246"/>
      <c r="F92" s="246"/>
      <c r="G92" s="246"/>
    </row>
    <row r="93" spans="2:10" ht="15" customHeight="1" x14ac:dyDescent="0.25"/>
    <row r="94" spans="2:10" ht="15" customHeight="1" x14ac:dyDescent="0.25">
      <c r="E94" s="225" t="s">
        <v>234</v>
      </c>
      <c r="F94" s="225"/>
      <c r="G94" s="225"/>
      <c r="H94" s="225"/>
      <c r="I94" s="225"/>
      <c r="J94" s="225"/>
    </row>
    <row r="95" spans="2:10" ht="15" customHeight="1" x14ac:dyDescent="0.25">
      <c r="B95" s="5" t="s">
        <v>49</v>
      </c>
      <c r="C95" s="5" t="s">
        <v>1</v>
      </c>
      <c r="D95" s="6" t="s">
        <v>48</v>
      </c>
      <c r="E95" s="72" t="s">
        <v>235</v>
      </c>
      <c r="F95" s="226" t="s">
        <v>236</v>
      </c>
      <c r="G95" s="226"/>
      <c r="H95" s="226"/>
      <c r="I95" s="71" t="s">
        <v>235</v>
      </c>
      <c r="J95" s="73" t="s">
        <v>236</v>
      </c>
    </row>
    <row r="96" spans="2:10" ht="47.25" customHeight="1" x14ac:dyDescent="0.25">
      <c r="B96" s="1">
        <v>9</v>
      </c>
      <c r="C96" s="34" t="s">
        <v>8</v>
      </c>
      <c r="D96" s="69" t="s">
        <v>50</v>
      </c>
      <c r="E96" s="101"/>
      <c r="F96" s="259"/>
      <c r="G96" s="259"/>
      <c r="H96" s="259"/>
      <c r="I96" s="87">
        <v>31</v>
      </c>
      <c r="J96" s="94" t="s">
        <v>158</v>
      </c>
    </row>
    <row r="97" spans="2:10" ht="15" customHeight="1" x14ac:dyDescent="0.25"/>
    <row r="98" spans="2:10" ht="158.25" customHeight="1" x14ac:dyDescent="0.25">
      <c r="B98" s="216" t="s">
        <v>147</v>
      </c>
      <c r="C98" s="216"/>
      <c r="D98" s="216"/>
      <c r="E98" s="216"/>
      <c r="F98" s="216"/>
      <c r="G98" s="216"/>
    </row>
    <row r="99" spans="2:10" ht="15" customHeight="1" x14ac:dyDescent="0.25"/>
    <row r="100" spans="2:10" ht="15" customHeight="1" x14ac:dyDescent="0.25">
      <c r="B100" s="22" t="s">
        <v>49</v>
      </c>
      <c r="C100" s="22" t="s">
        <v>1</v>
      </c>
      <c r="D100" s="22" t="s">
        <v>64</v>
      </c>
      <c r="E100" s="22" t="s">
        <v>65</v>
      </c>
    </row>
    <row r="101" spans="2:10" ht="15" customHeight="1" x14ac:dyDescent="0.25">
      <c r="B101" s="1">
        <v>9</v>
      </c>
      <c r="C101" s="34" t="s">
        <v>8</v>
      </c>
      <c r="D101" s="21"/>
      <c r="E101" s="102" t="str">
        <f>IFERROR(IF(D98&lt;=0.13,ROUND(D96*D98*D97,2),""),"")</f>
        <v/>
      </c>
    </row>
    <row r="102" spans="2:10" ht="15" customHeight="1" x14ac:dyDescent="0.25"/>
    <row r="103" spans="2:10" ht="15" customHeight="1" x14ac:dyDescent="0.25"/>
    <row r="104" spans="2:10" ht="15" customHeight="1" x14ac:dyDescent="0.25">
      <c r="B104" s="14"/>
      <c r="C104" s="14"/>
      <c r="E104" s="225" t="s">
        <v>234</v>
      </c>
      <c r="F104" s="225"/>
      <c r="G104" s="225"/>
      <c r="H104" s="225"/>
      <c r="I104" s="225"/>
      <c r="J104" s="225"/>
    </row>
    <row r="105" spans="2:10" ht="15" customHeight="1" x14ac:dyDescent="0.25">
      <c r="B105" s="5" t="s">
        <v>49</v>
      </c>
      <c r="C105" s="5" t="s">
        <v>1</v>
      </c>
      <c r="D105" s="6" t="s">
        <v>48</v>
      </c>
      <c r="E105" s="72" t="s">
        <v>235</v>
      </c>
      <c r="F105" s="226" t="s">
        <v>236</v>
      </c>
      <c r="G105" s="226"/>
      <c r="H105" s="226"/>
      <c r="I105" s="71" t="s">
        <v>235</v>
      </c>
      <c r="J105" s="73" t="s">
        <v>236</v>
      </c>
    </row>
    <row r="106" spans="2:10" ht="15" customHeight="1" x14ac:dyDescent="0.25">
      <c r="B106" s="1">
        <v>10</v>
      </c>
      <c r="C106" s="2" t="s">
        <v>9</v>
      </c>
      <c r="D106" s="69" t="s">
        <v>50</v>
      </c>
      <c r="E106" s="87" t="s">
        <v>214</v>
      </c>
      <c r="F106" s="230" t="s">
        <v>107</v>
      </c>
      <c r="G106" s="230"/>
      <c r="H106" s="230"/>
      <c r="I106" s="87">
        <v>29</v>
      </c>
      <c r="J106" s="94" t="s">
        <v>106</v>
      </c>
    </row>
    <row r="107" spans="2:10" ht="15" customHeight="1" x14ac:dyDescent="0.25">
      <c r="B107" s="1">
        <v>49</v>
      </c>
      <c r="C107" s="3" t="s">
        <v>43</v>
      </c>
      <c r="D107" s="69" t="s">
        <v>50</v>
      </c>
      <c r="E107" s="87" t="s">
        <v>333</v>
      </c>
      <c r="F107" s="230" t="s">
        <v>109</v>
      </c>
      <c r="G107" s="230"/>
      <c r="H107" s="230"/>
      <c r="I107" s="87">
        <v>30</v>
      </c>
      <c r="J107" s="94" t="s">
        <v>108</v>
      </c>
    </row>
    <row r="108" spans="2:10" ht="15" customHeight="1" x14ac:dyDescent="0.25">
      <c r="B108" s="14"/>
      <c r="C108" s="14"/>
      <c r="E108" s="8" t="s">
        <v>51</v>
      </c>
      <c r="F108" s="97" t="s">
        <v>52</v>
      </c>
      <c r="G108" s="98" t="s">
        <v>53</v>
      </c>
    </row>
    <row r="109" spans="2:10" ht="15" customHeight="1" x14ac:dyDescent="0.25">
      <c r="B109" s="14"/>
      <c r="C109" s="14"/>
      <c r="E109" s="11" t="s">
        <v>54</v>
      </c>
      <c r="F109" s="11" t="s">
        <v>94</v>
      </c>
      <c r="G109" s="11" t="s">
        <v>94</v>
      </c>
    </row>
    <row r="110" spans="2:10" ht="15" customHeight="1" x14ac:dyDescent="0.25">
      <c r="B110" s="14"/>
      <c r="C110" s="14"/>
      <c r="E110" s="65"/>
      <c r="F110" s="257" t="s">
        <v>93</v>
      </c>
      <c r="G110" s="258"/>
    </row>
    <row r="111" spans="2:10" ht="15" customHeight="1" x14ac:dyDescent="0.25">
      <c r="B111" s="14"/>
      <c r="C111" s="14"/>
    </row>
    <row r="112" spans="2:10" ht="258.75" customHeight="1" x14ac:dyDescent="0.25">
      <c r="B112" s="221" t="s">
        <v>339</v>
      </c>
      <c r="C112" s="216"/>
      <c r="D112" s="216"/>
      <c r="E112" s="216"/>
      <c r="F112" s="216"/>
      <c r="G112" s="216"/>
    </row>
    <row r="113" spans="2:10" ht="93" customHeight="1" x14ac:dyDescent="0.25">
      <c r="B113" s="231" t="s">
        <v>340</v>
      </c>
      <c r="C113" s="232"/>
      <c r="D113" s="232"/>
      <c r="E113" s="232"/>
      <c r="F113" s="232"/>
      <c r="G113" s="232"/>
    </row>
    <row r="114" spans="2:10" ht="15" customHeight="1" x14ac:dyDescent="0.25">
      <c r="B114" s="14"/>
      <c r="C114" s="14"/>
    </row>
    <row r="115" spans="2:10" ht="15" customHeight="1" x14ac:dyDescent="0.25">
      <c r="B115" s="22" t="s">
        <v>49</v>
      </c>
      <c r="C115" s="22" t="s">
        <v>1</v>
      </c>
      <c r="D115" s="22" t="s">
        <v>64</v>
      </c>
      <c r="E115" s="22" t="s">
        <v>65</v>
      </c>
    </row>
    <row r="116" spans="2:10" ht="15" customHeight="1" x14ac:dyDescent="0.25">
      <c r="B116" s="1">
        <v>10</v>
      </c>
      <c r="C116" s="2" t="s">
        <v>9</v>
      </c>
      <c r="D116" s="21"/>
      <c r="E116" s="102"/>
    </row>
    <row r="117" spans="2:10" ht="15" customHeight="1" x14ac:dyDescent="0.25">
      <c r="B117" s="1">
        <v>49</v>
      </c>
      <c r="C117" s="3" t="s">
        <v>43</v>
      </c>
      <c r="D117" s="21"/>
      <c r="E117" s="102"/>
    </row>
    <row r="118" spans="2:10" ht="15" customHeight="1" x14ac:dyDescent="0.25">
      <c r="B118" s="14"/>
      <c r="C118" s="14"/>
    </row>
    <row r="119" spans="2:10" ht="15" customHeight="1" x14ac:dyDescent="0.25">
      <c r="B119" s="14"/>
      <c r="C119" s="14"/>
      <c r="E119" s="225" t="s">
        <v>234</v>
      </c>
      <c r="F119" s="225"/>
      <c r="G119" s="225"/>
      <c r="H119" s="225"/>
      <c r="I119" s="225"/>
      <c r="J119" s="225"/>
    </row>
    <row r="120" spans="2:10" ht="15" customHeight="1" x14ac:dyDescent="0.25">
      <c r="B120" s="5" t="s">
        <v>49</v>
      </c>
      <c r="C120" s="5" t="s">
        <v>1</v>
      </c>
      <c r="D120" s="6" t="s">
        <v>48</v>
      </c>
      <c r="E120" s="72" t="s">
        <v>235</v>
      </c>
      <c r="F120" s="226" t="s">
        <v>236</v>
      </c>
      <c r="G120" s="226"/>
      <c r="H120" s="226"/>
      <c r="I120" s="71" t="s">
        <v>235</v>
      </c>
      <c r="J120" s="73" t="s">
        <v>236</v>
      </c>
    </row>
    <row r="121" spans="2:10" ht="26.25" customHeight="1" x14ac:dyDescent="0.25">
      <c r="B121" s="1">
        <v>11</v>
      </c>
      <c r="C121" s="2" t="s">
        <v>10</v>
      </c>
      <c r="D121" s="69" t="s">
        <v>50</v>
      </c>
      <c r="E121" s="82">
        <v>84</v>
      </c>
      <c r="F121" s="230" t="s">
        <v>111</v>
      </c>
      <c r="G121" s="230"/>
      <c r="H121" s="230"/>
      <c r="I121" s="82">
        <v>33</v>
      </c>
      <c r="J121" s="83" t="s">
        <v>110</v>
      </c>
    </row>
    <row r="122" spans="2:10" ht="15" customHeight="1" x14ac:dyDescent="0.25">
      <c r="B122" s="14"/>
      <c r="C122" s="14"/>
      <c r="E122" s="8" t="s">
        <v>51</v>
      </c>
      <c r="F122" s="97" t="s">
        <v>52</v>
      </c>
      <c r="G122" s="98" t="s">
        <v>53</v>
      </c>
    </row>
    <row r="123" spans="2:10" ht="15" customHeight="1" x14ac:dyDescent="0.25">
      <c r="B123" s="14"/>
      <c r="C123" s="14"/>
      <c r="E123" s="11" t="s">
        <v>54</v>
      </c>
      <c r="F123" s="11" t="s">
        <v>94</v>
      </c>
      <c r="G123" s="11" t="s">
        <v>94</v>
      </c>
    </row>
    <row r="124" spans="2:10" ht="15" customHeight="1" x14ac:dyDescent="0.25">
      <c r="B124" s="14"/>
      <c r="C124" s="14"/>
      <c r="E124" s="65"/>
      <c r="F124" s="241" t="s">
        <v>332</v>
      </c>
      <c r="G124" s="241"/>
    </row>
    <row r="125" spans="2:10" ht="15" customHeight="1" x14ac:dyDescent="0.25">
      <c r="B125" s="14"/>
      <c r="C125" s="14"/>
    </row>
    <row r="126" spans="2:10" ht="117.75" customHeight="1" x14ac:dyDescent="0.25">
      <c r="B126" s="221" t="s">
        <v>343</v>
      </c>
      <c r="C126" s="196"/>
      <c r="D126" s="196"/>
      <c r="E126" s="196"/>
      <c r="F126" s="196"/>
      <c r="G126" s="196"/>
    </row>
    <row r="127" spans="2:10" ht="15" customHeight="1" x14ac:dyDescent="0.25">
      <c r="B127" s="244" t="s">
        <v>344</v>
      </c>
      <c r="C127" s="244"/>
      <c r="D127" s="244"/>
      <c r="E127" s="244"/>
      <c r="F127" s="244"/>
      <c r="G127" s="244"/>
    </row>
    <row r="128" spans="2:10" ht="186.75" customHeight="1" x14ac:dyDescent="0.25">
      <c r="B128" s="237" t="e" vm="2">
        <v>#VALUE!</v>
      </c>
      <c r="C128" s="237"/>
      <c r="D128" s="237"/>
      <c r="E128" s="237"/>
      <c r="F128" s="237"/>
      <c r="G128" s="237"/>
    </row>
    <row r="129" spans="2:10" ht="15" customHeight="1" x14ac:dyDescent="0.25">
      <c r="B129" s="104"/>
      <c r="C129" s="104"/>
      <c r="D129" s="104"/>
      <c r="E129" s="104"/>
      <c r="F129" s="104"/>
      <c r="G129" s="104"/>
    </row>
    <row r="130" spans="2:10" ht="15" customHeight="1" x14ac:dyDescent="0.25">
      <c r="B130" s="39" t="s">
        <v>342</v>
      </c>
      <c r="C130" s="14"/>
    </row>
    <row r="131" spans="2:10" ht="133.5" customHeight="1" x14ac:dyDescent="0.25">
      <c r="B131" s="245" t="s">
        <v>345</v>
      </c>
      <c r="C131" s="246"/>
      <c r="D131" s="246"/>
      <c r="E131" s="246"/>
      <c r="F131" s="246"/>
      <c r="G131" s="246"/>
    </row>
    <row r="132" spans="2:10" ht="15" customHeight="1" x14ac:dyDescent="0.25">
      <c r="B132" s="14"/>
      <c r="C132" s="14"/>
    </row>
    <row r="133" spans="2:10" ht="15" customHeight="1" x14ac:dyDescent="0.25">
      <c r="B133" s="22" t="s">
        <v>49</v>
      </c>
      <c r="C133" s="22" t="s">
        <v>1</v>
      </c>
      <c r="D133" s="22" t="s">
        <v>64</v>
      </c>
      <c r="E133" s="22" t="s">
        <v>65</v>
      </c>
    </row>
    <row r="134" spans="2:10" ht="15" customHeight="1" x14ac:dyDescent="0.25">
      <c r="B134" s="1">
        <v>11</v>
      </c>
      <c r="C134" s="2" t="s">
        <v>10</v>
      </c>
      <c r="D134" s="21"/>
      <c r="E134" s="21"/>
    </row>
    <row r="135" spans="2:10" ht="15" customHeight="1" x14ac:dyDescent="0.25">
      <c r="B135" s="14"/>
      <c r="C135" s="14"/>
    </row>
    <row r="136" spans="2:10" ht="15" customHeight="1" x14ac:dyDescent="0.25">
      <c r="B136" s="14"/>
      <c r="C136" s="14"/>
      <c r="E136" s="225" t="s">
        <v>234</v>
      </c>
      <c r="F136" s="225"/>
      <c r="G136" s="225"/>
      <c r="H136" s="225"/>
      <c r="I136" s="225"/>
      <c r="J136" s="225"/>
    </row>
    <row r="137" spans="2:10" ht="15" customHeight="1" x14ac:dyDescent="0.25">
      <c r="B137" s="5" t="s">
        <v>49</v>
      </c>
      <c r="C137" s="5" t="s">
        <v>1</v>
      </c>
      <c r="D137" s="6" t="s">
        <v>48</v>
      </c>
      <c r="E137" s="72" t="s">
        <v>235</v>
      </c>
      <c r="F137" s="226" t="s">
        <v>236</v>
      </c>
      <c r="G137" s="226"/>
      <c r="H137" s="226"/>
      <c r="I137" s="71" t="s">
        <v>235</v>
      </c>
      <c r="J137" s="73" t="s">
        <v>236</v>
      </c>
    </row>
    <row r="138" spans="2:10" ht="24.75" customHeight="1" x14ac:dyDescent="0.25">
      <c r="B138" s="1">
        <v>12</v>
      </c>
      <c r="C138" s="2" t="s">
        <v>11</v>
      </c>
      <c r="D138" s="69" t="s">
        <v>50</v>
      </c>
      <c r="E138" s="82">
        <v>85</v>
      </c>
      <c r="F138" s="230" t="s">
        <v>113</v>
      </c>
      <c r="G138" s="230"/>
      <c r="H138" s="230"/>
      <c r="I138" s="82">
        <v>34</v>
      </c>
      <c r="J138" s="83" t="s">
        <v>112</v>
      </c>
    </row>
    <row r="139" spans="2:10" ht="15" customHeight="1" x14ac:dyDescent="0.25">
      <c r="B139" s="14"/>
      <c r="C139" s="14"/>
      <c r="E139" s="8" t="s">
        <v>51</v>
      </c>
      <c r="F139" s="97" t="s">
        <v>52</v>
      </c>
      <c r="G139" s="98" t="s">
        <v>53</v>
      </c>
    </row>
    <row r="140" spans="2:10" ht="15" customHeight="1" x14ac:dyDescent="0.25">
      <c r="B140" s="14"/>
      <c r="C140" s="14"/>
      <c r="E140" s="11" t="s">
        <v>54</v>
      </c>
      <c r="F140" s="11" t="s">
        <v>94</v>
      </c>
      <c r="G140" s="11" t="s">
        <v>94</v>
      </c>
    </row>
    <row r="141" spans="2:10" ht="15" customHeight="1" x14ac:dyDescent="0.25">
      <c r="B141" s="14"/>
      <c r="C141" s="14"/>
      <c r="E141" s="65"/>
      <c r="F141" s="241" t="s">
        <v>332</v>
      </c>
      <c r="G141" s="241"/>
    </row>
    <row r="142" spans="2:10" ht="15" customHeight="1" x14ac:dyDescent="0.25">
      <c r="B142" s="14"/>
      <c r="C142" s="14"/>
    </row>
    <row r="143" spans="2:10" ht="15" customHeight="1" x14ac:dyDescent="0.25">
      <c r="B143" s="14"/>
      <c r="C143" s="14"/>
    </row>
    <row r="144" spans="2:10" ht="67.5" customHeight="1" x14ac:dyDescent="0.25">
      <c r="B144" s="245" t="s">
        <v>346</v>
      </c>
      <c r="C144" s="246"/>
      <c r="D144" s="246"/>
      <c r="E144" s="246"/>
      <c r="F144" s="246"/>
      <c r="G144" s="246"/>
    </row>
    <row r="145" spans="2:10" ht="15" customHeight="1" x14ac:dyDescent="0.25">
      <c r="B145" s="14"/>
      <c r="C145" s="14"/>
    </row>
    <row r="146" spans="2:10" ht="15" customHeight="1" x14ac:dyDescent="0.25">
      <c r="B146" s="22" t="s">
        <v>49</v>
      </c>
      <c r="C146" s="22" t="s">
        <v>1</v>
      </c>
      <c r="D146" s="22" t="s">
        <v>64</v>
      </c>
      <c r="E146" s="22" t="s">
        <v>65</v>
      </c>
    </row>
    <row r="147" spans="2:10" ht="15" customHeight="1" x14ac:dyDescent="0.25">
      <c r="B147" s="1">
        <v>12</v>
      </c>
      <c r="C147" s="2" t="s">
        <v>11</v>
      </c>
      <c r="D147" s="21"/>
      <c r="E147" s="21"/>
    </row>
    <row r="148" spans="2:10" ht="15" customHeight="1" x14ac:dyDescent="0.25">
      <c r="B148" s="14"/>
      <c r="C148" s="14"/>
    </row>
    <row r="149" spans="2:10" ht="15" customHeight="1" x14ac:dyDescent="0.25">
      <c r="B149" s="14"/>
      <c r="C149" s="14"/>
    </row>
    <row r="150" spans="2:10" ht="15" customHeight="1" x14ac:dyDescent="0.25">
      <c r="B150" s="14"/>
      <c r="C150" s="14"/>
      <c r="E150" s="225" t="s">
        <v>234</v>
      </c>
      <c r="F150" s="225"/>
      <c r="G150" s="225"/>
      <c r="H150" s="225"/>
      <c r="I150" s="225"/>
      <c r="J150" s="225"/>
    </row>
    <row r="151" spans="2:10" ht="15" customHeight="1" x14ac:dyDescent="0.25">
      <c r="B151" s="5" t="s">
        <v>49</v>
      </c>
      <c r="C151" s="5" t="s">
        <v>1</v>
      </c>
      <c r="D151" s="6" t="s">
        <v>48</v>
      </c>
      <c r="E151" s="72" t="s">
        <v>235</v>
      </c>
      <c r="F151" s="226" t="s">
        <v>236</v>
      </c>
      <c r="G151" s="226"/>
      <c r="H151" s="226"/>
      <c r="I151" s="71" t="s">
        <v>235</v>
      </c>
      <c r="J151" s="73" t="s">
        <v>236</v>
      </c>
    </row>
    <row r="152" spans="2:10" ht="36" customHeight="1" x14ac:dyDescent="0.25">
      <c r="B152" s="1">
        <v>13</v>
      </c>
      <c r="C152" s="2" t="s">
        <v>12</v>
      </c>
      <c r="D152" s="69" t="s">
        <v>50</v>
      </c>
      <c r="E152" s="82">
        <v>85</v>
      </c>
      <c r="F152" s="230" t="s">
        <v>309</v>
      </c>
      <c r="G152" s="230"/>
      <c r="H152" s="230"/>
      <c r="I152" s="105"/>
      <c r="J152" s="106"/>
    </row>
    <row r="153" spans="2:10" ht="15" customHeight="1" x14ac:dyDescent="0.25">
      <c r="B153" s="14"/>
      <c r="C153" s="14"/>
      <c r="E153" s="8" t="s">
        <v>51</v>
      </c>
      <c r="F153" s="97" t="s">
        <v>52</v>
      </c>
      <c r="G153" s="98" t="s">
        <v>53</v>
      </c>
    </row>
    <row r="154" spans="2:10" ht="15" customHeight="1" x14ac:dyDescent="0.25">
      <c r="B154" s="14"/>
      <c r="C154" s="14"/>
      <c r="E154" s="11" t="s">
        <v>54</v>
      </c>
      <c r="F154" s="11" t="s">
        <v>54</v>
      </c>
      <c r="G154" s="11" t="s">
        <v>54</v>
      </c>
    </row>
    <row r="155" spans="2:10" ht="15" customHeight="1" x14ac:dyDescent="0.25">
      <c r="B155" s="14"/>
      <c r="C155" s="14"/>
      <c r="E155" s="65"/>
    </row>
    <row r="156" spans="2:10" ht="15" customHeight="1" x14ac:dyDescent="0.25">
      <c r="B156" s="22" t="s">
        <v>49</v>
      </c>
      <c r="C156" s="22" t="s">
        <v>1</v>
      </c>
      <c r="D156" s="22" t="s">
        <v>64</v>
      </c>
      <c r="E156" s="22" t="s">
        <v>65</v>
      </c>
    </row>
    <row r="157" spans="2:10" ht="15" customHeight="1" x14ac:dyDescent="0.25">
      <c r="B157" s="1">
        <v>13</v>
      </c>
      <c r="C157" s="2" t="s">
        <v>12</v>
      </c>
      <c r="D157" s="21"/>
      <c r="E157" s="107"/>
    </row>
    <row r="158" spans="2:10" ht="15" customHeight="1" x14ac:dyDescent="0.25">
      <c r="B158" s="14"/>
      <c r="C158" s="14"/>
    </row>
    <row r="159" spans="2:10" ht="15" customHeight="1" x14ac:dyDescent="0.25">
      <c r="B159" s="14"/>
      <c r="C159" s="14"/>
      <c r="E159" s="225" t="s">
        <v>234</v>
      </c>
      <c r="F159" s="225"/>
      <c r="G159" s="225"/>
      <c r="H159" s="225"/>
      <c r="I159" s="225"/>
      <c r="J159" s="225"/>
    </row>
    <row r="160" spans="2:10" ht="15" customHeight="1" x14ac:dyDescent="0.25">
      <c r="B160" s="5" t="s">
        <v>49</v>
      </c>
      <c r="C160" s="5" t="s">
        <v>1</v>
      </c>
      <c r="D160" s="6" t="s">
        <v>48</v>
      </c>
      <c r="E160" s="72" t="s">
        <v>235</v>
      </c>
      <c r="F160" s="226" t="s">
        <v>236</v>
      </c>
      <c r="G160" s="226"/>
      <c r="H160" s="226"/>
      <c r="I160" s="71" t="s">
        <v>235</v>
      </c>
      <c r="J160" s="73" t="s">
        <v>236</v>
      </c>
    </row>
    <row r="161" spans="2:10" ht="30" customHeight="1" x14ac:dyDescent="0.25">
      <c r="B161" s="1">
        <v>14</v>
      </c>
      <c r="C161" s="2" t="s">
        <v>13</v>
      </c>
      <c r="D161" s="69" t="s">
        <v>66</v>
      </c>
      <c r="E161" s="82">
        <v>86</v>
      </c>
      <c r="F161" s="230" t="s">
        <v>115</v>
      </c>
      <c r="G161" s="230"/>
      <c r="H161" s="230"/>
      <c r="I161" s="82">
        <v>36</v>
      </c>
      <c r="J161" s="83" t="s">
        <v>114</v>
      </c>
    </row>
    <row r="162" spans="2:10" ht="15" customHeight="1" x14ac:dyDescent="0.25">
      <c r="B162" s="14"/>
      <c r="C162" s="14"/>
      <c r="E162" s="8" t="s">
        <v>51</v>
      </c>
      <c r="F162" s="97" t="s">
        <v>52</v>
      </c>
      <c r="G162" s="98" t="s">
        <v>53</v>
      </c>
    </row>
    <row r="163" spans="2:10" ht="15" customHeight="1" x14ac:dyDescent="0.25">
      <c r="B163" s="14"/>
      <c r="C163" s="14"/>
      <c r="E163" s="11" t="s">
        <v>54</v>
      </c>
      <c r="F163" s="11" t="s">
        <v>54</v>
      </c>
      <c r="G163" s="11" t="s">
        <v>54</v>
      </c>
    </row>
    <row r="164" spans="2:10" ht="15" customHeight="1" x14ac:dyDescent="0.25">
      <c r="B164" s="14"/>
      <c r="C164" s="14"/>
      <c r="E164" s="65"/>
      <c r="F164" s="65"/>
      <c r="G164" s="65"/>
    </row>
    <row r="165" spans="2:10" ht="91.5" customHeight="1" x14ac:dyDescent="0.25">
      <c r="B165" s="237" t="e" vm="3">
        <v>#VALUE!</v>
      </c>
      <c r="C165" s="237"/>
      <c r="D165" s="237"/>
      <c r="E165" s="237"/>
      <c r="F165" s="237"/>
      <c r="G165" s="237"/>
    </row>
    <row r="166" spans="2:10" ht="15" customHeight="1" x14ac:dyDescent="0.25">
      <c r="B166" s="14"/>
      <c r="C166" s="14"/>
      <c r="E166" s="65"/>
    </row>
    <row r="167" spans="2:10" ht="15" customHeight="1" x14ac:dyDescent="0.25">
      <c r="B167" s="22" t="s">
        <v>49</v>
      </c>
      <c r="C167" s="22" t="s">
        <v>1</v>
      </c>
      <c r="D167" s="22" t="s">
        <v>64</v>
      </c>
      <c r="E167" s="22" t="s">
        <v>65</v>
      </c>
    </row>
    <row r="168" spans="2:10" ht="15" customHeight="1" x14ac:dyDescent="0.25">
      <c r="B168" s="1">
        <v>14</v>
      </c>
      <c r="C168" s="2" t="s">
        <v>13</v>
      </c>
      <c r="D168" s="21"/>
      <c r="E168" s="21"/>
    </row>
    <row r="169" spans="2:10" ht="15" customHeight="1" x14ac:dyDescent="0.25">
      <c r="B169" s="14"/>
      <c r="C169" s="14"/>
      <c r="E169" s="65"/>
    </row>
    <row r="170" spans="2:10" ht="15" customHeight="1" x14ac:dyDescent="0.25">
      <c r="B170" s="14"/>
      <c r="C170" s="14"/>
      <c r="E170" s="225" t="s">
        <v>234</v>
      </c>
      <c r="F170" s="225"/>
      <c r="G170" s="225"/>
      <c r="H170" s="225"/>
      <c r="I170" s="225"/>
      <c r="J170" s="225"/>
    </row>
    <row r="171" spans="2:10" ht="15" customHeight="1" x14ac:dyDescent="0.25">
      <c r="B171" s="5" t="s">
        <v>49</v>
      </c>
      <c r="C171" s="5" t="s">
        <v>1</v>
      </c>
      <c r="D171" s="6" t="s">
        <v>48</v>
      </c>
      <c r="E171" s="72" t="s">
        <v>235</v>
      </c>
      <c r="F171" s="226" t="s">
        <v>236</v>
      </c>
      <c r="G171" s="226"/>
      <c r="H171" s="226"/>
      <c r="I171" s="71" t="s">
        <v>235</v>
      </c>
      <c r="J171" s="73" t="s">
        <v>236</v>
      </c>
    </row>
    <row r="172" spans="2:10" ht="33" customHeight="1" x14ac:dyDescent="0.25">
      <c r="B172" s="1">
        <v>15</v>
      </c>
      <c r="C172" s="2" t="s">
        <v>14</v>
      </c>
      <c r="D172" s="69" t="s">
        <v>66</v>
      </c>
      <c r="E172" s="82">
        <v>87</v>
      </c>
      <c r="F172" s="230" t="s">
        <v>117</v>
      </c>
      <c r="G172" s="230"/>
      <c r="H172" s="230"/>
      <c r="I172" s="82">
        <v>37</v>
      </c>
      <c r="J172" s="83" t="s">
        <v>116</v>
      </c>
    </row>
    <row r="173" spans="2:10" ht="15" customHeight="1" x14ac:dyDescent="0.25">
      <c r="B173" s="14"/>
      <c r="C173" s="14"/>
      <c r="E173" s="8" t="s">
        <v>51</v>
      </c>
      <c r="F173" s="97" t="s">
        <v>52</v>
      </c>
      <c r="G173" s="98" t="s">
        <v>53</v>
      </c>
    </row>
    <row r="174" spans="2:10" ht="15" customHeight="1" x14ac:dyDescent="0.25">
      <c r="B174" s="14"/>
      <c r="C174" s="14"/>
      <c r="E174" s="11" t="s">
        <v>54</v>
      </c>
      <c r="F174" s="11" t="s">
        <v>94</v>
      </c>
      <c r="G174" s="11" t="s">
        <v>94</v>
      </c>
    </row>
    <row r="175" spans="2:10" ht="15" customHeight="1" x14ac:dyDescent="0.25">
      <c r="B175" s="14"/>
      <c r="C175" s="14"/>
      <c r="E175" s="65"/>
      <c r="F175" s="241" t="s">
        <v>332</v>
      </c>
      <c r="G175" s="241"/>
    </row>
    <row r="176" spans="2:10" ht="15" customHeight="1" x14ac:dyDescent="0.25">
      <c r="B176" s="14"/>
      <c r="C176" s="14"/>
      <c r="E176" s="65"/>
    </row>
    <row r="177" spans="2:10" ht="120.75" customHeight="1" x14ac:dyDescent="0.25">
      <c r="B177" s="221" t="s">
        <v>343</v>
      </c>
      <c r="C177" s="196"/>
      <c r="D177" s="196"/>
      <c r="E177" s="196"/>
      <c r="F177" s="196"/>
      <c r="G177" s="196"/>
    </row>
    <row r="178" spans="2:10" ht="116.25" customHeight="1" x14ac:dyDescent="0.25">
      <c r="B178" s="242" t="s">
        <v>347</v>
      </c>
      <c r="C178" s="243"/>
      <c r="D178" s="243"/>
      <c r="E178" s="243"/>
      <c r="F178" s="243"/>
      <c r="G178" s="243"/>
    </row>
    <row r="179" spans="2:10" ht="15" customHeight="1" x14ac:dyDescent="0.25">
      <c r="B179" s="14"/>
      <c r="C179" s="14"/>
      <c r="E179" s="65"/>
      <c r="F179" s="65"/>
      <c r="G179" s="65"/>
    </row>
    <row r="180" spans="2:10" ht="15" customHeight="1" x14ac:dyDescent="0.25">
      <c r="B180" s="22" t="s">
        <v>49</v>
      </c>
      <c r="C180" s="22" t="s">
        <v>1</v>
      </c>
      <c r="D180" s="22" t="s">
        <v>64</v>
      </c>
      <c r="E180" s="22" t="s">
        <v>65</v>
      </c>
      <c r="F180" s="65"/>
      <c r="G180" s="65"/>
    </row>
    <row r="181" spans="2:10" ht="15" customHeight="1" x14ac:dyDescent="0.25">
      <c r="B181" s="1">
        <v>15</v>
      </c>
      <c r="C181" s="2" t="s">
        <v>14</v>
      </c>
      <c r="D181" s="21"/>
      <c r="E181" s="21"/>
      <c r="F181" s="65"/>
      <c r="G181" s="65"/>
    </row>
    <row r="182" spans="2:10" ht="15" customHeight="1" x14ac:dyDescent="0.25">
      <c r="B182" s="14"/>
      <c r="C182" s="14"/>
      <c r="E182" s="65"/>
      <c r="F182" s="65"/>
      <c r="G182" s="65"/>
    </row>
    <row r="183" spans="2:10" ht="15" customHeight="1" x14ac:dyDescent="0.25">
      <c r="B183" s="14"/>
      <c r="C183" s="14"/>
      <c r="E183" s="225" t="s">
        <v>234</v>
      </c>
      <c r="F183" s="225"/>
      <c r="G183" s="225"/>
      <c r="H183" s="225"/>
      <c r="I183" s="225"/>
      <c r="J183" s="225"/>
    </row>
    <row r="184" spans="2:10" ht="15" customHeight="1" x14ac:dyDescent="0.25">
      <c r="B184" s="5" t="s">
        <v>49</v>
      </c>
      <c r="C184" s="5" t="s">
        <v>1</v>
      </c>
      <c r="D184" s="6" t="s">
        <v>48</v>
      </c>
      <c r="E184" s="72" t="s">
        <v>235</v>
      </c>
      <c r="F184" s="226" t="s">
        <v>236</v>
      </c>
      <c r="G184" s="226"/>
      <c r="H184" s="226"/>
      <c r="I184" s="71" t="s">
        <v>235</v>
      </c>
      <c r="J184" s="73" t="s">
        <v>236</v>
      </c>
    </row>
    <row r="185" spans="2:10" ht="15" customHeight="1" x14ac:dyDescent="0.25">
      <c r="B185" s="1">
        <v>19</v>
      </c>
      <c r="C185" s="2" t="s">
        <v>15</v>
      </c>
      <c r="D185" s="69" t="s">
        <v>50</v>
      </c>
      <c r="E185" s="82">
        <v>39</v>
      </c>
      <c r="F185" s="230" t="s">
        <v>163</v>
      </c>
      <c r="G185" s="230"/>
      <c r="H185" s="230"/>
      <c r="I185" s="82">
        <v>38</v>
      </c>
      <c r="J185" s="83" t="s">
        <v>162</v>
      </c>
    </row>
    <row r="186" spans="2:10" ht="15" customHeight="1" x14ac:dyDescent="0.25">
      <c r="B186" s="14"/>
      <c r="C186" s="14"/>
      <c r="E186" s="8" t="s">
        <v>51</v>
      </c>
      <c r="F186" s="97" t="s">
        <v>52</v>
      </c>
      <c r="G186" s="98" t="s">
        <v>53</v>
      </c>
    </row>
    <row r="187" spans="2:10" ht="15" customHeight="1" x14ac:dyDescent="0.25">
      <c r="B187" s="14"/>
      <c r="C187" s="14"/>
      <c r="E187" s="11" t="s">
        <v>54</v>
      </c>
      <c r="F187" s="11" t="s">
        <v>94</v>
      </c>
      <c r="G187" s="11" t="s">
        <v>94</v>
      </c>
    </row>
    <row r="188" spans="2:10" ht="15" customHeight="1" x14ac:dyDescent="0.25">
      <c r="B188" s="14"/>
      <c r="C188" s="14"/>
      <c r="E188" s="65"/>
      <c r="F188" s="237" t="s">
        <v>93</v>
      </c>
      <c r="G188" s="237"/>
    </row>
    <row r="189" spans="2:10" ht="15" customHeight="1" x14ac:dyDescent="0.25">
      <c r="B189" s="14"/>
      <c r="C189" s="14"/>
      <c r="E189" s="65"/>
      <c r="F189" s="108"/>
      <c r="G189" s="108"/>
    </row>
    <row r="190" spans="2:10" ht="141" customHeight="1" x14ac:dyDescent="0.25">
      <c r="B190" s="221" t="s">
        <v>348</v>
      </c>
      <c r="C190" s="196"/>
      <c r="D190" s="196"/>
      <c r="E190" s="196"/>
      <c r="F190" s="196"/>
      <c r="G190" s="196"/>
    </row>
    <row r="191" spans="2:10" ht="15" customHeight="1" x14ac:dyDescent="0.25">
      <c r="B191" s="14"/>
      <c r="C191" s="14"/>
      <c r="E191" s="65"/>
      <c r="F191" s="108"/>
      <c r="G191" s="108"/>
    </row>
    <row r="192" spans="2:10" ht="189.75" customHeight="1" x14ac:dyDescent="0.25">
      <c r="B192" s="239" t="s">
        <v>349</v>
      </c>
      <c r="C192" s="240"/>
      <c r="D192" s="240"/>
      <c r="E192" s="240"/>
      <c r="F192" s="240"/>
      <c r="G192" s="240"/>
    </row>
    <row r="193" spans="2:7" ht="207" customHeight="1" x14ac:dyDescent="0.25">
      <c r="B193" s="238" t="e" vm="4">
        <v>#VALUE!</v>
      </c>
      <c r="C193" s="238"/>
      <c r="D193" s="238"/>
      <c r="E193" s="238"/>
      <c r="F193" s="238"/>
      <c r="G193" s="238"/>
    </row>
    <row r="194" spans="2:7" ht="15" customHeight="1" x14ac:dyDescent="0.25">
      <c r="B194" s="14"/>
      <c r="C194" s="14"/>
      <c r="E194" s="65"/>
      <c r="F194" s="108"/>
      <c r="G194" s="108"/>
    </row>
    <row r="195" spans="2:7" ht="15" customHeight="1" x14ac:dyDescent="0.25">
      <c r="B195" s="14"/>
      <c r="C195" s="14" t="s">
        <v>63</v>
      </c>
      <c r="D195" s="15">
        <v>650</v>
      </c>
      <c r="E195" s="104" t="s">
        <v>354</v>
      </c>
      <c r="F195" s="76">
        <v>113.14</v>
      </c>
    </row>
    <row r="196" spans="2:7" ht="15" customHeight="1" x14ac:dyDescent="0.25">
      <c r="B196" s="14" t="s">
        <v>365</v>
      </c>
      <c r="C196" s="112" t="s">
        <v>84</v>
      </c>
      <c r="D196" s="4">
        <f>IFERROR(VLOOKUP(C196,GENERAL!$B$21:$C$22,2,FALSE),"")</f>
        <v>315.04000000000002</v>
      </c>
      <c r="E196" s="104"/>
    </row>
    <row r="197" spans="2:7" ht="15" customHeight="1" x14ac:dyDescent="0.25">
      <c r="B197" s="14"/>
      <c r="C197" s="14"/>
      <c r="E197" s="65"/>
      <c r="F197" s="108"/>
      <c r="G197" s="108"/>
    </row>
    <row r="198" spans="2:7" ht="15" customHeight="1" x14ac:dyDescent="0.25">
      <c r="B198" s="109" t="s">
        <v>169</v>
      </c>
      <c r="C198" s="109" t="s">
        <v>350</v>
      </c>
      <c r="D198" s="109" t="s">
        <v>351</v>
      </c>
      <c r="E198" s="109" t="s">
        <v>352</v>
      </c>
      <c r="F198" s="109" t="s">
        <v>353</v>
      </c>
      <c r="G198" s="108"/>
    </row>
    <row r="199" spans="2:7" ht="15" customHeight="1" x14ac:dyDescent="0.25">
      <c r="B199" s="11" t="s">
        <v>355</v>
      </c>
      <c r="C199" s="110" t="s">
        <v>363</v>
      </c>
      <c r="D199" s="47">
        <v>5</v>
      </c>
      <c r="E199" s="4">
        <f>IFERROR(IF(C199="Simple",ROUND($D$195/8,2),IF(C199="Doble",ROUND($D$195/4,2),IF(C199="Triple",ROUND($D$195/8*3,2),""))),"")</f>
        <v>81.25</v>
      </c>
      <c r="F199" s="111">
        <f>IFERROR(ROUND(D199*E199,2),"")</f>
        <v>406.25</v>
      </c>
      <c r="G199" s="108"/>
    </row>
    <row r="200" spans="2:7" ht="15" customHeight="1" x14ac:dyDescent="0.25">
      <c r="B200" s="11" t="s">
        <v>356</v>
      </c>
      <c r="C200" s="110" t="s">
        <v>362</v>
      </c>
      <c r="D200" s="47">
        <v>4</v>
      </c>
      <c r="E200" s="4">
        <f t="shared" ref="E200:E205" si="1">IFERROR(IF(C200="Simple",ROUND($D$195/8,2),IF(C200="Doble",ROUND($D$195/4,2),IF(C200="Triple",ROUND($D$195/8*3,2),""))),"")</f>
        <v>162.5</v>
      </c>
      <c r="F200" s="111">
        <f t="shared" ref="F200:F205" si="2">IFERROR(ROUND(D200*E200,2),"")</f>
        <v>650</v>
      </c>
      <c r="G200" s="108"/>
    </row>
    <row r="201" spans="2:7" ht="15" customHeight="1" x14ac:dyDescent="0.25">
      <c r="B201" s="11" t="s">
        <v>357</v>
      </c>
      <c r="C201" s="110" t="s">
        <v>362</v>
      </c>
      <c r="D201" s="47">
        <v>3</v>
      </c>
      <c r="E201" s="4">
        <f t="shared" si="1"/>
        <v>162.5</v>
      </c>
      <c r="F201" s="111">
        <f t="shared" si="2"/>
        <v>487.5</v>
      </c>
      <c r="G201" s="108"/>
    </row>
    <row r="202" spans="2:7" ht="15" customHeight="1" x14ac:dyDescent="0.25">
      <c r="B202" s="11" t="s">
        <v>358</v>
      </c>
      <c r="C202" s="110" t="s">
        <v>362</v>
      </c>
      <c r="D202" s="47">
        <v>1</v>
      </c>
      <c r="E202" s="4">
        <f t="shared" si="1"/>
        <v>162.5</v>
      </c>
      <c r="F202" s="111">
        <f t="shared" si="2"/>
        <v>162.5</v>
      </c>
      <c r="G202" s="108"/>
    </row>
    <row r="203" spans="2:7" ht="15" customHeight="1" x14ac:dyDescent="0.25">
      <c r="B203" s="11" t="s">
        <v>359</v>
      </c>
      <c r="C203" s="110" t="s">
        <v>362</v>
      </c>
      <c r="D203" s="47">
        <v>2</v>
      </c>
      <c r="E203" s="4">
        <f t="shared" si="1"/>
        <v>162.5</v>
      </c>
      <c r="F203" s="111">
        <f t="shared" si="2"/>
        <v>325</v>
      </c>
      <c r="G203" s="108"/>
    </row>
    <row r="204" spans="2:7" ht="15" customHeight="1" x14ac:dyDescent="0.25">
      <c r="B204" s="11" t="s">
        <v>360</v>
      </c>
      <c r="C204" s="110" t="s">
        <v>364</v>
      </c>
      <c r="D204" s="47">
        <v>4</v>
      </c>
      <c r="E204" s="4">
        <f t="shared" si="1"/>
        <v>243.75</v>
      </c>
      <c r="F204" s="111">
        <f t="shared" si="2"/>
        <v>975</v>
      </c>
      <c r="G204" s="108"/>
    </row>
    <row r="205" spans="2:7" ht="15" customHeight="1" x14ac:dyDescent="0.25">
      <c r="B205" s="11" t="s">
        <v>361</v>
      </c>
      <c r="C205" s="110"/>
      <c r="D205" s="47"/>
      <c r="E205" s="4" t="str">
        <f t="shared" si="1"/>
        <v/>
      </c>
      <c r="F205" s="111" t="str">
        <f t="shared" si="2"/>
        <v/>
      </c>
      <c r="G205" s="108"/>
    </row>
    <row r="206" spans="2:7" ht="15" customHeight="1" x14ac:dyDescent="0.25">
      <c r="B206" s="14"/>
      <c r="C206" s="14"/>
      <c r="E206" s="104" t="s">
        <v>217</v>
      </c>
      <c r="F206" s="13">
        <f>SUMIF(F199:F205,"&gt;0")</f>
        <v>3006.25</v>
      </c>
      <c r="G206" s="108"/>
    </row>
    <row r="207" spans="2:7" ht="15" customHeight="1" x14ac:dyDescent="0.25">
      <c r="B207" s="14"/>
      <c r="C207" s="14"/>
      <c r="G207" s="108"/>
    </row>
    <row r="208" spans="2:7" ht="42" customHeight="1" x14ac:dyDescent="0.25">
      <c r="B208" s="14"/>
      <c r="C208" s="133" t="s">
        <v>366</v>
      </c>
      <c r="D208" s="133" t="s">
        <v>370</v>
      </c>
      <c r="E208" s="133" t="s">
        <v>369</v>
      </c>
      <c r="F208" s="134" t="s">
        <v>372</v>
      </c>
    </row>
    <row r="209" spans="2:7" ht="15" customHeight="1" x14ac:dyDescent="0.25">
      <c r="B209" s="14"/>
      <c r="C209" s="103" t="s">
        <v>367</v>
      </c>
      <c r="D209" s="114">
        <f>IFERROR(SUMIF($C$199:$C$205,"Simple",$D$199:$D$205),"")</f>
        <v>5</v>
      </c>
      <c r="E209" s="21">
        <f>IFERROR(SUMIF($C$199:$C$205,"Simple",$F$199:$F$205),"")</f>
        <v>406.25</v>
      </c>
      <c r="F209" s="21">
        <f>IF(E209&lt;&gt;"",E209,"")</f>
        <v>406.25</v>
      </c>
    </row>
    <row r="210" spans="2:7" ht="15" customHeight="1" x14ac:dyDescent="0.25">
      <c r="B210" s="14"/>
      <c r="C210" s="103" t="s">
        <v>382</v>
      </c>
      <c r="D210" s="114">
        <f>IFERROR(SUMIF($C$199:$C$205,"Doble",$D$199:$D$205),"")</f>
        <v>10</v>
      </c>
      <c r="E210" s="21">
        <f>IFERROR(SUMIF($C$199:$C$205,"Doble",$F$199:$F$205),"")</f>
        <v>1625</v>
      </c>
      <c r="F210" s="135">
        <f>IF(E210&lt;&gt;"",IF(D210&lt;=9,E210,(E210-(D210-9)*(ROUND(D195/4,2)))),"")</f>
        <v>1462.5</v>
      </c>
    </row>
    <row r="211" spans="2:7" ht="15" customHeight="1" x14ac:dyDescent="0.25">
      <c r="B211" s="14"/>
      <c r="C211" s="103" t="s">
        <v>368</v>
      </c>
      <c r="D211" s="114">
        <f>IFERROR(SUMIF($C$199:$C$205,"Triple",$D$199:$D$205),"")</f>
        <v>4</v>
      </c>
      <c r="E211" s="21">
        <f>IFERROR(SUMIF($C$199:$C$205,"Triple",$F$199:$F$205),"")</f>
        <v>975</v>
      </c>
      <c r="F211" s="136"/>
    </row>
    <row r="212" spans="2:7" ht="15" customHeight="1" x14ac:dyDescent="0.25">
      <c r="B212" s="14"/>
      <c r="C212" s="113"/>
      <c r="D212" t="s">
        <v>217</v>
      </c>
      <c r="E212" s="12">
        <f>SUMIF(E209:E211,"&gt;0")</f>
        <v>3006.25</v>
      </c>
    </row>
    <row r="213" spans="2:7" ht="15" customHeight="1" x14ac:dyDescent="0.25">
      <c r="B213" s="14"/>
      <c r="C213" s="113"/>
    </row>
    <row r="214" spans="2:7" ht="15" customHeight="1" x14ac:dyDescent="0.25">
      <c r="B214" s="22" t="s">
        <v>49</v>
      </c>
      <c r="C214" s="22" t="s">
        <v>1</v>
      </c>
      <c r="D214" s="22" t="s">
        <v>64</v>
      </c>
      <c r="E214" s="22" t="s">
        <v>65</v>
      </c>
    </row>
    <row r="215" spans="2:7" ht="15" customHeight="1" thickBot="1" x14ac:dyDescent="0.3">
      <c r="B215" s="1">
        <v>19</v>
      </c>
      <c r="C215" s="115" t="s">
        <v>15</v>
      </c>
      <c r="D215" s="116">
        <f>IFERROR(IF(E212&gt;E215,E212-E215,""),"")</f>
        <v>2440.5500000000002</v>
      </c>
      <c r="E215" s="21">
        <f>IFERROR(IF(D195&gt;D196,IF(((SUMIF(F209:F210,"&gt;0")/2))&lt;=(F195*5),SUMIF(F209:F210,"&gt;0")/2,ROUND(F195*5,2)),SUMIF(F209:F210,"&gt;0")),"")</f>
        <v>565.70000000000005</v>
      </c>
    </row>
    <row r="216" spans="2:7" ht="15" customHeight="1" thickBot="1" x14ac:dyDescent="0.3">
      <c r="B216" s="14"/>
      <c r="C216" s="117" t="s">
        <v>383</v>
      </c>
      <c r="D216" s="118">
        <f>IF(D209&gt;0,COUNTIF(C199:C205,"Simple"),"")</f>
        <v>1</v>
      </c>
    </row>
    <row r="217" spans="2:7" ht="15" customHeight="1" thickBot="1" x14ac:dyDescent="0.3">
      <c r="B217" s="14"/>
      <c r="C217" s="117" t="s">
        <v>148</v>
      </c>
      <c r="D217" s="119">
        <f>IF(D209&gt;0,3,"")</f>
        <v>3</v>
      </c>
    </row>
    <row r="218" spans="2:7" ht="15" customHeight="1" thickBot="1" x14ac:dyDescent="0.3">
      <c r="B218" s="14"/>
      <c r="C218" s="117" t="s">
        <v>371</v>
      </c>
      <c r="D218" s="118">
        <f>IF(D209&gt;0,D209,"")</f>
        <v>5</v>
      </c>
      <c r="F218" s="108"/>
      <c r="G218" s="108"/>
    </row>
    <row r="219" spans="2:7" ht="15" customHeight="1" thickBot="1" x14ac:dyDescent="0.3">
      <c r="B219" s="14"/>
      <c r="C219" s="117" t="s">
        <v>153</v>
      </c>
      <c r="D219" s="124">
        <f>IF(E209&gt;0,E209,"")</f>
        <v>406.25</v>
      </c>
      <c r="F219" s="108"/>
      <c r="G219" s="108"/>
    </row>
    <row r="220" spans="2:7" ht="15" customHeight="1" thickBot="1" x14ac:dyDescent="0.3">
      <c r="B220" s="14"/>
      <c r="C220" s="120" t="s">
        <v>383</v>
      </c>
      <c r="D220" s="125">
        <f>IF(D209&gt;0,COUNTIF(C199:C205,"Doble"),"")</f>
        <v>4</v>
      </c>
      <c r="F220" s="108"/>
      <c r="G220" s="108"/>
    </row>
    <row r="221" spans="2:7" ht="15" customHeight="1" thickBot="1" x14ac:dyDescent="0.3">
      <c r="B221" s="14"/>
      <c r="C221" s="121" t="s">
        <v>148</v>
      </c>
      <c r="D221" s="127">
        <f>IF(D209&gt;0,1,"")</f>
        <v>1</v>
      </c>
      <c r="F221" s="108"/>
      <c r="G221" s="108"/>
    </row>
    <row r="222" spans="2:7" ht="15" customHeight="1" thickBot="1" x14ac:dyDescent="0.3">
      <c r="B222" s="14"/>
      <c r="C222" s="121" t="s">
        <v>371</v>
      </c>
      <c r="D222" s="126">
        <f>IF(D210&gt;0,D210,"")</f>
        <v>10</v>
      </c>
      <c r="F222" s="108"/>
      <c r="G222" s="108"/>
    </row>
    <row r="223" spans="2:7" ht="15" customHeight="1" thickBot="1" x14ac:dyDescent="0.3">
      <c r="B223" s="14"/>
      <c r="C223" s="121" t="s">
        <v>153</v>
      </c>
      <c r="D223" s="128">
        <f>IF(E210&gt;0,E210,"")</f>
        <v>1625</v>
      </c>
      <c r="F223" s="108"/>
      <c r="G223" s="108"/>
    </row>
    <row r="224" spans="2:7" ht="15" customHeight="1" thickBot="1" x14ac:dyDescent="0.3">
      <c r="B224" s="14"/>
      <c r="C224" s="122" t="s">
        <v>383</v>
      </c>
      <c r="D224" s="129">
        <f>IF(D209&gt;0,COUNTIF(C199:C205,"Triple"),"")</f>
        <v>1</v>
      </c>
      <c r="F224" s="108"/>
      <c r="G224" s="108"/>
    </row>
    <row r="225" spans="2:10" ht="15" customHeight="1" thickBot="1" x14ac:dyDescent="0.3">
      <c r="B225" s="14"/>
      <c r="C225" s="123" t="s">
        <v>148</v>
      </c>
      <c r="D225" s="131">
        <f>IF(D209&gt;0,2,"")</f>
        <v>2</v>
      </c>
      <c r="F225" s="108"/>
      <c r="G225" s="108"/>
    </row>
    <row r="226" spans="2:10" ht="15" customHeight="1" thickBot="1" x14ac:dyDescent="0.3">
      <c r="B226" s="14"/>
      <c r="C226" s="123" t="s">
        <v>371</v>
      </c>
      <c r="D226" s="130">
        <f>IF(D211&gt;0,D211,"")</f>
        <v>4</v>
      </c>
      <c r="F226" s="108"/>
      <c r="G226" s="108"/>
    </row>
    <row r="227" spans="2:10" ht="15" customHeight="1" thickBot="1" x14ac:dyDescent="0.3">
      <c r="B227" s="14"/>
      <c r="C227" s="123" t="s">
        <v>153</v>
      </c>
      <c r="D227" s="132">
        <f>IF(E211&gt;0,E211,"")</f>
        <v>975</v>
      </c>
      <c r="F227" s="108"/>
      <c r="G227" s="108"/>
    </row>
    <row r="228" spans="2:10" ht="15" customHeight="1" x14ac:dyDescent="0.25">
      <c r="B228" s="14"/>
      <c r="C228" s="14"/>
      <c r="E228" s="65"/>
      <c r="F228" s="108"/>
      <c r="G228" s="108"/>
    </row>
    <row r="229" spans="2:10" ht="15" customHeight="1" x14ac:dyDescent="0.25">
      <c r="B229" s="14"/>
      <c r="C229" s="14"/>
      <c r="E229" s="65"/>
      <c r="F229" s="108"/>
      <c r="G229" s="108"/>
    </row>
    <row r="230" spans="2:10" ht="15" customHeight="1" x14ac:dyDescent="0.25">
      <c r="B230" s="5" t="s">
        <v>49</v>
      </c>
      <c r="C230" s="5" t="s">
        <v>1</v>
      </c>
      <c r="D230" s="6" t="s">
        <v>48</v>
      </c>
      <c r="E230" s="72" t="s">
        <v>235</v>
      </c>
      <c r="F230" s="226" t="s">
        <v>236</v>
      </c>
      <c r="G230" s="226"/>
      <c r="H230" s="226"/>
      <c r="I230" s="71" t="s">
        <v>235</v>
      </c>
      <c r="J230" s="73" t="s">
        <v>236</v>
      </c>
    </row>
    <row r="231" spans="2:10" ht="15" customHeight="1" x14ac:dyDescent="0.25">
      <c r="B231" s="1">
        <v>20</v>
      </c>
      <c r="C231" s="2" t="s">
        <v>16</v>
      </c>
      <c r="D231" s="69" t="s">
        <v>50</v>
      </c>
      <c r="E231" s="82">
        <v>41</v>
      </c>
      <c r="F231" s="230" t="s">
        <v>165</v>
      </c>
      <c r="G231" s="230"/>
      <c r="H231" s="230"/>
      <c r="I231" s="82">
        <v>40</v>
      </c>
      <c r="J231" s="83" t="s">
        <v>164</v>
      </c>
    </row>
    <row r="232" spans="2:10" ht="15" customHeight="1" x14ac:dyDescent="0.25">
      <c r="B232" s="14"/>
      <c r="C232" s="14"/>
      <c r="E232" s="8" t="s">
        <v>51</v>
      </c>
      <c r="F232" s="97" t="s">
        <v>52</v>
      </c>
      <c r="G232" s="98" t="s">
        <v>53</v>
      </c>
    </row>
    <row r="233" spans="2:10" ht="15" customHeight="1" x14ac:dyDescent="0.25">
      <c r="B233" s="14"/>
      <c r="C233" s="14"/>
      <c r="E233" s="11" t="s">
        <v>54</v>
      </c>
      <c r="F233" s="11" t="s">
        <v>54</v>
      </c>
      <c r="G233" s="11" t="s">
        <v>54</v>
      </c>
    </row>
    <row r="234" spans="2:10" ht="15" customHeight="1" x14ac:dyDescent="0.25">
      <c r="B234" s="14"/>
      <c r="C234" s="14"/>
      <c r="E234" s="65"/>
      <c r="F234" s="108"/>
      <c r="G234" s="108"/>
    </row>
    <row r="235" spans="2:10" ht="85.5" customHeight="1" x14ac:dyDescent="0.25">
      <c r="B235" s="236" t="s">
        <v>373</v>
      </c>
      <c r="C235" s="236"/>
      <c r="D235" s="236"/>
      <c r="E235" s="236"/>
      <c r="F235" s="236"/>
      <c r="G235" s="236"/>
    </row>
    <row r="236" spans="2:10" ht="118.5" customHeight="1" x14ac:dyDescent="0.25">
      <c r="B236" s="216" t="s">
        <v>96</v>
      </c>
      <c r="C236" s="216"/>
      <c r="D236" s="216"/>
      <c r="E236" s="216"/>
      <c r="F236" s="216"/>
      <c r="G236" s="216"/>
    </row>
    <row r="237" spans="2:10" ht="15" customHeight="1" x14ac:dyDescent="0.25">
      <c r="B237" s="14"/>
      <c r="C237" s="14"/>
      <c r="E237" s="65"/>
      <c r="F237" s="108"/>
      <c r="G237" s="108"/>
    </row>
    <row r="238" spans="2:10" ht="15" customHeight="1" x14ac:dyDescent="0.25">
      <c r="B238" s="22" t="s">
        <v>49</v>
      </c>
      <c r="C238" s="22" t="s">
        <v>1</v>
      </c>
      <c r="D238" s="22" t="s">
        <v>64</v>
      </c>
      <c r="E238" s="22" t="s">
        <v>65</v>
      </c>
      <c r="F238" s="108"/>
      <c r="G238" s="108"/>
    </row>
    <row r="239" spans="2:10" ht="15" customHeight="1" x14ac:dyDescent="0.25">
      <c r="B239" s="1">
        <v>20</v>
      </c>
      <c r="C239" s="2" t="s">
        <v>16</v>
      </c>
      <c r="D239" s="21" t="str">
        <f>IFERROR(IF(E236&gt;E239,E236-E239,""),"")</f>
        <v/>
      </c>
      <c r="E239" s="21"/>
      <c r="F239" s="108"/>
      <c r="G239" s="108"/>
    </row>
    <row r="240" spans="2:10" ht="15" customHeight="1" x14ac:dyDescent="0.25">
      <c r="B240" s="14"/>
      <c r="C240" s="14"/>
      <c r="E240" s="65"/>
      <c r="F240" s="108"/>
      <c r="G240" s="108"/>
    </row>
    <row r="241" spans="2:10" ht="15" customHeight="1" x14ac:dyDescent="0.25">
      <c r="B241" s="5" t="s">
        <v>49</v>
      </c>
      <c r="C241" s="5" t="s">
        <v>1</v>
      </c>
      <c r="D241" s="6" t="s">
        <v>48</v>
      </c>
      <c r="E241" s="72" t="s">
        <v>235</v>
      </c>
      <c r="F241" s="226" t="s">
        <v>236</v>
      </c>
      <c r="G241" s="226"/>
      <c r="H241" s="226"/>
      <c r="I241" s="71" t="s">
        <v>235</v>
      </c>
      <c r="J241" s="73" t="s">
        <v>236</v>
      </c>
    </row>
    <row r="242" spans="2:10" ht="15" customHeight="1" x14ac:dyDescent="0.25">
      <c r="B242" s="1">
        <v>21</v>
      </c>
      <c r="C242" s="2" t="s">
        <v>17</v>
      </c>
      <c r="D242" s="69" t="s">
        <v>50</v>
      </c>
      <c r="E242" s="82">
        <v>43</v>
      </c>
      <c r="F242" s="230" t="s">
        <v>119</v>
      </c>
      <c r="G242" s="230"/>
      <c r="H242" s="230"/>
      <c r="I242" s="82">
        <v>42</v>
      </c>
      <c r="J242" s="83" t="s">
        <v>118</v>
      </c>
    </row>
    <row r="243" spans="2:10" ht="15" customHeight="1" x14ac:dyDescent="0.25">
      <c r="B243" s="14"/>
      <c r="C243" s="14"/>
      <c r="E243" s="8" t="s">
        <v>51</v>
      </c>
      <c r="F243" s="97" t="s">
        <v>52</v>
      </c>
      <c r="G243" s="98" t="s">
        <v>53</v>
      </c>
    </row>
    <row r="244" spans="2:10" ht="15" customHeight="1" x14ac:dyDescent="0.25">
      <c r="B244" s="14"/>
      <c r="C244" s="14"/>
      <c r="E244" s="11" t="s">
        <v>54</v>
      </c>
      <c r="F244" s="11" t="s">
        <v>54</v>
      </c>
      <c r="G244" s="11" t="s">
        <v>54</v>
      </c>
    </row>
    <row r="245" spans="2:10" ht="15" customHeight="1" x14ac:dyDescent="0.25">
      <c r="B245" s="14"/>
      <c r="C245" s="14"/>
      <c r="E245" s="65"/>
      <c r="F245" s="108"/>
      <c r="G245" s="108"/>
    </row>
    <row r="246" spans="2:10" ht="15" customHeight="1" x14ac:dyDescent="0.25">
      <c r="B246" s="14"/>
      <c r="C246" s="14" t="s">
        <v>145</v>
      </c>
      <c r="D246" s="46">
        <v>43160</v>
      </c>
      <c r="E246" s="65"/>
      <c r="F246" s="108"/>
      <c r="G246" s="108"/>
    </row>
    <row r="247" spans="2:10" ht="15" customHeight="1" x14ac:dyDescent="0.25">
      <c r="B247" s="14"/>
      <c r="C247" s="14" t="s">
        <v>146</v>
      </c>
      <c r="D247" s="46">
        <f ca="1">TODAY()</f>
        <v>46098</v>
      </c>
      <c r="E247" s="65"/>
      <c r="F247" s="108"/>
      <c r="G247" s="108"/>
    </row>
    <row r="248" spans="2:10" ht="15" customHeight="1" x14ac:dyDescent="0.25">
      <c r="B248" s="14"/>
      <c r="C248" s="14" t="s">
        <v>144</v>
      </c>
      <c r="D248" s="15">
        <v>500</v>
      </c>
      <c r="E248" s="65"/>
      <c r="F248" s="108"/>
      <c r="G248" s="108"/>
    </row>
    <row r="249" spans="2:10" ht="15" customHeight="1" x14ac:dyDescent="0.25">
      <c r="B249" s="14"/>
      <c r="C249" s="14" t="s">
        <v>374</v>
      </c>
      <c r="D249" s="59">
        <v>0.25</v>
      </c>
      <c r="E249" s="65"/>
      <c r="F249" s="108"/>
      <c r="G249" s="108"/>
    </row>
    <row r="250" spans="2:10" ht="15" customHeight="1" x14ac:dyDescent="0.25">
      <c r="B250" s="14"/>
      <c r="C250" s="14" t="s">
        <v>68</v>
      </c>
      <c r="D250" s="47">
        <v>113.14</v>
      </c>
      <c r="E250" s="65"/>
      <c r="F250" s="108"/>
      <c r="G250" s="108"/>
    </row>
    <row r="251" spans="2:10" ht="15" customHeight="1" x14ac:dyDescent="0.25">
      <c r="B251" s="14"/>
      <c r="C251" s="14"/>
      <c r="E251" s="65"/>
      <c r="F251" s="108"/>
      <c r="G251" s="108"/>
    </row>
    <row r="252" spans="2:10" ht="15" customHeight="1" x14ac:dyDescent="0.25">
      <c r="B252" s="14"/>
      <c r="C252" s="14" t="s">
        <v>171</v>
      </c>
      <c r="D252">
        <f ca="1">IFERROR(VLOOKUP(VALUE(DATEDIF(D246,D247,"Y")&amp;"."&amp;DATEDIF(D246,D247,"YM")&amp;DATEDIF(D246,D247,"MD")),TABLAV,3),"")</f>
        <v>22</v>
      </c>
      <c r="E252" s="65"/>
      <c r="F252" s="108"/>
      <c r="G252" s="108"/>
    </row>
    <row r="253" spans="2:10" ht="15" customHeight="1" x14ac:dyDescent="0.25">
      <c r="B253" s="14"/>
      <c r="C253" s="14"/>
      <c r="E253" s="65"/>
      <c r="F253" s="108"/>
      <c r="G253" s="108"/>
    </row>
    <row r="254" spans="2:10" ht="15" customHeight="1" x14ac:dyDescent="0.25">
      <c r="B254" s="22" t="s">
        <v>49</v>
      </c>
      <c r="C254" s="22" t="s">
        <v>1</v>
      </c>
      <c r="D254" s="22" t="s">
        <v>64</v>
      </c>
      <c r="E254" s="22" t="s">
        <v>65</v>
      </c>
      <c r="F254" s="108"/>
      <c r="G254" s="108"/>
    </row>
    <row r="255" spans="2:10" ht="15" customHeight="1" x14ac:dyDescent="0.25">
      <c r="B255" s="1">
        <v>21</v>
      </c>
      <c r="C255" s="2" t="s">
        <v>17</v>
      </c>
      <c r="D255" s="21">
        <f ca="1">IFERROR(IF(ROUND(D252*D248*D249,2)&gt;E255,ROUND((D252*D248*D249)-E255,2),""),"")</f>
        <v>1052.9000000000001</v>
      </c>
      <c r="E255" s="21">
        <f ca="1">IFERROR(IF((D252*D248*D249)&lt;=(D250*15),ROUND(D252*D248*D249,2),ROUND(D250*15,2)),"")</f>
        <v>1697.1</v>
      </c>
      <c r="F255" s="108"/>
      <c r="G255" s="108"/>
    </row>
    <row r="256" spans="2:10" ht="15" customHeight="1" x14ac:dyDescent="0.25">
      <c r="B256" s="14"/>
      <c r="C256" s="14"/>
      <c r="E256" s="65"/>
      <c r="F256" s="108"/>
      <c r="G256" s="108"/>
    </row>
    <row r="257" spans="2:10" ht="15" customHeight="1" x14ac:dyDescent="0.25">
      <c r="B257" s="5" t="s">
        <v>49</v>
      </c>
      <c r="C257" s="5" t="s">
        <v>1</v>
      </c>
      <c r="D257" s="6" t="s">
        <v>48</v>
      </c>
      <c r="E257" s="72" t="s">
        <v>235</v>
      </c>
      <c r="F257" s="226" t="s">
        <v>236</v>
      </c>
      <c r="G257" s="226"/>
      <c r="H257" s="226"/>
      <c r="I257" s="71" t="s">
        <v>235</v>
      </c>
      <c r="J257" s="73" t="s">
        <v>236</v>
      </c>
    </row>
    <row r="258" spans="2:10" ht="32.25" customHeight="1" x14ac:dyDescent="0.25">
      <c r="B258" s="1">
        <v>22</v>
      </c>
      <c r="C258" s="2" t="s">
        <v>18</v>
      </c>
      <c r="D258" s="69" t="s">
        <v>66</v>
      </c>
      <c r="E258" s="82">
        <v>45</v>
      </c>
      <c r="F258" s="222" t="s">
        <v>303</v>
      </c>
      <c r="G258" s="222"/>
      <c r="H258" s="222"/>
      <c r="I258" s="87">
        <v>44</v>
      </c>
      <c r="J258" s="83" t="s">
        <v>302</v>
      </c>
    </row>
    <row r="259" spans="2:10" ht="30" customHeight="1" x14ac:dyDescent="0.25">
      <c r="B259" s="1">
        <v>23</v>
      </c>
      <c r="C259" s="2" t="s">
        <v>19</v>
      </c>
      <c r="D259" s="69" t="s">
        <v>66</v>
      </c>
      <c r="E259" s="82">
        <v>47</v>
      </c>
      <c r="F259" s="222" t="s">
        <v>305</v>
      </c>
      <c r="G259" s="222"/>
      <c r="H259" s="222"/>
      <c r="I259" s="87">
        <v>46</v>
      </c>
      <c r="J259" s="83" t="s">
        <v>304</v>
      </c>
    </row>
    <row r="260" spans="2:10" ht="15" customHeight="1" x14ac:dyDescent="0.25">
      <c r="B260" s="1">
        <v>25</v>
      </c>
      <c r="C260" s="2" t="s">
        <v>21</v>
      </c>
      <c r="D260" s="69" t="s">
        <v>66</v>
      </c>
      <c r="E260" s="82">
        <v>50</v>
      </c>
      <c r="F260" s="222" t="s">
        <v>307</v>
      </c>
      <c r="G260" s="222"/>
      <c r="H260" s="222"/>
      <c r="I260" s="87">
        <v>49</v>
      </c>
      <c r="J260" s="83" t="s">
        <v>306</v>
      </c>
    </row>
    <row r="261" spans="2:10" ht="15" customHeight="1" x14ac:dyDescent="0.25">
      <c r="B261" s="63"/>
      <c r="C261" s="35"/>
      <c r="D261" s="44"/>
      <c r="E261" s="8" t="s">
        <v>51</v>
      </c>
      <c r="F261" s="9" t="s">
        <v>52</v>
      </c>
      <c r="G261" s="10" t="s">
        <v>53</v>
      </c>
    </row>
    <row r="262" spans="2:10" ht="15" customHeight="1" x14ac:dyDescent="0.25">
      <c r="B262" s="63"/>
      <c r="C262" s="35"/>
      <c r="D262" s="44"/>
      <c r="E262" s="11" t="s">
        <v>94</v>
      </c>
      <c r="F262" s="11" t="s">
        <v>94</v>
      </c>
      <c r="G262" s="11" t="s">
        <v>94</v>
      </c>
    </row>
    <row r="263" spans="2:10" ht="15" customHeight="1" x14ac:dyDescent="0.25">
      <c r="B263" s="63"/>
      <c r="C263" s="35"/>
      <c r="D263" s="44"/>
      <c r="E263" s="65"/>
      <c r="F263" s="65"/>
      <c r="G263" s="65"/>
    </row>
    <row r="264" spans="2:10" ht="179.25" customHeight="1" x14ac:dyDescent="0.25">
      <c r="B264" s="221" t="s">
        <v>376</v>
      </c>
      <c r="C264" s="196"/>
      <c r="D264" s="196"/>
      <c r="E264" s="196"/>
      <c r="F264" s="196"/>
      <c r="G264" s="196"/>
    </row>
    <row r="265" spans="2:10" ht="15" customHeight="1" x14ac:dyDescent="0.25">
      <c r="B265" s="14"/>
      <c r="C265" s="14"/>
    </row>
    <row r="266" spans="2:10" ht="15" customHeight="1" x14ac:dyDescent="0.25">
      <c r="B266" s="14"/>
      <c r="C266" s="14" t="s">
        <v>145</v>
      </c>
      <c r="D266" s="46">
        <v>43160</v>
      </c>
    </row>
    <row r="267" spans="2:10" ht="15" customHeight="1" x14ac:dyDescent="0.25">
      <c r="B267" s="14"/>
      <c r="C267" s="14" t="s">
        <v>146</v>
      </c>
      <c r="D267" s="46">
        <f ca="1">TODAY()</f>
        <v>46098</v>
      </c>
    </row>
    <row r="268" spans="2:10" ht="15" customHeight="1" x14ac:dyDescent="0.25">
      <c r="B268" s="14"/>
      <c r="C268" s="14" t="s">
        <v>144</v>
      </c>
      <c r="D268" s="15">
        <v>500</v>
      </c>
    </row>
    <row r="269" spans="2:10" ht="15" customHeight="1" x14ac:dyDescent="0.25">
      <c r="B269" s="14"/>
      <c r="C269" s="14" t="s">
        <v>223</v>
      </c>
      <c r="D269" s="137">
        <v>550</v>
      </c>
    </row>
    <row r="270" spans="2:10" ht="15" customHeight="1" x14ac:dyDescent="0.25">
      <c r="B270" s="14"/>
      <c r="C270" s="14" t="s">
        <v>92</v>
      </c>
      <c r="D270" s="235" t="s">
        <v>84</v>
      </c>
      <c r="E270" s="235"/>
      <c r="F270" s="235"/>
    </row>
    <row r="271" spans="2:10" ht="15" customHeight="1" x14ac:dyDescent="0.25">
      <c r="B271" s="14"/>
      <c r="C271" s="14" t="s">
        <v>82</v>
      </c>
      <c r="D271" s="138">
        <f>IFERROR(VLOOKUP(D270,GENERAL!$B$21:$C$22,2,FALSE),"")</f>
        <v>315.04000000000002</v>
      </c>
    </row>
    <row r="272" spans="2:10" ht="15" customHeight="1" x14ac:dyDescent="0.25">
      <c r="B272" s="14"/>
      <c r="C272" s="14" t="s">
        <v>68</v>
      </c>
      <c r="D272" s="47">
        <v>113.14</v>
      </c>
    </row>
    <row r="273" spans="2:5" ht="15" customHeight="1" x14ac:dyDescent="0.25">
      <c r="B273" s="14"/>
      <c r="C273" s="14"/>
    </row>
    <row r="274" spans="2:5" ht="15" customHeight="1" x14ac:dyDescent="0.25">
      <c r="B274" s="14"/>
      <c r="C274" s="14" t="s">
        <v>377</v>
      </c>
      <c r="D274" s="4">
        <f ca="1">IFERROR(DATEDIF(D266,D267,"Y"),"")</f>
        <v>8</v>
      </c>
    </row>
    <row r="275" spans="2:5" ht="15" customHeight="1" x14ac:dyDescent="0.25">
      <c r="B275" s="14"/>
      <c r="C275" s="14" t="s">
        <v>378</v>
      </c>
      <c r="D275" s="4">
        <f ca="1">IFERROR(IF(VALUE(DATEDIF(D266,D267,"ym")&amp;"."&amp;DATEDIF(D266,D267,"md"))&gt;6,DATEDIF(D266,D267,"y")+1,DATEDIF(D266,D267,"y")),"")</f>
        <v>8</v>
      </c>
    </row>
    <row r="276" spans="2:5" ht="15" customHeight="1" x14ac:dyDescent="0.25">
      <c r="B276" s="14"/>
      <c r="C276" s="14"/>
    </row>
    <row r="277" spans="2:5" ht="15" customHeight="1" x14ac:dyDescent="0.25">
      <c r="B277" s="14"/>
      <c r="C277" s="14"/>
      <c r="E277" s="109" t="s">
        <v>380</v>
      </c>
    </row>
    <row r="278" spans="2:5" ht="15" customHeight="1" x14ac:dyDescent="0.25">
      <c r="B278" s="14"/>
      <c r="C278" s="14" t="s">
        <v>172</v>
      </c>
      <c r="D278" s="135">
        <f ca="1">IFERROR(IF(E278="Sí",ROUND(D274*12*IF(D268&gt;=ROUND(D271*2,2),ROUND(D271*2,2),D268),2),""),"")</f>
        <v>48000</v>
      </c>
      <c r="E278" s="47" t="s">
        <v>54</v>
      </c>
    </row>
    <row r="279" spans="2:5" ht="15" customHeight="1" x14ac:dyDescent="0.25">
      <c r="B279" s="14"/>
      <c r="C279" s="14" t="s">
        <v>381</v>
      </c>
      <c r="D279" s="21">
        <f>IFERROR(IF(E279="Sí",ROUND(D269*90,2),""),"")</f>
        <v>49500</v>
      </c>
      <c r="E279" s="47" t="s">
        <v>54</v>
      </c>
    </row>
    <row r="280" spans="2:5" ht="15" customHeight="1" x14ac:dyDescent="0.25">
      <c r="B280" s="14"/>
      <c r="C280" s="14" t="s">
        <v>379</v>
      </c>
      <c r="D280" s="21">
        <f ca="1">IFERROR(IF(E280="Sí",ROUND(20*D274*D269,2),""),"")</f>
        <v>88000</v>
      </c>
      <c r="E280" s="47" t="s">
        <v>54</v>
      </c>
    </row>
    <row r="281" spans="2:5" ht="15" customHeight="1" x14ac:dyDescent="0.25">
      <c r="B281" s="14"/>
      <c r="C281" s="14" t="s">
        <v>384</v>
      </c>
      <c r="D281" s="13">
        <f ca="1">SUMIF(D278:D280,"&gt;0")</f>
        <v>185500</v>
      </c>
    </row>
    <row r="282" spans="2:5" ht="15" customHeight="1" x14ac:dyDescent="0.25">
      <c r="B282" s="14"/>
      <c r="C282" s="14" t="s">
        <v>173</v>
      </c>
      <c r="D282" s="61">
        <f ca="1">IFERROR(IF(D281&gt;=ROUND(90*D275*D272,2),ROUND(90*D275*D272,2),D281),"")</f>
        <v>81460.800000000003</v>
      </c>
    </row>
    <row r="283" spans="2:5" ht="15" customHeight="1" x14ac:dyDescent="0.25">
      <c r="B283" s="14"/>
      <c r="C283" s="141" t="s">
        <v>174</v>
      </c>
      <c r="D283" s="142">
        <f ca="1">IFERROR(IF(D281&gt;=D282,D281-D282,0),"")</f>
        <v>104039.2</v>
      </c>
    </row>
    <row r="284" spans="2:5" ht="15" customHeight="1" x14ac:dyDescent="0.25">
      <c r="B284" s="14"/>
      <c r="C284" s="14" t="s">
        <v>385</v>
      </c>
      <c r="D284" s="61">
        <f>IFERROR(IF(D268&lt;&gt;"",ROUND(D268*30,2),""),"")</f>
        <v>15000</v>
      </c>
    </row>
    <row r="285" spans="2:5" ht="15" customHeight="1" x14ac:dyDescent="0.25">
      <c r="B285" s="14"/>
      <c r="C285" s="139" t="s">
        <v>386</v>
      </c>
      <c r="D285" s="140">
        <f ca="1">IFERROR(IF(D283&gt;D284,D283-D284,0),"")</f>
        <v>89039.2</v>
      </c>
    </row>
    <row r="286" spans="2:5" ht="15" customHeight="1" x14ac:dyDescent="0.25">
      <c r="B286" s="14"/>
      <c r="C286" s="14"/>
    </row>
    <row r="287" spans="2:5" ht="15" customHeight="1" x14ac:dyDescent="0.25">
      <c r="B287" s="14"/>
      <c r="C287" s="14"/>
    </row>
    <row r="288" spans="2:5" ht="15" customHeight="1" x14ac:dyDescent="0.25">
      <c r="B288" s="22" t="s">
        <v>49</v>
      </c>
      <c r="C288" s="22" t="s">
        <v>1</v>
      </c>
      <c r="D288" s="22" t="s">
        <v>64</v>
      </c>
      <c r="E288" s="22" t="s">
        <v>65</v>
      </c>
    </row>
    <row r="289" spans="2:10" ht="15" customHeight="1" x14ac:dyDescent="0.25">
      <c r="B289" s="1">
        <v>22</v>
      </c>
      <c r="C289" s="2" t="s">
        <v>18</v>
      </c>
      <c r="D289" s="21" t="str">
        <f ca="1">IFERROR(IF(D278&gt;E289,D278-E289,""),"")</f>
        <v/>
      </c>
      <c r="E289" s="21">
        <f ca="1">IFERROR(IF(E278="Sí",IF(D278&gt;=D282,D282,D278),""),"")</f>
        <v>48000</v>
      </c>
    </row>
    <row r="290" spans="2:10" ht="15" customHeight="1" x14ac:dyDescent="0.25">
      <c r="B290" s="1">
        <v>23</v>
      </c>
      <c r="C290" s="2" t="s">
        <v>19</v>
      </c>
      <c r="D290" s="21">
        <f t="shared" ref="D290" ca="1" si="3">IFERROR(IF(D279&gt;E290,D279-E290,""),"")</f>
        <v>16039.199999999997</v>
      </c>
      <c r="E290" s="21">
        <f ca="1">IFERROR(IF(E279="Sí",IF(D279&gt;=(D282-IF(E289&lt;&gt;"",E289,0)),D282-IF(E289&lt;&gt;"",E289,0),D279),""),"")</f>
        <v>33460.800000000003</v>
      </c>
    </row>
    <row r="291" spans="2:10" ht="15" customHeight="1" thickBot="1" x14ac:dyDescent="0.3">
      <c r="B291" s="1">
        <v>25</v>
      </c>
      <c r="C291" s="115" t="s">
        <v>21</v>
      </c>
      <c r="D291" s="21">
        <f ca="1">IFERROR(IF(E291&lt;&gt;"",D280-E291,D280),"")</f>
        <v>88000</v>
      </c>
      <c r="E291" s="21">
        <f ca="1">IFERROR(IF(E280="Sí",IF(D280&gt;=(D282-IF(E289&lt;&gt;"",E289,0)-IF(E290&lt;&gt;"",E290,0)),D282-IF(E289&lt;&gt;"",E289,0)-IF(E290&lt;&gt;"",E290,0),D280),""),"")</f>
        <v>0</v>
      </c>
    </row>
    <row r="292" spans="2:10" ht="15" customHeight="1" thickBot="1" x14ac:dyDescent="0.3">
      <c r="B292" s="14"/>
      <c r="C292" s="143" t="s">
        <v>387</v>
      </c>
      <c r="D292" s="144">
        <f ca="1">IF(D281&gt;0,D281,"")</f>
        <v>185500</v>
      </c>
    </row>
    <row r="293" spans="2:10" ht="15" customHeight="1" thickBot="1" x14ac:dyDescent="0.3">
      <c r="B293" s="14"/>
      <c r="C293" s="143" t="s">
        <v>388</v>
      </c>
      <c r="D293" s="145">
        <f ca="1">IF(D275&gt;0,D275,"")</f>
        <v>8</v>
      </c>
    </row>
    <row r="294" spans="2:10" ht="15" customHeight="1" thickBot="1" x14ac:dyDescent="0.3">
      <c r="B294" s="14"/>
      <c r="C294" s="143" t="s">
        <v>170</v>
      </c>
      <c r="D294" s="144">
        <f>IF(D284&gt;0,D284,"")</f>
        <v>15000</v>
      </c>
    </row>
    <row r="295" spans="2:10" ht="15" customHeight="1" thickBot="1" x14ac:dyDescent="0.3">
      <c r="B295" s="14"/>
      <c r="C295" s="143" t="s">
        <v>389</v>
      </c>
      <c r="D295" s="144">
        <f ca="1">IF(D283&lt;&gt;"",D283,"")</f>
        <v>104039.2</v>
      </c>
    </row>
    <row r="296" spans="2:10" ht="15" customHeight="1" thickBot="1" x14ac:dyDescent="0.3">
      <c r="B296" s="14"/>
      <c r="C296" s="143" t="s">
        <v>390</v>
      </c>
      <c r="D296" s="144">
        <f ca="1">IF(D285&lt;&gt;"",D285,"")</f>
        <v>89039.2</v>
      </c>
    </row>
    <row r="297" spans="2:10" ht="15" customHeight="1" x14ac:dyDescent="0.25">
      <c r="B297" s="14"/>
      <c r="C297" s="14"/>
    </row>
    <row r="298" spans="2:10" ht="15" customHeight="1" x14ac:dyDescent="0.25">
      <c r="B298" s="5" t="s">
        <v>49</v>
      </c>
      <c r="C298" s="5" t="s">
        <v>1</v>
      </c>
      <c r="D298" s="6" t="s">
        <v>48</v>
      </c>
      <c r="E298" s="72" t="s">
        <v>235</v>
      </c>
      <c r="F298" s="226" t="s">
        <v>236</v>
      </c>
      <c r="G298" s="226"/>
      <c r="H298" s="226"/>
      <c r="I298" s="71" t="s">
        <v>235</v>
      </c>
      <c r="J298" s="73" t="s">
        <v>236</v>
      </c>
    </row>
    <row r="299" spans="2:10" ht="15" customHeight="1" x14ac:dyDescent="0.25">
      <c r="B299" s="1">
        <v>24</v>
      </c>
      <c r="C299" s="2" t="s">
        <v>20</v>
      </c>
      <c r="D299" s="69" t="s">
        <v>50</v>
      </c>
      <c r="E299" s="82">
        <v>88</v>
      </c>
      <c r="F299" s="230" t="s">
        <v>272</v>
      </c>
      <c r="G299" s="230"/>
      <c r="H299" s="230"/>
      <c r="I299" s="82">
        <v>48</v>
      </c>
      <c r="J299" s="83" t="s">
        <v>264</v>
      </c>
    </row>
    <row r="300" spans="2:10" ht="15" customHeight="1" x14ac:dyDescent="0.25">
      <c r="B300" s="14"/>
      <c r="C300" s="14"/>
      <c r="E300" s="8" t="s">
        <v>51</v>
      </c>
      <c r="F300" s="97" t="s">
        <v>52</v>
      </c>
      <c r="G300" s="98" t="s">
        <v>53</v>
      </c>
    </row>
    <row r="301" spans="2:10" ht="15" customHeight="1" x14ac:dyDescent="0.25">
      <c r="B301" s="14"/>
      <c r="C301" s="14"/>
      <c r="E301" s="11" t="s">
        <v>54</v>
      </c>
      <c r="F301" s="11" t="s">
        <v>94</v>
      </c>
      <c r="G301" s="11" t="s">
        <v>94</v>
      </c>
    </row>
    <row r="302" spans="2:10" ht="15" customHeight="1" x14ac:dyDescent="0.25">
      <c r="B302" s="14"/>
      <c r="C302" s="14"/>
      <c r="E302" s="65"/>
      <c r="F302" s="108"/>
      <c r="G302" s="108"/>
    </row>
    <row r="303" spans="2:10" ht="95.25" customHeight="1" x14ac:dyDescent="0.25">
      <c r="B303" s="231" t="s">
        <v>375</v>
      </c>
      <c r="C303" s="232"/>
      <c r="D303" s="232"/>
      <c r="E303" s="232"/>
      <c r="F303" s="232"/>
      <c r="G303" s="232"/>
    </row>
    <row r="304" spans="2:10" ht="131.25" customHeight="1" x14ac:dyDescent="0.25">
      <c r="B304" s="221" t="s">
        <v>343</v>
      </c>
      <c r="C304" s="196"/>
      <c r="D304" s="196"/>
      <c r="E304" s="196"/>
      <c r="F304" s="196"/>
      <c r="G304" s="196"/>
    </row>
    <row r="305" spans="2:10" ht="15" customHeight="1" x14ac:dyDescent="0.25">
      <c r="B305" s="14"/>
      <c r="C305" s="14"/>
      <c r="E305" s="65"/>
      <c r="F305" s="108"/>
      <c r="G305" s="108"/>
    </row>
    <row r="306" spans="2:10" ht="15" customHeight="1" x14ac:dyDescent="0.25">
      <c r="B306" s="22" t="s">
        <v>49</v>
      </c>
      <c r="C306" s="22" t="s">
        <v>1</v>
      </c>
      <c r="D306" s="22" t="s">
        <v>64</v>
      </c>
      <c r="E306" s="22" t="s">
        <v>65</v>
      </c>
      <c r="F306" s="108"/>
      <c r="G306" s="108"/>
    </row>
    <row r="307" spans="2:10" ht="15" customHeight="1" x14ac:dyDescent="0.25">
      <c r="B307" s="1">
        <v>24</v>
      </c>
      <c r="C307" s="2" t="s">
        <v>20</v>
      </c>
      <c r="D307" s="21"/>
      <c r="E307" s="21"/>
      <c r="F307" s="108"/>
      <c r="G307" s="108"/>
    </row>
    <row r="308" spans="2:10" ht="15" customHeight="1" x14ac:dyDescent="0.25">
      <c r="B308" s="14"/>
      <c r="C308" s="14"/>
      <c r="E308" s="65"/>
      <c r="F308" s="108"/>
      <c r="G308" s="108"/>
    </row>
    <row r="309" spans="2:10" ht="15" customHeight="1" x14ac:dyDescent="0.25">
      <c r="B309" s="5" t="s">
        <v>49</v>
      </c>
      <c r="C309" s="5" t="s">
        <v>1</v>
      </c>
      <c r="D309" s="6" t="s">
        <v>48</v>
      </c>
      <c r="E309" s="72" t="s">
        <v>235</v>
      </c>
      <c r="F309" s="226" t="s">
        <v>236</v>
      </c>
      <c r="G309" s="226"/>
      <c r="H309" s="226"/>
      <c r="I309" s="71" t="s">
        <v>235</v>
      </c>
      <c r="J309" s="73" t="s">
        <v>236</v>
      </c>
    </row>
    <row r="310" spans="2:10" ht="26.25" customHeight="1" x14ac:dyDescent="0.25">
      <c r="B310" s="1">
        <v>26</v>
      </c>
      <c r="C310" s="2" t="s">
        <v>22</v>
      </c>
      <c r="D310" s="69" t="s">
        <v>66</v>
      </c>
      <c r="E310" s="146"/>
      <c r="F310" s="233"/>
      <c r="G310" s="233"/>
      <c r="H310" s="233"/>
      <c r="I310" s="87">
        <v>51</v>
      </c>
      <c r="J310" s="83" t="s">
        <v>120</v>
      </c>
    </row>
    <row r="311" spans="2:10" ht="15" customHeight="1" x14ac:dyDescent="0.25">
      <c r="B311" s="14"/>
      <c r="C311" s="14"/>
      <c r="E311" s="8" t="s">
        <v>51</v>
      </c>
      <c r="F311" s="97" t="s">
        <v>52</v>
      </c>
      <c r="G311" s="98" t="s">
        <v>53</v>
      </c>
    </row>
    <row r="312" spans="2:10" ht="15" customHeight="1" x14ac:dyDescent="0.25">
      <c r="B312" s="14"/>
      <c r="C312" s="14"/>
      <c r="E312" s="11" t="s">
        <v>54</v>
      </c>
      <c r="F312" s="11" t="s">
        <v>94</v>
      </c>
      <c r="G312" s="11" t="s">
        <v>94</v>
      </c>
    </row>
    <row r="313" spans="2:10" ht="15" customHeight="1" x14ac:dyDescent="0.25"/>
    <row r="314" spans="2:10" ht="72.75" customHeight="1" x14ac:dyDescent="0.25">
      <c r="B314" s="216" t="s">
        <v>319</v>
      </c>
      <c r="C314" s="216"/>
      <c r="D314" s="216"/>
      <c r="E314" s="216"/>
      <c r="F314" s="216"/>
      <c r="G314" s="216"/>
    </row>
    <row r="315" spans="2:10" ht="48.75" customHeight="1" x14ac:dyDescent="0.25">
      <c r="B315" s="234" t="s">
        <v>331</v>
      </c>
      <c r="C315" s="234"/>
      <c r="D315" s="234"/>
      <c r="E315" s="234"/>
      <c r="F315" s="234"/>
      <c r="G315" s="234"/>
    </row>
    <row r="316" spans="2:10" ht="15" customHeight="1" x14ac:dyDescent="0.25">
      <c r="B316" s="14"/>
      <c r="C316" s="14"/>
      <c r="E316" s="65"/>
      <c r="F316" s="108"/>
      <c r="G316" s="108"/>
    </row>
    <row r="317" spans="2:10" ht="15" customHeight="1" x14ac:dyDescent="0.25">
      <c r="B317" s="22" t="s">
        <v>49</v>
      </c>
      <c r="C317" s="22" t="s">
        <v>1</v>
      </c>
      <c r="D317" s="22" t="s">
        <v>64</v>
      </c>
      <c r="E317" s="22" t="s">
        <v>65</v>
      </c>
      <c r="F317" s="108"/>
      <c r="G317" s="108"/>
    </row>
    <row r="318" spans="2:10" ht="15" customHeight="1" x14ac:dyDescent="0.25">
      <c r="B318" s="1">
        <v>26</v>
      </c>
      <c r="C318" s="2" t="s">
        <v>22</v>
      </c>
      <c r="D318" s="21"/>
      <c r="E318" s="21"/>
      <c r="F318" s="108"/>
      <c r="G318" s="108"/>
    </row>
    <row r="319" spans="2:10" ht="15" customHeight="1" x14ac:dyDescent="0.25">
      <c r="B319" s="14"/>
      <c r="C319" s="14"/>
      <c r="E319" s="65"/>
      <c r="F319" s="108"/>
      <c r="G319" s="108"/>
    </row>
    <row r="320" spans="2:10" ht="15" customHeight="1" x14ac:dyDescent="0.25">
      <c r="B320" s="5" t="s">
        <v>49</v>
      </c>
      <c r="C320" s="5" t="s">
        <v>1</v>
      </c>
      <c r="D320" s="6" t="s">
        <v>48</v>
      </c>
      <c r="E320" s="72" t="s">
        <v>235</v>
      </c>
      <c r="F320" s="226" t="s">
        <v>236</v>
      </c>
      <c r="G320" s="226"/>
      <c r="H320" s="226"/>
      <c r="I320" s="71" t="s">
        <v>235</v>
      </c>
      <c r="J320" s="73" t="s">
        <v>236</v>
      </c>
    </row>
    <row r="321" spans="2:10" ht="35.25" customHeight="1" x14ac:dyDescent="0.25">
      <c r="B321" s="1">
        <v>27</v>
      </c>
      <c r="C321" s="2" t="s">
        <v>23</v>
      </c>
      <c r="D321" s="69" t="s">
        <v>50</v>
      </c>
      <c r="E321" s="146"/>
      <c r="F321" s="233"/>
      <c r="G321" s="233"/>
      <c r="H321" s="233"/>
      <c r="I321" s="82">
        <v>52</v>
      </c>
      <c r="J321" s="83" t="s">
        <v>166</v>
      </c>
    </row>
    <row r="322" spans="2:10" ht="15" customHeight="1" x14ac:dyDescent="0.25">
      <c r="B322" s="14"/>
      <c r="C322" s="14"/>
      <c r="E322" s="8" t="s">
        <v>51</v>
      </c>
      <c r="F322" s="97" t="s">
        <v>52</v>
      </c>
      <c r="G322" s="98" t="s">
        <v>53</v>
      </c>
    </row>
    <row r="323" spans="2:10" ht="15" customHeight="1" x14ac:dyDescent="0.25">
      <c r="B323" s="14"/>
      <c r="C323" s="14"/>
      <c r="E323" s="11" t="s">
        <v>54</v>
      </c>
      <c r="F323" s="11" t="s">
        <v>94</v>
      </c>
      <c r="G323" s="11" t="s">
        <v>94</v>
      </c>
    </row>
    <row r="324" spans="2:10" ht="15" customHeight="1" x14ac:dyDescent="0.25">
      <c r="B324" s="14"/>
      <c r="C324" s="14"/>
      <c r="E324" s="65"/>
      <c r="F324" s="108"/>
      <c r="G324" s="108"/>
    </row>
    <row r="325" spans="2:10" ht="69" customHeight="1" x14ac:dyDescent="0.25">
      <c r="B325" s="216" t="s">
        <v>154</v>
      </c>
      <c r="C325" s="216"/>
      <c r="D325" s="216"/>
      <c r="E325" s="216"/>
      <c r="F325" s="216"/>
      <c r="G325" s="216"/>
    </row>
    <row r="326" spans="2:10" ht="150" customHeight="1" x14ac:dyDescent="0.25">
      <c r="B326" s="231" t="s">
        <v>391</v>
      </c>
      <c r="C326" s="232"/>
      <c r="D326" s="232"/>
      <c r="E326" s="232"/>
      <c r="F326" s="232"/>
      <c r="G326" s="232"/>
    </row>
    <row r="327" spans="2:10" ht="15" customHeight="1" x14ac:dyDescent="0.25">
      <c r="B327" s="14"/>
      <c r="C327" s="14"/>
      <c r="E327" s="65"/>
      <c r="F327" s="108"/>
      <c r="G327" s="108"/>
    </row>
    <row r="328" spans="2:10" ht="15" customHeight="1" x14ac:dyDescent="0.25">
      <c r="B328" s="22" t="s">
        <v>49</v>
      </c>
      <c r="C328" s="22" t="s">
        <v>1</v>
      </c>
      <c r="D328" s="22" t="s">
        <v>64</v>
      </c>
      <c r="E328" s="22" t="s">
        <v>65</v>
      </c>
      <c r="F328" s="108"/>
      <c r="G328" s="108"/>
    </row>
    <row r="329" spans="2:10" ht="15" customHeight="1" x14ac:dyDescent="0.25">
      <c r="B329" s="1">
        <v>27</v>
      </c>
      <c r="C329" s="2" t="s">
        <v>23</v>
      </c>
      <c r="D329" s="147"/>
      <c r="E329" s="21"/>
      <c r="F329" s="108"/>
      <c r="G329" s="108"/>
    </row>
    <row r="330" spans="2:10" ht="15" customHeight="1" x14ac:dyDescent="0.25">
      <c r="B330" s="14"/>
      <c r="C330" s="14"/>
      <c r="E330" s="65"/>
      <c r="F330" s="108"/>
      <c r="G330" s="108"/>
    </row>
    <row r="331" spans="2:10" ht="15" customHeight="1" x14ac:dyDescent="0.25">
      <c r="B331" s="5" t="s">
        <v>49</v>
      </c>
      <c r="C331" s="5" t="s">
        <v>1</v>
      </c>
      <c r="D331" s="6" t="s">
        <v>48</v>
      </c>
      <c r="E331" s="72" t="s">
        <v>235</v>
      </c>
      <c r="F331" s="226" t="s">
        <v>236</v>
      </c>
      <c r="G331" s="226"/>
      <c r="H331" s="226"/>
      <c r="I331" s="71" t="s">
        <v>235</v>
      </c>
      <c r="J331" s="73" t="s">
        <v>236</v>
      </c>
    </row>
    <row r="332" spans="2:10" ht="15" customHeight="1" x14ac:dyDescent="0.25">
      <c r="B332" s="1">
        <v>28</v>
      </c>
      <c r="C332" s="2" t="s">
        <v>24</v>
      </c>
      <c r="D332" s="69" t="s">
        <v>66</v>
      </c>
      <c r="E332" s="82">
        <v>53</v>
      </c>
      <c r="F332" s="230" t="s">
        <v>161</v>
      </c>
      <c r="G332" s="230"/>
      <c r="H332" s="230"/>
      <c r="I332" s="146"/>
      <c r="J332" s="148"/>
    </row>
    <row r="333" spans="2:10" ht="15" customHeight="1" x14ac:dyDescent="0.25">
      <c r="B333" s="14"/>
      <c r="C333" s="14"/>
      <c r="E333" s="8" t="s">
        <v>51</v>
      </c>
      <c r="F333" s="97" t="s">
        <v>52</v>
      </c>
      <c r="G333" s="98" t="s">
        <v>53</v>
      </c>
    </row>
    <row r="334" spans="2:10" ht="15" customHeight="1" x14ac:dyDescent="0.25">
      <c r="B334" s="14"/>
      <c r="C334" s="14"/>
      <c r="E334" s="11" t="s">
        <v>54</v>
      </c>
      <c r="F334" s="11" t="s">
        <v>54</v>
      </c>
      <c r="G334" s="11" t="s">
        <v>54</v>
      </c>
    </row>
    <row r="335" spans="2:10" ht="15" customHeight="1" x14ac:dyDescent="0.25">
      <c r="B335" s="14"/>
      <c r="C335" s="14"/>
      <c r="E335" s="65"/>
      <c r="F335" s="65"/>
      <c r="G335" s="65"/>
    </row>
    <row r="336" spans="2:10" ht="98.25" customHeight="1" x14ac:dyDescent="0.25">
      <c r="B336" s="223" t="s">
        <v>392</v>
      </c>
      <c r="C336" s="224"/>
      <c r="D336" s="224"/>
      <c r="E336" s="224"/>
      <c r="F336" s="224"/>
      <c r="G336" s="224"/>
    </row>
    <row r="337" spans="2:10" ht="15" customHeight="1" x14ac:dyDescent="0.25">
      <c r="B337" s="14"/>
      <c r="C337" s="14"/>
      <c r="E337" s="65"/>
      <c r="F337" s="108"/>
      <c r="G337" s="108"/>
    </row>
    <row r="338" spans="2:10" ht="15" customHeight="1" x14ac:dyDescent="0.25">
      <c r="B338" s="22" t="s">
        <v>49</v>
      </c>
      <c r="C338" s="22" t="s">
        <v>1</v>
      </c>
      <c r="D338" s="22" t="s">
        <v>64</v>
      </c>
      <c r="E338" s="22" t="s">
        <v>65</v>
      </c>
      <c r="F338" s="108"/>
      <c r="G338" s="108"/>
    </row>
    <row r="339" spans="2:10" ht="15" customHeight="1" x14ac:dyDescent="0.25">
      <c r="B339" s="1">
        <v>28</v>
      </c>
      <c r="C339" s="2" t="s">
        <v>24</v>
      </c>
      <c r="D339" s="4"/>
      <c r="E339" s="147"/>
      <c r="F339" s="108"/>
      <c r="G339" s="108"/>
    </row>
    <row r="340" spans="2:10" ht="15" customHeight="1" x14ac:dyDescent="0.25">
      <c r="B340" s="14"/>
      <c r="C340" s="14"/>
      <c r="E340" s="65"/>
      <c r="F340" s="108"/>
      <c r="G340" s="108"/>
    </row>
    <row r="341" spans="2:10" ht="15" customHeight="1" x14ac:dyDescent="0.25">
      <c r="B341" s="5" t="s">
        <v>49</v>
      </c>
      <c r="C341" s="5" t="s">
        <v>1</v>
      </c>
      <c r="D341" s="6" t="s">
        <v>48</v>
      </c>
      <c r="E341" s="72" t="s">
        <v>235</v>
      </c>
      <c r="F341" s="226" t="s">
        <v>236</v>
      </c>
      <c r="G341" s="226"/>
      <c r="H341" s="226"/>
      <c r="I341" s="71" t="s">
        <v>235</v>
      </c>
      <c r="J341" s="73" t="s">
        <v>236</v>
      </c>
    </row>
    <row r="342" spans="2:10" ht="15" customHeight="1" x14ac:dyDescent="0.25">
      <c r="B342" s="1">
        <v>29</v>
      </c>
      <c r="C342" s="2" t="s">
        <v>25</v>
      </c>
      <c r="D342" s="69" t="s">
        <v>50</v>
      </c>
      <c r="E342" s="82">
        <v>89</v>
      </c>
      <c r="F342" s="230" t="s">
        <v>122</v>
      </c>
      <c r="G342" s="230"/>
      <c r="H342" s="230"/>
      <c r="I342" s="87">
        <v>54</v>
      </c>
      <c r="J342" s="94" t="s">
        <v>121</v>
      </c>
    </row>
    <row r="343" spans="2:10" ht="15" customHeight="1" x14ac:dyDescent="0.25">
      <c r="B343" s="1">
        <v>30</v>
      </c>
      <c r="C343" s="2" t="s">
        <v>26</v>
      </c>
      <c r="D343" s="69" t="s">
        <v>50</v>
      </c>
      <c r="E343" s="82">
        <v>90</v>
      </c>
      <c r="F343" s="230" t="s">
        <v>124</v>
      </c>
      <c r="G343" s="230"/>
      <c r="H343" s="230"/>
      <c r="I343" s="87">
        <v>55</v>
      </c>
      <c r="J343" s="94" t="s">
        <v>123</v>
      </c>
    </row>
    <row r="344" spans="2:10" ht="15" customHeight="1" x14ac:dyDescent="0.25">
      <c r="B344" s="1">
        <v>31</v>
      </c>
      <c r="C344" s="2" t="s">
        <v>27</v>
      </c>
      <c r="D344" s="69" t="s">
        <v>50</v>
      </c>
      <c r="E344" s="82">
        <v>91</v>
      </c>
      <c r="F344" s="230" t="s">
        <v>126</v>
      </c>
      <c r="G344" s="230"/>
      <c r="H344" s="230"/>
      <c r="I344" s="87">
        <v>56</v>
      </c>
      <c r="J344" s="94" t="s">
        <v>125</v>
      </c>
    </row>
    <row r="345" spans="2:10" ht="15" customHeight="1" x14ac:dyDescent="0.25">
      <c r="B345" s="1">
        <v>32</v>
      </c>
      <c r="C345" s="2" t="s">
        <v>28</v>
      </c>
      <c r="D345" s="69" t="s">
        <v>50</v>
      </c>
      <c r="E345" s="82">
        <v>92</v>
      </c>
      <c r="F345" s="230" t="s">
        <v>128</v>
      </c>
      <c r="G345" s="230"/>
      <c r="H345" s="230"/>
      <c r="I345" s="87">
        <v>57</v>
      </c>
      <c r="J345" s="94" t="s">
        <v>127</v>
      </c>
    </row>
    <row r="346" spans="2:10" ht="15" customHeight="1" x14ac:dyDescent="0.25">
      <c r="B346" s="1">
        <v>33</v>
      </c>
      <c r="C346" s="2" t="s">
        <v>29</v>
      </c>
      <c r="D346" s="69" t="s">
        <v>50</v>
      </c>
      <c r="E346" s="82">
        <v>93</v>
      </c>
      <c r="F346" s="230" t="s">
        <v>130</v>
      </c>
      <c r="G346" s="230"/>
      <c r="H346" s="230"/>
      <c r="I346" s="87">
        <v>58</v>
      </c>
      <c r="J346" s="94" t="s">
        <v>129</v>
      </c>
    </row>
    <row r="347" spans="2:10" ht="26.25" customHeight="1" x14ac:dyDescent="0.25">
      <c r="B347" s="1">
        <v>34</v>
      </c>
      <c r="C347" s="2" t="s">
        <v>30</v>
      </c>
      <c r="D347" s="69" t="s">
        <v>50</v>
      </c>
      <c r="E347" s="82">
        <v>94</v>
      </c>
      <c r="F347" s="230" t="s">
        <v>132</v>
      </c>
      <c r="G347" s="230"/>
      <c r="H347" s="230"/>
      <c r="I347" s="87">
        <v>59</v>
      </c>
      <c r="J347" s="94" t="s">
        <v>131</v>
      </c>
    </row>
    <row r="348" spans="2:10" ht="15" customHeight="1" x14ac:dyDescent="0.25">
      <c r="B348" s="1">
        <v>35</v>
      </c>
      <c r="C348" s="2" t="s">
        <v>31</v>
      </c>
      <c r="D348" s="69" t="s">
        <v>50</v>
      </c>
      <c r="E348" s="82">
        <v>95</v>
      </c>
      <c r="F348" s="230" t="s">
        <v>211</v>
      </c>
      <c r="G348" s="230"/>
      <c r="H348" s="230"/>
      <c r="I348" s="87">
        <v>60</v>
      </c>
      <c r="J348" s="94" t="s">
        <v>210</v>
      </c>
    </row>
    <row r="349" spans="2:10" ht="30" customHeight="1" x14ac:dyDescent="0.25">
      <c r="B349" s="1">
        <v>36</v>
      </c>
      <c r="C349" s="2" t="s">
        <v>32</v>
      </c>
      <c r="D349" s="69" t="s">
        <v>50</v>
      </c>
      <c r="E349" s="82">
        <v>96</v>
      </c>
      <c r="F349" s="230" t="s">
        <v>134</v>
      </c>
      <c r="G349" s="230"/>
      <c r="H349" s="230"/>
      <c r="I349" s="87">
        <v>61</v>
      </c>
      <c r="J349" s="94" t="s">
        <v>133</v>
      </c>
    </row>
    <row r="350" spans="2:10" ht="30" customHeight="1" x14ac:dyDescent="0.25">
      <c r="B350" s="1">
        <v>37</v>
      </c>
      <c r="C350" s="2" t="s">
        <v>33</v>
      </c>
      <c r="D350" s="69" t="s">
        <v>50</v>
      </c>
      <c r="E350" s="82">
        <v>97</v>
      </c>
      <c r="F350" s="230" t="s">
        <v>136</v>
      </c>
      <c r="G350" s="230"/>
      <c r="H350" s="230"/>
      <c r="I350" s="87">
        <v>62</v>
      </c>
      <c r="J350" s="94" t="s">
        <v>135</v>
      </c>
    </row>
    <row r="351" spans="2:10" ht="31.5" customHeight="1" x14ac:dyDescent="0.25">
      <c r="B351" s="1" t="s">
        <v>40</v>
      </c>
      <c r="C351" s="3" t="s">
        <v>310</v>
      </c>
      <c r="D351" s="69" t="s">
        <v>50</v>
      </c>
      <c r="E351" s="87">
        <v>75</v>
      </c>
      <c r="F351" s="230" t="s">
        <v>140</v>
      </c>
      <c r="G351" s="230"/>
      <c r="H351" s="230"/>
      <c r="I351" s="87">
        <v>74</v>
      </c>
      <c r="J351" s="60" t="s">
        <v>139</v>
      </c>
    </row>
    <row r="352" spans="2:10" ht="15" customHeight="1" x14ac:dyDescent="0.25">
      <c r="B352" s="1">
        <v>48</v>
      </c>
      <c r="C352" s="3" t="s">
        <v>42</v>
      </c>
      <c r="D352" s="69" t="s">
        <v>50</v>
      </c>
      <c r="E352" s="87">
        <v>77</v>
      </c>
      <c r="F352" s="230" t="s">
        <v>142</v>
      </c>
      <c r="G352" s="230"/>
      <c r="H352" s="230"/>
      <c r="I352" s="87">
        <v>76</v>
      </c>
      <c r="J352" s="60" t="s">
        <v>141</v>
      </c>
    </row>
    <row r="353" spans="2:7" ht="15" customHeight="1" x14ac:dyDescent="0.25">
      <c r="E353" s="8" t="s">
        <v>51</v>
      </c>
      <c r="F353" s="97" t="s">
        <v>52</v>
      </c>
      <c r="G353" s="98" t="s">
        <v>53</v>
      </c>
    </row>
    <row r="354" spans="2:7" ht="15" customHeight="1" x14ac:dyDescent="0.25">
      <c r="E354" s="11" t="s">
        <v>54</v>
      </c>
      <c r="F354" s="11" t="s">
        <v>54</v>
      </c>
      <c r="G354" s="11" t="s">
        <v>54</v>
      </c>
    </row>
    <row r="355" spans="2:7" ht="15" customHeight="1" x14ac:dyDescent="0.25">
      <c r="E355" s="65"/>
      <c r="F355" s="108"/>
      <c r="G355" s="108"/>
    </row>
    <row r="356" spans="2:7" ht="141" customHeight="1" x14ac:dyDescent="0.25">
      <c r="B356" s="231" t="s">
        <v>393</v>
      </c>
      <c r="C356" s="232"/>
      <c r="D356" s="232"/>
      <c r="E356" s="232"/>
      <c r="F356" s="232"/>
      <c r="G356" s="232"/>
    </row>
    <row r="357" spans="2:7" ht="113.25" customHeight="1" x14ac:dyDescent="0.25">
      <c r="B357" s="221" t="s">
        <v>343</v>
      </c>
      <c r="C357" s="196"/>
      <c r="D357" s="196"/>
      <c r="E357" s="196"/>
      <c r="F357" s="196"/>
      <c r="G357" s="196"/>
    </row>
    <row r="358" spans="2:7" ht="15" customHeight="1" x14ac:dyDescent="0.25">
      <c r="B358" s="14"/>
      <c r="C358" s="14"/>
      <c r="E358" s="65"/>
      <c r="F358" s="108"/>
      <c r="G358" s="108"/>
    </row>
    <row r="359" spans="2:7" ht="15" customHeight="1" x14ac:dyDescent="0.25">
      <c r="B359" s="22" t="s">
        <v>49</v>
      </c>
      <c r="C359" s="22" t="s">
        <v>1</v>
      </c>
      <c r="D359" s="22" t="s">
        <v>64</v>
      </c>
      <c r="E359" s="22" t="s">
        <v>65</v>
      </c>
      <c r="F359" s="108"/>
      <c r="G359" s="108"/>
    </row>
    <row r="360" spans="2:7" ht="15" customHeight="1" x14ac:dyDescent="0.25">
      <c r="B360" s="1">
        <v>29</v>
      </c>
      <c r="C360" s="2" t="s">
        <v>25</v>
      </c>
      <c r="D360" s="4"/>
      <c r="E360" s="11"/>
      <c r="F360" s="108"/>
      <c r="G360" s="108"/>
    </row>
    <row r="361" spans="2:7" ht="15" customHeight="1" x14ac:dyDescent="0.25">
      <c r="B361" s="1">
        <v>30</v>
      </c>
      <c r="C361" s="2" t="s">
        <v>26</v>
      </c>
      <c r="D361" s="4"/>
      <c r="E361" s="11"/>
      <c r="F361" s="108"/>
      <c r="G361" s="108"/>
    </row>
    <row r="362" spans="2:7" ht="15" customHeight="1" x14ac:dyDescent="0.25">
      <c r="B362" s="1">
        <v>31</v>
      </c>
      <c r="C362" s="2" t="s">
        <v>27</v>
      </c>
      <c r="D362" s="4"/>
      <c r="E362" s="11"/>
      <c r="F362" s="108"/>
      <c r="G362" s="108"/>
    </row>
    <row r="363" spans="2:7" ht="15" customHeight="1" x14ac:dyDescent="0.25">
      <c r="B363" s="1">
        <v>32</v>
      </c>
      <c r="C363" s="2" t="s">
        <v>28</v>
      </c>
      <c r="D363" s="4"/>
      <c r="E363" s="11"/>
      <c r="F363" s="108"/>
      <c r="G363" s="108"/>
    </row>
    <row r="364" spans="2:7" ht="15" customHeight="1" x14ac:dyDescent="0.25">
      <c r="B364" s="1">
        <v>33</v>
      </c>
      <c r="C364" s="2" t="s">
        <v>29</v>
      </c>
      <c r="D364" s="4"/>
      <c r="E364" s="11"/>
      <c r="F364" s="108"/>
      <c r="G364" s="108"/>
    </row>
    <row r="365" spans="2:7" ht="15" customHeight="1" x14ac:dyDescent="0.25">
      <c r="B365" s="1">
        <v>34</v>
      </c>
      <c r="C365" s="2" t="s">
        <v>30</v>
      </c>
      <c r="D365" s="4"/>
      <c r="E365" s="11"/>
      <c r="F365" s="108"/>
      <c r="G365" s="108"/>
    </row>
    <row r="366" spans="2:7" ht="15" customHeight="1" x14ac:dyDescent="0.25">
      <c r="B366" s="1">
        <v>35</v>
      </c>
      <c r="C366" s="2" t="s">
        <v>31</v>
      </c>
      <c r="D366" s="4"/>
      <c r="E366" s="11"/>
      <c r="F366" s="108"/>
      <c r="G366" s="108"/>
    </row>
    <row r="367" spans="2:7" ht="15" customHeight="1" x14ac:dyDescent="0.25">
      <c r="B367" s="1">
        <v>36</v>
      </c>
      <c r="C367" s="2" t="s">
        <v>32</v>
      </c>
      <c r="D367" s="4"/>
      <c r="E367" s="11"/>
      <c r="F367" s="108"/>
      <c r="G367" s="108"/>
    </row>
    <row r="368" spans="2:7" ht="15" customHeight="1" x14ac:dyDescent="0.25">
      <c r="B368" s="1">
        <v>37</v>
      </c>
      <c r="C368" s="2" t="s">
        <v>33</v>
      </c>
      <c r="D368" s="4"/>
      <c r="E368" s="11"/>
      <c r="F368" s="108"/>
      <c r="G368" s="108"/>
    </row>
    <row r="369" spans="2:10" ht="28.5" customHeight="1" x14ac:dyDescent="0.25">
      <c r="B369" s="1" t="s">
        <v>40</v>
      </c>
      <c r="C369" s="3" t="s">
        <v>310</v>
      </c>
      <c r="D369" s="4"/>
      <c r="E369" s="11"/>
      <c r="F369" s="108"/>
      <c r="G369" s="108"/>
    </row>
    <row r="370" spans="2:10" ht="15" customHeight="1" x14ac:dyDescent="0.25">
      <c r="B370" s="1">
        <v>48</v>
      </c>
      <c r="C370" s="3" t="s">
        <v>42</v>
      </c>
      <c r="D370" s="4"/>
      <c r="E370" s="11"/>
      <c r="F370" s="108"/>
      <c r="G370" s="108"/>
    </row>
    <row r="371" spans="2:10" ht="15" customHeight="1" x14ac:dyDescent="0.25">
      <c r="B371" s="14"/>
      <c r="C371" s="14"/>
      <c r="E371" s="65"/>
      <c r="F371" s="108"/>
      <c r="G371" s="108"/>
    </row>
    <row r="372" spans="2:10" ht="15" customHeight="1" x14ac:dyDescent="0.25">
      <c r="B372" s="14"/>
      <c r="C372" s="14"/>
      <c r="E372" s="225" t="s">
        <v>234</v>
      </c>
      <c r="F372" s="225"/>
      <c r="G372" s="225"/>
      <c r="H372" s="225"/>
      <c r="I372" s="225"/>
      <c r="J372" s="225"/>
    </row>
    <row r="373" spans="2:10" ht="15" customHeight="1" x14ac:dyDescent="0.25">
      <c r="B373" s="5" t="s">
        <v>49</v>
      </c>
      <c r="C373" s="5" t="s">
        <v>1</v>
      </c>
      <c r="D373" s="6" t="s">
        <v>48</v>
      </c>
      <c r="E373" s="72" t="s">
        <v>235</v>
      </c>
      <c r="F373" s="226" t="s">
        <v>236</v>
      </c>
      <c r="G373" s="226"/>
      <c r="H373" s="226"/>
      <c r="I373" s="71" t="s">
        <v>235</v>
      </c>
      <c r="J373" s="73" t="s">
        <v>236</v>
      </c>
    </row>
    <row r="374" spans="2:10" ht="30" customHeight="1" x14ac:dyDescent="0.25">
      <c r="B374" s="1">
        <v>38</v>
      </c>
      <c r="C374" s="2" t="s">
        <v>34</v>
      </c>
      <c r="D374" s="69" t="s">
        <v>66</v>
      </c>
      <c r="E374" s="87">
        <v>64</v>
      </c>
      <c r="F374" s="222" t="s">
        <v>138</v>
      </c>
      <c r="G374" s="222"/>
      <c r="H374" s="222"/>
      <c r="I374" s="87">
        <v>63</v>
      </c>
      <c r="J374" s="83" t="s">
        <v>137</v>
      </c>
    </row>
    <row r="375" spans="2:10" ht="22.5" customHeight="1" x14ac:dyDescent="0.25">
      <c r="B375" s="63"/>
      <c r="C375" s="35"/>
      <c r="D375" s="44"/>
      <c r="E375" s="8" t="s">
        <v>51</v>
      </c>
      <c r="F375" s="97" t="s">
        <v>52</v>
      </c>
      <c r="G375" s="98" t="s">
        <v>53</v>
      </c>
      <c r="H375" s="150"/>
      <c r="I375" s="149"/>
      <c r="J375" s="151"/>
    </row>
    <row r="376" spans="2:10" ht="18" customHeight="1" x14ac:dyDescent="0.25">
      <c r="B376" s="63"/>
      <c r="C376" s="35"/>
      <c r="D376" s="44"/>
      <c r="E376" s="11" t="s">
        <v>54</v>
      </c>
      <c r="F376" s="11" t="s">
        <v>54</v>
      </c>
      <c r="G376" s="11" t="s">
        <v>54</v>
      </c>
      <c r="H376" s="150"/>
      <c r="I376" s="149"/>
      <c r="J376" s="151"/>
    </row>
    <row r="377" spans="2:10" ht="15" customHeight="1" x14ac:dyDescent="0.25">
      <c r="B377" s="14"/>
      <c r="C377" s="14"/>
    </row>
    <row r="378" spans="2:10" ht="15" customHeight="1" x14ac:dyDescent="0.25">
      <c r="B378" s="22" t="s">
        <v>49</v>
      </c>
      <c r="C378" s="22" t="s">
        <v>1</v>
      </c>
      <c r="D378" s="22" t="s">
        <v>64</v>
      </c>
      <c r="E378" s="22" t="s">
        <v>65</v>
      </c>
    </row>
    <row r="379" spans="2:10" ht="15" customHeight="1" x14ac:dyDescent="0.25">
      <c r="B379" s="1">
        <v>38</v>
      </c>
      <c r="C379" s="2" t="s">
        <v>34</v>
      </c>
      <c r="D379" s="4"/>
      <c r="E379" s="147"/>
    </row>
    <row r="380" spans="2:10" ht="15" customHeight="1" x14ac:dyDescent="0.25">
      <c r="B380" s="14"/>
      <c r="C380" s="14"/>
    </row>
    <row r="381" spans="2:10" ht="15" customHeight="1" x14ac:dyDescent="0.25">
      <c r="B381" s="14"/>
      <c r="C381" s="14"/>
      <c r="E381" s="225" t="s">
        <v>234</v>
      </c>
      <c r="F381" s="225"/>
      <c r="G381" s="225"/>
      <c r="H381" s="225"/>
      <c r="I381" s="225"/>
      <c r="J381" s="225"/>
    </row>
    <row r="382" spans="2:10" ht="15" customHeight="1" x14ac:dyDescent="0.25">
      <c r="B382" s="5" t="s">
        <v>49</v>
      </c>
      <c r="C382" s="5" t="s">
        <v>1</v>
      </c>
      <c r="D382" s="6" t="s">
        <v>48</v>
      </c>
      <c r="E382" s="72" t="s">
        <v>235</v>
      </c>
      <c r="F382" s="226" t="s">
        <v>236</v>
      </c>
      <c r="G382" s="226"/>
      <c r="H382" s="226"/>
      <c r="I382" s="71" t="s">
        <v>235</v>
      </c>
      <c r="J382" s="73" t="s">
        <v>236</v>
      </c>
    </row>
    <row r="383" spans="2:10" ht="15" customHeight="1" x14ac:dyDescent="0.25">
      <c r="B383" s="1">
        <v>50</v>
      </c>
      <c r="C383" s="3" t="s">
        <v>44</v>
      </c>
      <c r="D383" s="69" t="s">
        <v>66</v>
      </c>
      <c r="E383" s="87">
        <v>80</v>
      </c>
      <c r="F383" s="227" t="s">
        <v>167</v>
      </c>
      <c r="G383" s="228"/>
      <c r="H383" s="229"/>
      <c r="I383" s="88">
        <v>100</v>
      </c>
      <c r="J383" s="83" t="s">
        <v>168</v>
      </c>
    </row>
    <row r="384" spans="2:10" ht="15" customHeight="1" x14ac:dyDescent="0.25">
      <c r="B384" s="63"/>
      <c r="C384" s="35"/>
      <c r="D384" s="44"/>
      <c r="E384" s="8" t="s">
        <v>51</v>
      </c>
      <c r="F384" s="97" t="s">
        <v>52</v>
      </c>
      <c r="G384" s="98" t="s">
        <v>53</v>
      </c>
      <c r="H384" s="150"/>
      <c r="I384" s="149"/>
      <c r="J384" s="151"/>
    </row>
    <row r="385" spans="2:10" ht="15" customHeight="1" x14ac:dyDescent="0.25">
      <c r="B385" s="63"/>
      <c r="C385" s="35"/>
      <c r="D385" s="44"/>
      <c r="E385" s="11" t="s">
        <v>94</v>
      </c>
      <c r="F385" s="11" t="s">
        <v>94</v>
      </c>
      <c r="G385" s="11" t="s">
        <v>94</v>
      </c>
      <c r="H385" s="150"/>
      <c r="I385" s="149"/>
      <c r="J385" s="151"/>
    </row>
    <row r="386" spans="2:10" ht="15" customHeight="1" x14ac:dyDescent="0.25">
      <c r="B386" s="63"/>
      <c r="C386" s="35"/>
      <c r="D386" s="44"/>
      <c r="E386" s="65"/>
      <c r="F386" s="65"/>
      <c r="G386" s="65"/>
      <c r="H386" s="150"/>
      <c r="I386" s="149"/>
      <c r="J386" s="151"/>
    </row>
    <row r="387" spans="2:10" ht="249" customHeight="1" x14ac:dyDescent="0.25">
      <c r="B387" s="221" t="s">
        <v>394</v>
      </c>
      <c r="C387" s="196"/>
      <c r="D387" s="196"/>
      <c r="E387" s="196"/>
      <c r="F387" s="196"/>
      <c r="G387" s="196"/>
      <c r="H387" s="150"/>
      <c r="I387" s="149"/>
      <c r="J387" s="151"/>
    </row>
    <row r="388" spans="2:10" ht="15" customHeight="1" x14ac:dyDescent="0.25">
      <c r="B388" s="14"/>
      <c r="C388" s="14"/>
    </row>
    <row r="389" spans="2:10" ht="15" customHeight="1" x14ac:dyDescent="0.25">
      <c r="B389" s="22" t="s">
        <v>49</v>
      </c>
      <c r="C389" s="22" t="s">
        <v>1</v>
      </c>
      <c r="D389" s="22" t="s">
        <v>64</v>
      </c>
      <c r="E389" s="22" t="s">
        <v>65</v>
      </c>
    </row>
    <row r="390" spans="2:10" ht="15" customHeight="1" x14ac:dyDescent="0.25">
      <c r="B390" s="1">
        <v>50</v>
      </c>
      <c r="C390" s="3" t="s">
        <v>44</v>
      </c>
      <c r="D390" s="4"/>
      <c r="E390" s="21"/>
    </row>
    <row r="391" spans="2:10" ht="15" customHeight="1" x14ac:dyDescent="0.25">
      <c r="B391" s="63"/>
      <c r="C391" s="35"/>
    </row>
    <row r="392" spans="2:10" ht="15" customHeight="1" x14ac:dyDescent="0.25">
      <c r="B392" s="14"/>
      <c r="C392" s="14"/>
      <c r="E392" s="225" t="s">
        <v>234</v>
      </c>
      <c r="F392" s="225"/>
      <c r="G392" s="225"/>
      <c r="H392" s="225"/>
      <c r="I392" s="225"/>
      <c r="J392" s="225"/>
    </row>
    <row r="393" spans="2:10" ht="15" customHeight="1" x14ac:dyDescent="0.25">
      <c r="B393" s="5" t="s">
        <v>49</v>
      </c>
      <c r="C393" s="5" t="s">
        <v>1</v>
      </c>
      <c r="D393" s="6" t="s">
        <v>48</v>
      </c>
      <c r="E393" s="72" t="s">
        <v>235</v>
      </c>
      <c r="F393" s="226" t="s">
        <v>236</v>
      </c>
      <c r="G393" s="226"/>
      <c r="H393" s="226"/>
      <c r="I393" s="71" t="s">
        <v>235</v>
      </c>
      <c r="J393" s="73" t="s">
        <v>236</v>
      </c>
    </row>
    <row r="394" spans="2:10" ht="26.25" customHeight="1" x14ac:dyDescent="0.25">
      <c r="B394" s="1">
        <v>54</v>
      </c>
      <c r="C394" s="2" t="s">
        <v>240</v>
      </c>
      <c r="D394" s="69" t="s">
        <v>66</v>
      </c>
      <c r="E394" s="87">
        <v>108</v>
      </c>
      <c r="F394" s="222" t="s">
        <v>241</v>
      </c>
      <c r="G394" s="222"/>
      <c r="H394" s="222"/>
      <c r="I394" s="87">
        <v>109</v>
      </c>
      <c r="J394" s="94" t="s">
        <v>242</v>
      </c>
    </row>
    <row r="395" spans="2:10" ht="33" customHeight="1" x14ac:dyDescent="0.25">
      <c r="B395" s="1">
        <v>55</v>
      </c>
      <c r="C395" s="152" t="s">
        <v>311</v>
      </c>
      <c r="D395" s="69" t="s">
        <v>66</v>
      </c>
      <c r="E395" s="89">
        <v>110</v>
      </c>
      <c r="F395" s="222" t="s">
        <v>313</v>
      </c>
      <c r="G395" s="222"/>
      <c r="H395" s="222"/>
      <c r="I395" s="89">
        <v>111</v>
      </c>
      <c r="J395" s="92" t="s">
        <v>314</v>
      </c>
    </row>
    <row r="396" spans="2:10" ht="15" customHeight="1" x14ac:dyDescent="0.25">
      <c r="B396" s="14"/>
      <c r="C396" s="14"/>
      <c r="E396" s="8" t="s">
        <v>51</v>
      </c>
      <c r="F396" s="9" t="s">
        <v>52</v>
      </c>
      <c r="G396" s="10" t="s">
        <v>53</v>
      </c>
    </row>
    <row r="397" spans="2:10" ht="15" customHeight="1" x14ac:dyDescent="0.25">
      <c r="E397" s="11" t="s">
        <v>54</v>
      </c>
      <c r="F397" s="11" t="s">
        <v>54</v>
      </c>
      <c r="G397" s="11" t="s">
        <v>54</v>
      </c>
    </row>
    <row r="398" spans="2:10" ht="15" customHeight="1" x14ac:dyDescent="0.25">
      <c r="E398" s="65"/>
      <c r="F398" s="65"/>
      <c r="G398" s="65"/>
    </row>
    <row r="399" spans="2:10" ht="129" customHeight="1" x14ac:dyDescent="0.25">
      <c r="B399" s="221" t="s">
        <v>348</v>
      </c>
      <c r="C399" s="196"/>
      <c r="D399" s="196"/>
      <c r="E399" s="196"/>
      <c r="F399" s="196"/>
      <c r="G399" s="196"/>
    </row>
    <row r="400" spans="2:10" ht="225" customHeight="1" x14ac:dyDescent="0.25">
      <c r="B400" s="223" t="s">
        <v>395</v>
      </c>
      <c r="C400" s="224"/>
      <c r="D400" s="224"/>
      <c r="E400" s="224"/>
      <c r="F400" s="224"/>
      <c r="G400" s="224"/>
    </row>
    <row r="401" spans="2:10" ht="15" customHeight="1" x14ac:dyDescent="0.25"/>
    <row r="402" spans="2:10" ht="11.25" customHeight="1" x14ac:dyDescent="0.25"/>
    <row r="403" spans="2:10" ht="15" customHeight="1" x14ac:dyDescent="0.25">
      <c r="B403" s="22" t="s">
        <v>49</v>
      </c>
      <c r="C403" s="22" t="s">
        <v>1</v>
      </c>
      <c r="D403" s="22" t="s">
        <v>64</v>
      </c>
      <c r="E403" s="22" t="s">
        <v>65</v>
      </c>
    </row>
    <row r="404" spans="2:10" ht="15" customHeight="1" x14ac:dyDescent="0.25">
      <c r="B404" s="1">
        <v>54</v>
      </c>
      <c r="C404" s="2" t="s">
        <v>240</v>
      </c>
      <c r="D404" s="4"/>
      <c r="E404" s="21"/>
    </row>
    <row r="405" spans="2:10" ht="15" customHeight="1" x14ac:dyDescent="0.25">
      <c r="B405" s="1">
        <v>55</v>
      </c>
      <c r="C405" s="152" t="s">
        <v>311</v>
      </c>
      <c r="D405" s="4"/>
      <c r="E405" s="4"/>
    </row>
    <row r="406" spans="2:10" ht="15" customHeight="1" x14ac:dyDescent="0.25">
      <c r="B406" s="14"/>
      <c r="C406" s="14"/>
    </row>
    <row r="407" spans="2:10" ht="15" customHeight="1" x14ac:dyDescent="0.25">
      <c r="B407" s="14"/>
      <c r="C407" s="14"/>
      <c r="E407" s="225" t="s">
        <v>234</v>
      </c>
      <c r="F407" s="225"/>
      <c r="G407" s="225"/>
      <c r="H407" s="225"/>
      <c r="I407" s="225"/>
      <c r="J407" s="225"/>
    </row>
    <row r="408" spans="2:10" ht="15" customHeight="1" x14ac:dyDescent="0.25">
      <c r="B408" s="5" t="s">
        <v>49</v>
      </c>
      <c r="C408" s="5" t="s">
        <v>1</v>
      </c>
      <c r="D408" s="6" t="s">
        <v>48</v>
      </c>
      <c r="E408" s="72" t="s">
        <v>235</v>
      </c>
      <c r="F408" s="226" t="s">
        <v>236</v>
      </c>
      <c r="G408" s="226"/>
      <c r="H408" s="226"/>
      <c r="I408" s="71" t="s">
        <v>235</v>
      </c>
      <c r="J408" s="73" t="s">
        <v>236</v>
      </c>
    </row>
    <row r="409" spans="2:10" ht="35.25" customHeight="1" x14ac:dyDescent="0.25">
      <c r="B409" s="1">
        <v>56</v>
      </c>
      <c r="C409" s="152" t="s">
        <v>312</v>
      </c>
      <c r="D409" s="69" t="s">
        <v>66</v>
      </c>
      <c r="E409" s="89">
        <v>112</v>
      </c>
      <c r="F409" s="220" t="s">
        <v>315</v>
      </c>
      <c r="G409" s="220"/>
      <c r="H409" s="220"/>
      <c r="I409" s="89">
        <v>113</v>
      </c>
      <c r="J409" s="92" t="s">
        <v>316</v>
      </c>
    </row>
    <row r="410" spans="2:10" ht="15" customHeight="1" x14ac:dyDescent="0.25">
      <c r="B410" s="14"/>
      <c r="C410" s="14"/>
      <c r="E410" s="8" t="s">
        <v>51</v>
      </c>
      <c r="F410" s="9" t="s">
        <v>52</v>
      </c>
      <c r="G410" s="10" t="s">
        <v>53</v>
      </c>
    </row>
    <row r="411" spans="2:10" ht="15" customHeight="1" x14ac:dyDescent="0.25">
      <c r="B411" s="14"/>
      <c r="C411" s="14"/>
      <c r="E411" s="11" t="s">
        <v>54</v>
      </c>
      <c r="F411" s="11" t="s">
        <v>54</v>
      </c>
      <c r="G411" s="11" t="s">
        <v>54</v>
      </c>
    </row>
    <row r="412" spans="2:10" ht="15" customHeight="1" x14ac:dyDescent="0.25">
      <c r="B412" s="14"/>
      <c r="C412" s="14"/>
    </row>
    <row r="413" spans="2:10" ht="118.5" customHeight="1" x14ac:dyDescent="0.25">
      <c r="B413" s="221" t="s">
        <v>343</v>
      </c>
      <c r="C413" s="196"/>
      <c r="D413" s="196"/>
      <c r="E413" s="196"/>
      <c r="F413" s="196"/>
      <c r="G413" s="196"/>
    </row>
    <row r="414" spans="2:10" ht="15" customHeight="1" x14ac:dyDescent="0.25">
      <c r="B414" s="14"/>
      <c r="C414" s="14"/>
    </row>
    <row r="415" spans="2:10" ht="15" customHeight="1" x14ac:dyDescent="0.25">
      <c r="B415" s="14"/>
      <c r="C415" s="14"/>
    </row>
    <row r="416" spans="2:10" ht="15" customHeight="1" x14ac:dyDescent="0.25">
      <c r="B416" s="14"/>
      <c r="C416" s="14"/>
    </row>
    <row r="417" spans="2:10" ht="15" customHeight="1" x14ac:dyDescent="0.25">
      <c r="B417" s="14"/>
      <c r="C417" s="14"/>
      <c r="E417" s="225" t="s">
        <v>234</v>
      </c>
      <c r="F417" s="225"/>
      <c r="G417" s="225"/>
      <c r="H417" s="225"/>
      <c r="I417" s="225"/>
      <c r="J417" s="225"/>
    </row>
    <row r="418" spans="2:10" ht="15" customHeight="1" x14ac:dyDescent="0.25">
      <c r="B418" s="5" t="s">
        <v>49</v>
      </c>
      <c r="C418" s="5" t="s">
        <v>1</v>
      </c>
      <c r="D418" s="6" t="s">
        <v>48</v>
      </c>
      <c r="E418" s="72" t="s">
        <v>235</v>
      </c>
      <c r="F418" s="226" t="s">
        <v>236</v>
      </c>
      <c r="G418" s="226"/>
      <c r="H418" s="226"/>
      <c r="I418" s="71" t="s">
        <v>235</v>
      </c>
      <c r="J418" s="73" t="s">
        <v>236</v>
      </c>
    </row>
    <row r="419" spans="2:10" ht="27.75" customHeight="1" x14ac:dyDescent="0.25">
      <c r="B419" s="1">
        <v>54</v>
      </c>
      <c r="C419" s="2" t="s">
        <v>240</v>
      </c>
      <c r="D419" s="69" t="s">
        <v>66</v>
      </c>
      <c r="E419" s="87">
        <v>108</v>
      </c>
      <c r="F419" s="222" t="s">
        <v>241</v>
      </c>
      <c r="G419" s="222"/>
      <c r="H419" s="222"/>
      <c r="I419" s="87">
        <v>109</v>
      </c>
      <c r="J419" s="94" t="s">
        <v>242</v>
      </c>
    </row>
    <row r="420" spans="2:10" ht="33" customHeight="1" x14ac:dyDescent="0.25">
      <c r="B420" s="1">
        <v>55</v>
      </c>
      <c r="C420" s="152" t="s">
        <v>311</v>
      </c>
      <c r="D420" s="69" t="s">
        <v>66</v>
      </c>
      <c r="E420" s="89">
        <v>110</v>
      </c>
      <c r="F420" s="222" t="s">
        <v>313</v>
      </c>
      <c r="G420" s="222"/>
      <c r="H420" s="222"/>
      <c r="I420" s="89">
        <v>111</v>
      </c>
      <c r="J420" s="92" t="s">
        <v>314</v>
      </c>
    </row>
    <row r="421" spans="2:10" ht="34.5" customHeight="1" x14ac:dyDescent="0.25">
      <c r="B421" s="1">
        <v>56</v>
      </c>
      <c r="C421" s="152" t="s">
        <v>312</v>
      </c>
      <c r="D421" s="69" t="s">
        <v>66</v>
      </c>
      <c r="E421" s="89">
        <v>112</v>
      </c>
      <c r="F421" s="220" t="s">
        <v>315</v>
      </c>
      <c r="G421" s="220"/>
      <c r="H421" s="220"/>
      <c r="I421" s="89">
        <v>113</v>
      </c>
      <c r="J421" s="92" t="s">
        <v>316</v>
      </c>
    </row>
    <row r="422" spans="2:10" ht="15" customHeight="1" x14ac:dyDescent="0.25"/>
    <row r="423" spans="2:10" ht="15" customHeight="1" x14ac:dyDescent="0.25"/>
    <row r="424" spans="2:10" ht="15" customHeight="1" x14ac:dyDescent="0.25"/>
    <row r="425" spans="2:10" ht="15" customHeight="1" x14ac:dyDescent="0.25"/>
    <row r="426" spans="2:10" ht="15" customHeight="1" x14ac:dyDescent="0.25"/>
    <row r="438" ht="36.75" customHeight="1" x14ac:dyDescent="0.25"/>
  </sheetData>
  <mergeCells count="147">
    <mergeCell ref="F419:H419"/>
    <mergeCell ref="F420:H420"/>
    <mergeCell ref="F421:H421"/>
    <mergeCell ref="E104:J104"/>
    <mergeCell ref="B113:G113"/>
    <mergeCell ref="F105:H105"/>
    <mergeCell ref="F106:H106"/>
    <mergeCell ref="F107:H107"/>
    <mergeCell ref="F110:G110"/>
    <mergeCell ref="B112:G112"/>
    <mergeCell ref="E417:J417"/>
    <mergeCell ref="F418:H418"/>
    <mergeCell ref="F120:H120"/>
    <mergeCell ref="F121:H121"/>
    <mergeCell ref="F124:G124"/>
    <mergeCell ref="E392:J392"/>
    <mergeCell ref="F393:H393"/>
    <mergeCell ref="F394:H394"/>
    <mergeCell ref="E119:J119"/>
    <mergeCell ref="F137:H137"/>
    <mergeCell ref="F138:H138"/>
    <mergeCell ref="F141:G141"/>
    <mergeCell ref="B144:G144"/>
    <mergeCell ref="E150:J150"/>
    <mergeCell ref="F74:H74"/>
    <mergeCell ref="F30:H30"/>
    <mergeCell ref="F29:H29"/>
    <mergeCell ref="E28:J28"/>
    <mergeCell ref="F8:H8"/>
    <mergeCell ref="F9:H9"/>
    <mergeCell ref="B98:G98"/>
    <mergeCell ref="E94:J94"/>
    <mergeCell ref="F95:H95"/>
    <mergeCell ref="F96:H96"/>
    <mergeCell ref="B92:G92"/>
    <mergeCell ref="F79:G79"/>
    <mergeCell ref="B81:G81"/>
    <mergeCell ref="B82:G82"/>
    <mergeCell ref="F55:H55"/>
    <mergeCell ref="F56:H56"/>
    <mergeCell ref="F59:G59"/>
    <mergeCell ref="B61:G61"/>
    <mergeCell ref="B62:G62"/>
    <mergeCell ref="F75:H75"/>
    <mergeCell ref="F76:H76"/>
    <mergeCell ref="E73:J73"/>
    <mergeCell ref="F5:H5"/>
    <mergeCell ref="E4:H4"/>
    <mergeCell ref="B52:G52"/>
    <mergeCell ref="B53:G53"/>
    <mergeCell ref="D37:E37"/>
    <mergeCell ref="B16:D16"/>
    <mergeCell ref="B9:D9"/>
    <mergeCell ref="B31:D31"/>
    <mergeCell ref="B10:D10"/>
    <mergeCell ref="B32:D32"/>
    <mergeCell ref="B33:D33"/>
    <mergeCell ref="B7:D7"/>
    <mergeCell ref="B8:D8"/>
    <mergeCell ref="B11:C11"/>
    <mergeCell ref="B15:D15"/>
    <mergeCell ref="F6:H6"/>
    <mergeCell ref="F7:H7"/>
    <mergeCell ref="E31:J33"/>
    <mergeCell ref="E45:J45"/>
    <mergeCell ref="F46:H46"/>
    <mergeCell ref="F47:H47"/>
    <mergeCell ref="F50:G50"/>
    <mergeCell ref="B126:G126"/>
    <mergeCell ref="B127:G127"/>
    <mergeCell ref="B128:G128"/>
    <mergeCell ref="B131:G131"/>
    <mergeCell ref="E136:J136"/>
    <mergeCell ref="F161:H161"/>
    <mergeCell ref="B165:G165"/>
    <mergeCell ref="E170:J170"/>
    <mergeCell ref="F171:H171"/>
    <mergeCell ref="F172:H172"/>
    <mergeCell ref="F151:H151"/>
    <mergeCell ref="F152:H152"/>
    <mergeCell ref="E159:J159"/>
    <mergeCell ref="F160:H160"/>
    <mergeCell ref="F185:H185"/>
    <mergeCell ref="F188:G188"/>
    <mergeCell ref="B190:G190"/>
    <mergeCell ref="B193:G193"/>
    <mergeCell ref="B192:G192"/>
    <mergeCell ref="B177:G177"/>
    <mergeCell ref="F175:G175"/>
    <mergeCell ref="B178:G178"/>
    <mergeCell ref="E183:J183"/>
    <mergeCell ref="F184:H184"/>
    <mergeCell ref="F241:H241"/>
    <mergeCell ref="F242:H242"/>
    <mergeCell ref="F298:H298"/>
    <mergeCell ref="F299:H299"/>
    <mergeCell ref="B303:G303"/>
    <mergeCell ref="F230:H230"/>
    <mergeCell ref="F231:H231"/>
    <mergeCell ref="B235:G235"/>
    <mergeCell ref="B236:G236"/>
    <mergeCell ref="F309:H309"/>
    <mergeCell ref="F310:H310"/>
    <mergeCell ref="B314:G314"/>
    <mergeCell ref="B315:G315"/>
    <mergeCell ref="F320:H320"/>
    <mergeCell ref="B304:G304"/>
    <mergeCell ref="F257:H257"/>
    <mergeCell ref="F258:H258"/>
    <mergeCell ref="B264:G264"/>
    <mergeCell ref="F259:H259"/>
    <mergeCell ref="F260:H260"/>
    <mergeCell ref="D270:F270"/>
    <mergeCell ref="B336:G336"/>
    <mergeCell ref="F341:H341"/>
    <mergeCell ref="F342:H342"/>
    <mergeCell ref="F343:H343"/>
    <mergeCell ref="F344:H344"/>
    <mergeCell ref="F321:H321"/>
    <mergeCell ref="B325:G325"/>
    <mergeCell ref="B326:G326"/>
    <mergeCell ref="F331:H331"/>
    <mergeCell ref="F332:H332"/>
    <mergeCell ref="E372:J372"/>
    <mergeCell ref="F373:H373"/>
    <mergeCell ref="F374:H374"/>
    <mergeCell ref="F350:H350"/>
    <mergeCell ref="F351:H351"/>
    <mergeCell ref="F352:H352"/>
    <mergeCell ref="B356:G356"/>
    <mergeCell ref="B357:G357"/>
    <mergeCell ref="F345:H345"/>
    <mergeCell ref="F346:H346"/>
    <mergeCell ref="F347:H347"/>
    <mergeCell ref="F348:H348"/>
    <mergeCell ref="F349:H349"/>
    <mergeCell ref="F409:H409"/>
    <mergeCell ref="B413:G413"/>
    <mergeCell ref="F395:H395"/>
    <mergeCell ref="B400:G400"/>
    <mergeCell ref="B399:G399"/>
    <mergeCell ref="E407:J407"/>
    <mergeCell ref="F408:H408"/>
    <mergeCell ref="E381:J381"/>
    <mergeCell ref="F382:H382"/>
    <mergeCell ref="F383:H383"/>
    <mergeCell ref="B387:G387"/>
  </mergeCells>
  <phoneticPr fontId="19" type="noConversion"/>
  <dataValidations count="4">
    <dataValidation type="list" allowBlank="1" showInputMessage="1" showErrorMessage="1" errorTitle="Percepción" error="Solo se permiten datos de la lista" sqref="D6 D30 D47 D185 D383:D386 D56 D75:D76 D96 D106:D107 D121 D138 D152 D161 D172 D231 D242 D299 D258:D263 D310 D321 D332 D342:D352 D374:D376 D394:D395 D409 D419:D421" xr:uid="{9A231EB8-9052-4E29-BCD7-084C907699FA}">
      <formula1>"O = Ordinaria,E =Extraordinaria"</formula1>
    </dataValidation>
    <dataValidation type="list" allowBlank="1" showInputMessage="1" showErrorMessage="1" errorTitle="Percepción" error="Solo se permiten datos de la lista" sqref="E12:G12 E49:G49 E35:G35 E397:G398 E78:E79 F78:G78 E58:E59 F58:G58 E109:E110 F109:G109 E123:E124 F123:G123 E140:E141 F140:G140 E154:E155 F154:G154 E163:G164 E166 E169 F174:G174 E174:E176 E182 E179 F179:G182 F187:G187 E187:E189 E191 E194 E197 E228:E229 F233:G233 E233:E234 E237 E240 F244:G244 E244:E253 E312:G312 F301:G301 E301:E302 E305 E262:G263 E256 E308 E319 E323:G323 E324 E316 E327 E330 E334:G335 E337 E340 E345:E352 E354:G354 E355 E358 E360:E371 E376:G376 E385:G386 E411:G411" xr:uid="{4D66354D-D271-4061-82A1-16B2542B59B0}">
      <formula1>"Sí,No"</formula1>
    </dataValidation>
    <dataValidation type="list" allowBlank="1" showInputMessage="1" showErrorMessage="1" errorTitle="Percepciones" error="Solo se permiten datos de la lista" sqref="C199:C205" xr:uid="{F2814191-E41D-4B5E-A4DF-4A36F193111D}">
      <formula1>"Simple,Doble,Triple"</formula1>
    </dataValidation>
    <dataValidation type="list" allowBlank="1" showInputMessage="1" showErrorMessage="1" errorTitle="Percepciones" error="Solo se permiten datos de la lista" sqref="E278:E280" xr:uid="{9512A2CC-E2AD-40DA-8676-671BEAFA31E9}">
      <formula1>"Sí,No"</formula1>
    </dataValidation>
  </dataValidations>
  <pageMargins left="0.7" right="0.7" top="0.75" bottom="0.75" header="0.3" footer="0.3"/>
  <pageSetup orientation="portrait" r:id="rId1"/>
  <ignoredErrors>
    <ignoredError sqref="E75:E76"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5A9B1D19-AE8C-46FC-82E9-04347C85473B}">
            <xm:f>IF(CONTRA=GENERAL!B$107,1,0)</xm:f>
            <x14:dxf>
              <font>
                <color theme="1"/>
              </font>
            </x14:dxf>
          </x14:cfRule>
          <xm:sqref>B7:D10</xm:sqref>
        </x14:conditionalFormatting>
        <x14:conditionalFormatting xmlns:xm="http://schemas.microsoft.com/office/excel/2006/main">
          <x14:cfRule type="expression" priority="7" id="{86D80FA3-F7F5-4F54-8FF2-D44EC5D45D5A}">
            <xm:f>IF(CONTRA=GENERAL!$B$107,1,0)</xm:f>
            <x14:dxf>
              <font>
                <color theme="1"/>
              </font>
            </x14:dxf>
          </x14:cfRule>
          <xm:sqref>B15:D16</xm:sqref>
        </x14:conditionalFormatting>
        <x14:conditionalFormatting xmlns:xm="http://schemas.microsoft.com/office/excel/2006/main">
          <x14:cfRule type="expression" priority="4" id="{527A3ECC-6324-4809-9C08-51ED6028EED2}">
            <xm:f>IF(CONTRA=GENERAL!$B$107,1,0)</xm:f>
            <x14:dxf>
              <font>
                <color theme="1"/>
              </font>
            </x14:dxf>
          </x14:cfRule>
          <xm:sqref>B31:D33</xm:sqref>
        </x14:conditionalFormatting>
        <x14:conditionalFormatting xmlns:xm="http://schemas.microsoft.com/office/excel/2006/main">
          <x14:cfRule type="expression" priority="6" id="{BD8D8C69-E323-4C88-B0BA-48D0177D24B2}">
            <xm:f>IF(CONTRA=GENERAL!$B$107,1,0)</xm:f>
            <x14:dxf>
              <font>
                <color theme="1"/>
              </font>
            </x14:dxf>
          </x14:cfRule>
          <xm:sqref>C17:C22</xm:sqref>
        </x14:conditionalFormatting>
        <x14:conditionalFormatting xmlns:xm="http://schemas.microsoft.com/office/excel/2006/main">
          <x14:cfRule type="expression" priority="3" id="{03E655E0-935C-4C6F-BC1B-FBBE83FE928F}">
            <xm:f>IF(CONTRA=GENERAL!$B$107,1,0)</xm:f>
            <x14:dxf>
              <font>
                <color theme="1"/>
              </font>
            </x14:dxf>
          </x14:cfRule>
          <xm:sqref>C34:C36</xm:sqref>
        </x14:conditionalFormatting>
        <x14:conditionalFormatting xmlns:xm="http://schemas.microsoft.com/office/excel/2006/main">
          <x14:cfRule type="expression" priority="9" id="{6505439B-83C9-42F7-9A1B-2A3FF4ADEA1E}">
            <xm:f>IF(CONTRA=GENERAL!$B$107,1,0)</xm:f>
            <x14:dxf>
              <numFmt numFmtId="4" formatCode="#,##0.00"/>
            </x14:dxf>
          </x14:cfRule>
          <xm:sqref>D11:D14</xm:sqref>
        </x14:conditionalFormatting>
        <x14:conditionalFormatting xmlns:xm="http://schemas.microsoft.com/office/excel/2006/main">
          <x14:cfRule type="expression" priority="5" id="{D072625C-F6C6-4504-B302-5E0D3B9E5D4B}">
            <xm:f>IF(CONTRA=GENERAL!$B$107,1,0)</xm:f>
            <x14:dxf>
              <numFmt numFmtId="0" formatCode="General"/>
            </x14:dxf>
          </x14:cfRule>
          <xm:sqref>D19:D21</xm:sqref>
        </x14:conditionalFormatting>
        <x14:conditionalFormatting xmlns:xm="http://schemas.microsoft.com/office/excel/2006/main">
          <x14:cfRule type="expression" priority="8" id="{8BC2A71F-7AFA-44BB-9939-1D402F3E506E}">
            <xm:f>IF(CONTRA=GENERAL!$B$107,1,0)</xm:f>
            <x14:dxf>
              <numFmt numFmtId="4" formatCode="#,##0.00"/>
            </x14:dxf>
          </x14:cfRule>
          <xm:sqref>E13:G14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Percepción" error="Solo se permiten datos de la lista" xr:uid="{995F6D97-428C-4B19-8E07-0D1B34D36EE2}">
          <x14:formula1>
            <xm:f>GENERAL!$B$36:$B$66</xm:f>
          </x14:formula1>
          <xm:sqref>D17</xm:sqref>
        </x14:dataValidation>
        <x14:dataValidation type="list" allowBlank="1" showInputMessage="1" showErrorMessage="1" errorTitle="Percepción" error="Solo se permiten datos de la lista" xr:uid="{1E540445-0421-4877-97DD-59FECCDE6663}">
          <x14:formula1>
            <xm:f>GENERAL!$B$21:$B$22</xm:f>
          </x14:formula1>
          <xm:sqref>D37</xm:sqref>
        </x14:dataValidation>
        <x14:dataValidation type="list" allowBlank="1" showInputMessage="1" showErrorMessage="1" errorTitle="Tiempo extra" error="Solo se permiten datos de la lista" xr:uid="{6312B52F-C4C8-4599-BF3A-1FE11AA5B7A7}">
          <x14:formula1>
            <xm:f>GENERAL!$B$21:$B$22</xm:f>
          </x14:formula1>
          <xm:sqref>C196 D270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37F1-A14E-488B-BD14-5BC9435F77B9}">
  <sheetPr codeName="Hoja16"/>
  <dimension ref="B2:I75"/>
  <sheetViews>
    <sheetView showGridLines="0" zoomScale="120" zoomScaleNormal="120" workbookViewId="0">
      <selection activeCell="D24" sqref="D24"/>
    </sheetView>
  </sheetViews>
  <sheetFormatPr baseColWidth="10" defaultRowHeight="15" x14ac:dyDescent="0.25"/>
  <cols>
    <col min="1" max="1" width="3.140625" customWidth="1"/>
    <col min="2" max="2" width="21.85546875" customWidth="1"/>
    <col min="3" max="3" width="70.5703125" customWidth="1"/>
    <col min="4" max="4" width="16" customWidth="1"/>
    <col min="7" max="7" width="16.7109375" customWidth="1"/>
    <col min="8" max="8" width="15.42578125" customWidth="1"/>
  </cols>
  <sheetData>
    <row r="2" spans="2:8" x14ac:dyDescent="0.25">
      <c r="C2" s="166" t="s">
        <v>412</v>
      </c>
      <c r="D2" s="47"/>
    </row>
    <row r="3" spans="2:8" ht="15.75" thickBot="1" x14ac:dyDescent="0.3">
      <c r="B3" s="39"/>
    </row>
    <row r="4" spans="2:8" x14ac:dyDescent="0.25">
      <c r="B4" s="37" t="s">
        <v>0</v>
      </c>
      <c r="C4" s="64" t="s">
        <v>1</v>
      </c>
      <c r="D4" s="167" t="s">
        <v>222</v>
      </c>
      <c r="E4" s="168" t="s">
        <v>64</v>
      </c>
      <c r="F4" s="169" t="s">
        <v>65</v>
      </c>
      <c r="G4" s="9" t="s">
        <v>194</v>
      </c>
      <c r="H4" s="170" t="s">
        <v>413</v>
      </c>
    </row>
    <row r="5" spans="2:8" x14ac:dyDescent="0.25">
      <c r="B5" s="1">
        <v>1</v>
      </c>
      <c r="C5" s="2" t="s">
        <v>2</v>
      </c>
      <c r="D5" s="171" t="s">
        <v>414</v>
      </c>
      <c r="E5" s="15">
        <v>250000</v>
      </c>
      <c r="F5" s="15"/>
      <c r="G5" s="4" t="s">
        <v>94</v>
      </c>
      <c r="H5" s="4" t="s">
        <v>143</v>
      </c>
    </row>
    <row r="6" spans="2:8" x14ac:dyDescent="0.25">
      <c r="B6" s="1">
        <v>2</v>
      </c>
      <c r="C6" s="2" t="s">
        <v>3</v>
      </c>
      <c r="D6" s="171" t="s">
        <v>414</v>
      </c>
      <c r="E6" s="15">
        <v>5000</v>
      </c>
      <c r="F6" s="15">
        <f>113.14*30</f>
        <v>3394.2</v>
      </c>
      <c r="G6" s="4" t="s">
        <v>94</v>
      </c>
      <c r="H6" s="4" t="s">
        <v>143</v>
      </c>
    </row>
    <row r="7" spans="2:8" x14ac:dyDescent="0.25">
      <c r="B7" s="82">
        <v>3</v>
      </c>
      <c r="C7" s="66" t="s">
        <v>4</v>
      </c>
      <c r="D7" s="171" t="s">
        <v>414</v>
      </c>
      <c r="E7" s="15"/>
      <c r="F7" s="15"/>
      <c r="G7" s="4" t="s">
        <v>94</v>
      </c>
      <c r="H7" s="4" t="s">
        <v>143</v>
      </c>
    </row>
    <row r="8" spans="2:8" x14ac:dyDescent="0.25">
      <c r="B8" s="1">
        <v>4</v>
      </c>
      <c r="C8" s="2" t="s">
        <v>5</v>
      </c>
      <c r="D8" s="171" t="s">
        <v>414</v>
      </c>
      <c r="E8" s="15"/>
      <c r="F8" s="15"/>
      <c r="G8" s="4" t="s">
        <v>54</v>
      </c>
      <c r="H8" s="4" t="s">
        <v>94</v>
      </c>
    </row>
    <row r="9" spans="2:8" x14ac:dyDescent="0.25">
      <c r="B9" s="1">
        <v>5</v>
      </c>
      <c r="C9" s="2" t="s">
        <v>6</v>
      </c>
      <c r="D9" s="171" t="s">
        <v>414</v>
      </c>
      <c r="E9" s="15"/>
      <c r="F9" s="15">
        <f>E5*0.13</f>
        <v>32500</v>
      </c>
      <c r="G9" s="4" t="s">
        <v>54</v>
      </c>
      <c r="H9" s="4" t="s">
        <v>94</v>
      </c>
    </row>
    <row r="10" spans="2:8" x14ac:dyDescent="0.25">
      <c r="B10" s="1">
        <v>6</v>
      </c>
      <c r="C10" s="2" t="s">
        <v>7</v>
      </c>
      <c r="D10" s="171" t="s">
        <v>414</v>
      </c>
      <c r="E10" s="15"/>
      <c r="F10" s="15"/>
      <c r="G10" s="4" t="s">
        <v>54</v>
      </c>
      <c r="H10" s="4" t="s">
        <v>54</v>
      </c>
    </row>
    <row r="11" spans="2:8" x14ac:dyDescent="0.25">
      <c r="B11" s="1">
        <v>9</v>
      </c>
      <c r="C11" s="2" t="s">
        <v>8</v>
      </c>
      <c r="D11" s="171" t="s">
        <v>414</v>
      </c>
      <c r="E11" s="15"/>
      <c r="F11" s="15"/>
      <c r="G11" s="4" t="s">
        <v>94</v>
      </c>
      <c r="H11" s="4" t="s">
        <v>143</v>
      </c>
    </row>
    <row r="12" spans="2:8" x14ac:dyDescent="0.25">
      <c r="B12" s="1">
        <v>10</v>
      </c>
      <c r="C12" s="2" t="s">
        <v>9</v>
      </c>
      <c r="D12" s="171" t="s">
        <v>414</v>
      </c>
      <c r="E12" s="15">
        <v>18000</v>
      </c>
      <c r="F12" s="15"/>
      <c r="G12" s="4" t="s">
        <v>94</v>
      </c>
      <c r="H12" s="4" t="s">
        <v>143</v>
      </c>
    </row>
    <row r="13" spans="2:8" x14ac:dyDescent="0.25">
      <c r="B13" s="1">
        <v>11</v>
      </c>
      <c r="C13" s="2" t="s">
        <v>10</v>
      </c>
      <c r="D13" s="171" t="s">
        <v>414</v>
      </c>
      <c r="E13" s="15"/>
      <c r="F13" s="15"/>
      <c r="G13" s="4" t="s">
        <v>54</v>
      </c>
      <c r="H13" s="4" t="s">
        <v>94</v>
      </c>
    </row>
    <row r="14" spans="2:8" x14ac:dyDescent="0.25">
      <c r="B14" s="1">
        <v>12</v>
      </c>
      <c r="C14" s="2" t="s">
        <v>11</v>
      </c>
      <c r="D14" s="171" t="s">
        <v>414</v>
      </c>
      <c r="E14" s="15"/>
      <c r="F14" s="15"/>
      <c r="G14" s="4" t="s">
        <v>54</v>
      </c>
      <c r="H14" s="4" t="s">
        <v>94</v>
      </c>
    </row>
    <row r="15" spans="2:8" x14ac:dyDescent="0.25">
      <c r="B15" s="1">
        <v>13</v>
      </c>
      <c r="C15" s="2" t="s">
        <v>12</v>
      </c>
      <c r="D15" s="171" t="s">
        <v>414</v>
      </c>
      <c r="E15" s="15"/>
      <c r="F15" s="15"/>
      <c r="G15" s="4" t="s">
        <v>94</v>
      </c>
      <c r="H15" s="4" t="s">
        <v>94</v>
      </c>
    </row>
    <row r="16" spans="2:8" x14ac:dyDescent="0.25">
      <c r="B16" s="1">
        <v>14</v>
      </c>
      <c r="C16" s="2" t="s">
        <v>13</v>
      </c>
      <c r="D16" s="171" t="s">
        <v>414</v>
      </c>
      <c r="E16" s="15"/>
      <c r="F16" s="15"/>
      <c r="G16" s="4" t="s">
        <v>54</v>
      </c>
      <c r="H16" s="4" t="s">
        <v>54</v>
      </c>
    </row>
    <row r="17" spans="2:8" x14ac:dyDescent="0.25">
      <c r="B17" s="1">
        <v>15</v>
      </c>
      <c r="C17" s="2" t="s">
        <v>14</v>
      </c>
      <c r="D17" s="171" t="s">
        <v>414</v>
      </c>
      <c r="E17" s="15"/>
      <c r="F17" s="15"/>
      <c r="G17" s="4" t="s">
        <v>54</v>
      </c>
      <c r="H17" s="4" t="s">
        <v>54</v>
      </c>
    </row>
    <row r="18" spans="2:8" x14ac:dyDescent="0.25">
      <c r="B18" s="1">
        <v>19</v>
      </c>
      <c r="C18" s="2" t="s">
        <v>15</v>
      </c>
      <c r="D18" s="172" t="s">
        <v>414</v>
      </c>
      <c r="E18" s="15"/>
      <c r="F18" s="15"/>
      <c r="G18" s="4" t="s">
        <v>94</v>
      </c>
      <c r="H18" s="4" t="s">
        <v>143</v>
      </c>
    </row>
    <row r="19" spans="2:8" x14ac:dyDescent="0.25">
      <c r="B19" s="82">
        <v>20</v>
      </c>
      <c r="C19" s="66" t="s">
        <v>16</v>
      </c>
      <c r="D19" s="171" t="s">
        <v>414</v>
      </c>
      <c r="E19" s="15"/>
      <c r="F19" s="15"/>
      <c r="G19" s="4" t="s">
        <v>94</v>
      </c>
      <c r="H19" s="4" t="s">
        <v>143</v>
      </c>
    </row>
    <row r="20" spans="2:8" x14ac:dyDescent="0.25">
      <c r="B20" s="1">
        <v>21</v>
      </c>
      <c r="C20" s="2" t="s">
        <v>17</v>
      </c>
      <c r="D20" s="171" t="s">
        <v>414</v>
      </c>
      <c r="E20" s="15"/>
      <c r="F20" s="15"/>
      <c r="G20" s="4" t="s">
        <v>94</v>
      </c>
      <c r="H20" s="4" t="s">
        <v>143</v>
      </c>
    </row>
    <row r="21" spans="2:8" x14ac:dyDescent="0.25">
      <c r="B21" s="1">
        <v>24</v>
      </c>
      <c r="C21" s="2" t="s">
        <v>20</v>
      </c>
      <c r="D21" s="171" t="s">
        <v>414</v>
      </c>
      <c r="E21" s="15"/>
      <c r="F21" s="15"/>
      <c r="G21" s="4" t="s">
        <v>54</v>
      </c>
      <c r="H21" s="4" t="s">
        <v>54</v>
      </c>
    </row>
    <row r="22" spans="2:8" x14ac:dyDescent="0.25">
      <c r="B22" s="1">
        <v>26</v>
      </c>
      <c r="C22" s="2" t="s">
        <v>22</v>
      </c>
      <c r="D22" s="171" t="s">
        <v>414</v>
      </c>
      <c r="E22" s="15"/>
      <c r="F22" s="15"/>
      <c r="G22" s="4" t="s">
        <v>54</v>
      </c>
      <c r="H22" s="4" t="s">
        <v>94</v>
      </c>
    </row>
    <row r="23" spans="2:8" x14ac:dyDescent="0.25">
      <c r="B23" s="1">
        <v>27</v>
      </c>
      <c r="C23" s="2" t="s">
        <v>23</v>
      </c>
      <c r="D23" s="171" t="s">
        <v>414</v>
      </c>
      <c r="E23" s="15"/>
      <c r="F23" s="15"/>
      <c r="G23" s="4" t="s">
        <v>94</v>
      </c>
      <c r="H23" s="4" t="s">
        <v>143</v>
      </c>
    </row>
    <row r="24" spans="2:8" x14ac:dyDescent="0.25">
      <c r="B24" s="1">
        <v>28</v>
      </c>
      <c r="C24" s="2" t="s">
        <v>24</v>
      </c>
      <c r="D24" s="171" t="s">
        <v>414</v>
      </c>
      <c r="E24" s="15"/>
      <c r="F24" s="15"/>
      <c r="G24" s="4" t="s">
        <v>94</v>
      </c>
      <c r="H24" s="4" t="s">
        <v>143</v>
      </c>
    </row>
    <row r="25" spans="2:8" x14ac:dyDescent="0.25">
      <c r="B25" s="1">
        <v>29</v>
      </c>
      <c r="C25" s="2" t="s">
        <v>25</v>
      </c>
      <c r="D25" s="171" t="s">
        <v>414</v>
      </c>
      <c r="E25" s="15"/>
      <c r="F25" s="15">
        <v>50000</v>
      </c>
      <c r="G25" s="4" t="s">
        <v>54</v>
      </c>
      <c r="H25" s="4" t="s">
        <v>54</v>
      </c>
    </row>
    <row r="26" spans="2:8" x14ac:dyDescent="0.25">
      <c r="B26" s="1">
        <v>30</v>
      </c>
      <c r="C26" s="2" t="s">
        <v>26</v>
      </c>
      <c r="D26" s="171" t="s">
        <v>414</v>
      </c>
      <c r="E26" s="15"/>
      <c r="F26" s="15">
        <v>28000</v>
      </c>
      <c r="G26" s="4" t="s">
        <v>54</v>
      </c>
      <c r="H26" s="4" t="s">
        <v>54</v>
      </c>
    </row>
    <row r="27" spans="2:8" x14ac:dyDescent="0.25">
      <c r="B27" s="1">
        <v>31</v>
      </c>
      <c r="C27" s="2" t="s">
        <v>27</v>
      </c>
      <c r="D27" s="171" t="s">
        <v>414</v>
      </c>
      <c r="E27" s="15"/>
      <c r="F27" s="15"/>
      <c r="G27" s="4" t="s">
        <v>54</v>
      </c>
      <c r="H27" s="4" t="s">
        <v>54</v>
      </c>
    </row>
    <row r="28" spans="2:8" x14ac:dyDescent="0.25">
      <c r="B28" s="1">
        <v>32</v>
      </c>
      <c r="C28" s="2" t="s">
        <v>28</v>
      </c>
      <c r="D28" s="171" t="s">
        <v>414</v>
      </c>
      <c r="E28" s="15"/>
      <c r="F28" s="15"/>
      <c r="G28" s="4" t="s">
        <v>54</v>
      </c>
      <c r="H28" s="4" t="s">
        <v>54</v>
      </c>
    </row>
    <row r="29" spans="2:8" x14ac:dyDescent="0.25">
      <c r="B29" s="1">
        <v>33</v>
      </c>
      <c r="C29" s="2" t="s">
        <v>29</v>
      </c>
      <c r="D29" s="171" t="s">
        <v>414</v>
      </c>
      <c r="E29" s="15"/>
      <c r="F29" s="15"/>
      <c r="G29" s="4" t="s">
        <v>54</v>
      </c>
      <c r="H29" s="4" t="s">
        <v>54</v>
      </c>
    </row>
    <row r="30" spans="2:8" x14ac:dyDescent="0.25">
      <c r="B30" s="1">
        <v>34</v>
      </c>
      <c r="C30" s="2" t="s">
        <v>30</v>
      </c>
      <c r="D30" s="171" t="s">
        <v>414</v>
      </c>
      <c r="E30" s="15"/>
      <c r="F30" s="15"/>
      <c r="G30" s="4" t="s">
        <v>54</v>
      </c>
      <c r="H30" s="4" t="s">
        <v>54</v>
      </c>
    </row>
    <row r="31" spans="2:8" x14ac:dyDescent="0.25">
      <c r="B31" s="1">
        <v>35</v>
      </c>
      <c r="C31" s="2" t="s">
        <v>31</v>
      </c>
      <c r="D31" s="171" t="s">
        <v>414</v>
      </c>
      <c r="E31" s="15"/>
      <c r="F31" s="15"/>
      <c r="G31" s="4" t="s">
        <v>54</v>
      </c>
      <c r="H31" s="4" t="s">
        <v>54</v>
      </c>
    </row>
    <row r="32" spans="2:8" x14ac:dyDescent="0.25">
      <c r="B32" s="1">
        <v>36</v>
      </c>
      <c r="C32" s="2" t="s">
        <v>32</v>
      </c>
      <c r="D32" s="171" t="s">
        <v>414</v>
      </c>
      <c r="E32" s="15"/>
      <c r="F32" s="15"/>
      <c r="G32" s="4" t="s">
        <v>54</v>
      </c>
      <c r="H32" s="4" t="s">
        <v>54</v>
      </c>
    </row>
    <row r="33" spans="2:9" x14ac:dyDescent="0.25">
      <c r="B33" s="1">
        <v>37</v>
      </c>
      <c r="C33" s="2" t="s">
        <v>33</v>
      </c>
      <c r="D33" s="171" t="s">
        <v>414</v>
      </c>
      <c r="E33" s="15"/>
      <c r="F33" s="15"/>
      <c r="G33" s="4" t="s">
        <v>54</v>
      </c>
      <c r="H33" s="4" t="s">
        <v>54</v>
      </c>
    </row>
    <row r="34" spans="2:9" x14ac:dyDescent="0.25">
      <c r="B34" s="1">
        <v>38</v>
      </c>
      <c r="C34" s="2" t="s">
        <v>34</v>
      </c>
      <c r="D34" s="171" t="s">
        <v>414</v>
      </c>
      <c r="E34" s="15"/>
      <c r="F34" s="15"/>
      <c r="G34" s="4" t="s">
        <v>94</v>
      </c>
      <c r="H34" s="4" t="s">
        <v>143</v>
      </c>
      <c r="I34" s="173" t="s">
        <v>415</v>
      </c>
    </row>
    <row r="35" spans="2:9" ht="31.5" customHeight="1" x14ac:dyDescent="0.25">
      <c r="B35" s="1" t="s">
        <v>40</v>
      </c>
      <c r="C35" s="3" t="s">
        <v>41</v>
      </c>
      <c r="D35" s="171" t="s">
        <v>414</v>
      </c>
      <c r="E35" s="15"/>
      <c r="F35" s="15"/>
      <c r="G35" s="4" t="s">
        <v>54</v>
      </c>
      <c r="H35" s="4" t="s">
        <v>54</v>
      </c>
    </row>
    <row r="36" spans="2:9" x14ac:dyDescent="0.25">
      <c r="B36" s="1">
        <v>48</v>
      </c>
      <c r="C36" s="3" t="s">
        <v>42</v>
      </c>
      <c r="D36" s="171" t="s">
        <v>414</v>
      </c>
      <c r="E36" s="15"/>
      <c r="F36" s="15"/>
      <c r="G36" s="4" t="s">
        <v>54</v>
      </c>
      <c r="H36" s="4" t="s">
        <v>54</v>
      </c>
    </row>
    <row r="37" spans="2:9" x14ac:dyDescent="0.25">
      <c r="B37" s="1">
        <v>49</v>
      </c>
      <c r="C37" s="3" t="s">
        <v>43</v>
      </c>
      <c r="D37" s="171" t="s">
        <v>414</v>
      </c>
      <c r="E37" s="15"/>
      <c r="F37" s="15"/>
      <c r="G37" s="4" t="s">
        <v>94</v>
      </c>
      <c r="H37" s="4" t="s">
        <v>143</v>
      </c>
    </row>
    <row r="38" spans="2:9" x14ac:dyDescent="0.25">
      <c r="B38" s="1">
        <v>50</v>
      </c>
      <c r="C38" s="3" t="s">
        <v>44</v>
      </c>
      <c r="D38" s="171" t="s">
        <v>414</v>
      </c>
      <c r="E38" s="15"/>
      <c r="F38" s="15"/>
      <c r="G38" s="4" t="s">
        <v>94</v>
      </c>
      <c r="H38" s="4" t="s">
        <v>143</v>
      </c>
    </row>
    <row r="39" spans="2:9" x14ac:dyDescent="0.25">
      <c r="D39" s="174" t="s">
        <v>216</v>
      </c>
      <c r="E39" s="13">
        <f>SUM(E5:E38)</f>
        <v>273000</v>
      </c>
      <c r="F39" s="13">
        <f>SUM(F5:F38)</f>
        <v>113894.2</v>
      </c>
    </row>
    <row r="41" spans="2:9" ht="132.75" customHeight="1" x14ac:dyDescent="0.25">
      <c r="B41" s="262" t="s">
        <v>416</v>
      </c>
      <c r="C41" s="263"/>
      <c r="D41" s="263"/>
      <c r="E41" s="263"/>
      <c r="F41" s="263"/>
    </row>
    <row r="43" spans="2:9" x14ac:dyDescent="0.25">
      <c r="C43" s="175" t="s">
        <v>68</v>
      </c>
      <c r="D43" s="47">
        <v>113.14</v>
      </c>
    </row>
    <row r="44" spans="2:9" x14ac:dyDescent="0.25">
      <c r="C44" s="175" t="s">
        <v>218</v>
      </c>
      <c r="D44" s="12">
        <f>IFERROR(ROUND(D43*7*365,2),"")</f>
        <v>289072.7</v>
      </c>
      <c r="E44" s="176" t="s">
        <v>219</v>
      </c>
    </row>
    <row r="45" spans="2:9" x14ac:dyDescent="0.25">
      <c r="C45" s="175" t="s">
        <v>417</v>
      </c>
      <c r="D45" s="12">
        <f>IFERROR(ROUND(D43*365,2),"")</f>
        <v>41296.1</v>
      </c>
      <c r="E45" s="176" t="s">
        <v>221</v>
      </c>
    </row>
    <row r="46" spans="2:9" ht="84" customHeight="1" x14ac:dyDescent="0.25">
      <c r="B46" s="262" t="s">
        <v>418</v>
      </c>
      <c r="C46" s="263"/>
    </row>
    <row r="47" spans="2:9" x14ac:dyDescent="0.25">
      <c r="C47" s="177" t="s">
        <v>419</v>
      </c>
      <c r="D47" s="12">
        <f>IFERROR(E39,"")</f>
        <v>273000</v>
      </c>
    </row>
    <row r="48" spans="2:9" x14ac:dyDescent="0.25">
      <c r="C48" s="177" t="s">
        <v>420</v>
      </c>
      <c r="D48" s="12">
        <f>SUMIFS(F5:F38,G5:G38,"Sí",H5:H38,"Sí")</f>
        <v>78000</v>
      </c>
    </row>
    <row r="49" spans="2:8" x14ac:dyDescent="0.25">
      <c r="C49" s="177" t="s">
        <v>421</v>
      </c>
      <c r="D49" s="12">
        <f>SUM(D47:D48)</f>
        <v>351000</v>
      </c>
      <c r="E49" s="176" t="s">
        <v>220</v>
      </c>
    </row>
    <row r="50" spans="2:8" x14ac:dyDescent="0.25">
      <c r="C50" s="178" t="s">
        <v>422</v>
      </c>
      <c r="D50" s="12">
        <f>D44</f>
        <v>289072.7</v>
      </c>
      <c r="E50" s="176" t="s">
        <v>219</v>
      </c>
    </row>
    <row r="52" spans="2:8" x14ac:dyDescent="0.25">
      <c r="B52" s="264" t="s">
        <v>423</v>
      </c>
      <c r="C52" s="264"/>
      <c r="D52" s="12">
        <f>D45</f>
        <v>41296.1</v>
      </c>
      <c r="E52" s="176" t="s">
        <v>221</v>
      </c>
    </row>
    <row r="54" spans="2:8" ht="34.5" customHeight="1" x14ac:dyDescent="0.25">
      <c r="B54" s="265" t="s">
        <v>424</v>
      </c>
      <c r="C54" s="265"/>
    </row>
    <row r="55" spans="2:8" x14ac:dyDescent="0.25">
      <c r="C55" s="177" t="s">
        <v>419</v>
      </c>
      <c r="D55" s="12">
        <f>IF(D49&gt;D50,D47,"")</f>
        <v>273000</v>
      </c>
    </row>
    <row r="56" spans="2:8" x14ac:dyDescent="0.25">
      <c r="C56" s="177" t="s">
        <v>425</v>
      </c>
      <c r="D56" s="12">
        <f>IF(D49&gt;D50,IF(D48&gt;=D52,D52,D48),"")</f>
        <v>41296.1</v>
      </c>
    </row>
    <row r="57" spans="2:8" x14ac:dyDescent="0.25">
      <c r="C57" s="177" t="s">
        <v>426</v>
      </c>
      <c r="D57" s="12">
        <f>IF(D49&gt;D50,SUM(D55:D56),"")</f>
        <v>314296.09999999998</v>
      </c>
      <c r="E57" s="176" t="s">
        <v>427</v>
      </c>
      <c r="F57" s="12"/>
    </row>
    <row r="58" spans="2:8" x14ac:dyDescent="0.25">
      <c r="F58" s="12"/>
      <c r="H58" s="12"/>
    </row>
    <row r="59" spans="2:8" x14ac:dyDescent="0.25">
      <c r="C59" s="179" t="s">
        <v>428</v>
      </c>
      <c r="F59" s="12"/>
    </row>
    <row r="61" spans="2:8" x14ac:dyDescent="0.25">
      <c r="C61" s="180" t="s">
        <v>429</v>
      </c>
      <c r="D61" s="12">
        <f>SUMIFS(F5:F38,G5:G38,"Sí",H5:H38,"No")</f>
        <v>32500</v>
      </c>
    </row>
    <row r="62" spans="2:8" x14ac:dyDescent="0.25">
      <c r="C62" s="180" t="s">
        <v>430</v>
      </c>
      <c r="D62" s="12">
        <f>IFERROR(IF(D48&gt;=D63,D48-D63,0),0)</f>
        <v>36703.9</v>
      </c>
    </row>
    <row r="63" spans="2:8" x14ac:dyDescent="0.25">
      <c r="C63" s="180" t="s">
        <v>431</v>
      </c>
      <c r="D63" s="12">
        <f>IF(D57="",D48,IF(D57&gt;=D50,D56,IF(D57&lt;D50,D50-D55,"")))</f>
        <v>41296.1</v>
      </c>
      <c r="F63" s="12"/>
    </row>
    <row r="64" spans="2:8" x14ac:dyDescent="0.25">
      <c r="C64" s="177" t="s">
        <v>432</v>
      </c>
      <c r="D64" s="181">
        <f>SUM(D61:D63)</f>
        <v>110500</v>
      </c>
    </row>
    <row r="67" spans="2:8" x14ac:dyDescent="0.25">
      <c r="B67" s="39" t="s">
        <v>48</v>
      </c>
      <c r="C67" t="s">
        <v>50</v>
      </c>
    </row>
    <row r="68" spans="2:8" ht="15.75" thickBot="1" x14ac:dyDescent="0.3">
      <c r="B68" t="s">
        <v>433</v>
      </c>
    </row>
    <row r="69" spans="2:8" x14ac:dyDescent="0.25">
      <c r="B69" s="182" t="s">
        <v>0</v>
      </c>
      <c r="C69" s="62" t="s">
        <v>1</v>
      </c>
      <c r="D69" s="167" t="s">
        <v>64</v>
      </c>
      <c r="E69" s="167" t="s">
        <v>65</v>
      </c>
      <c r="G69" s="62" t="s">
        <v>1</v>
      </c>
      <c r="H69" s="8" t="s">
        <v>213</v>
      </c>
    </row>
    <row r="70" spans="2:8" x14ac:dyDescent="0.25">
      <c r="B70" s="1">
        <v>1</v>
      </c>
      <c r="C70" s="2" t="s">
        <v>2</v>
      </c>
      <c r="D70" s="21">
        <v>3500</v>
      </c>
      <c r="E70" s="21"/>
      <c r="G70" s="2" t="s">
        <v>207</v>
      </c>
      <c r="H70" s="21">
        <v>120</v>
      </c>
    </row>
    <row r="71" spans="2:8" x14ac:dyDescent="0.25">
      <c r="B71" s="1">
        <v>30</v>
      </c>
      <c r="C71" s="2" t="s">
        <v>26</v>
      </c>
      <c r="D71" s="21">
        <f>D62</f>
        <v>36703.9</v>
      </c>
      <c r="E71" s="21"/>
      <c r="G71" s="2" t="s">
        <v>208</v>
      </c>
      <c r="H71" s="21">
        <v>650</v>
      </c>
    </row>
    <row r="72" spans="2:8" ht="43.5" thickBot="1" x14ac:dyDescent="0.3">
      <c r="G72" s="83" t="s">
        <v>123</v>
      </c>
      <c r="H72" s="183">
        <f>D71</f>
        <v>36703.9</v>
      </c>
    </row>
    <row r="73" spans="2:8" x14ac:dyDescent="0.25">
      <c r="B73" s="184" t="s">
        <v>396</v>
      </c>
      <c r="C73" s="62" t="s">
        <v>1</v>
      </c>
      <c r="D73" s="38" t="s">
        <v>213</v>
      </c>
    </row>
    <row r="74" spans="2:8" x14ac:dyDescent="0.25">
      <c r="B74" s="1">
        <v>2</v>
      </c>
      <c r="C74" s="2" t="s">
        <v>266</v>
      </c>
      <c r="D74" s="183">
        <v>0</v>
      </c>
    </row>
    <row r="75" spans="2:8" x14ac:dyDescent="0.25">
      <c r="C75" t="s">
        <v>434</v>
      </c>
      <c r="D75" s="12">
        <v>0</v>
      </c>
    </row>
  </sheetData>
  <sheetProtection formatCells="0" formatColumns="0" formatRows="0" selectLockedCells="1" sort="0"/>
  <mergeCells count="4">
    <mergeCell ref="B41:F41"/>
    <mergeCell ref="B46:C46"/>
    <mergeCell ref="B52:C52"/>
    <mergeCell ref="B54:C54"/>
  </mergeCells>
  <dataValidations count="2">
    <dataValidation type="list" allowBlank="1" showInputMessage="1" showErrorMessage="1" sqref="G5:G38" xr:uid="{592D2300-E803-4BE4-97ED-0F0516192036}">
      <formula1>"Sí,No"</formula1>
    </dataValidation>
    <dataValidation type="list" allowBlank="1" showInputMessage="1" showErrorMessage="1" sqref="H5:H38" xr:uid="{2D4E1F44-7E70-445E-9B17-2EBA06DE6944}">
      <formula1>"Sí,No,No aplica"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4349-38E5-4548-B6DC-195313B5B6AC}">
  <sheetPr codeName="Hoja7"/>
  <dimension ref="B1:J29"/>
  <sheetViews>
    <sheetView showGridLines="0" topLeftCell="A10" zoomScale="110" zoomScaleNormal="110" workbookViewId="0">
      <selection activeCell="I21" sqref="I21"/>
    </sheetView>
  </sheetViews>
  <sheetFormatPr baseColWidth="10" defaultRowHeight="15" x14ac:dyDescent="0.25"/>
  <cols>
    <col min="1" max="1" width="6" customWidth="1"/>
    <col min="3" max="3" width="25" customWidth="1"/>
    <col min="8" max="8" width="27.42578125" customWidth="1"/>
    <col min="10" max="10" width="28.42578125" customWidth="1"/>
  </cols>
  <sheetData>
    <row r="1" spans="2:10" ht="33.75" customHeight="1" x14ac:dyDescent="0.25"/>
    <row r="2" spans="2:10" ht="18.2" customHeight="1" x14ac:dyDescent="0.25"/>
    <row r="4" spans="2:10" x14ac:dyDescent="0.25">
      <c r="C4" t="s">
        <v>144</v>
      </c>
      <c r="D4" s="15"/>
    </row>
    <row r="5" spans="2:10" x14ac:dyDescent="0.25">
      <c r="C5" t="s">
        <v>499</v>
      </c>
      <c r="D5" s="59"/>
    </row>
    <row r="6" spans="2:10" x14ac:dyDescent="0.25">
      <c r="C6" t="s">
        <v>58</v>
      </c>
      <c r="D6" s="47"/>
    </row>
    <row r="7" spans="2:10" x14ac:dyDescent="0.25">
      <c r="C7" t="s">
        <v>68</v>
      </c>
      <c r="D7" s="47"/>
    </row>
    <row r="9" spans="2:10" x14ac:dyDescent="0.25">
      <c r="B9" s="291" t="s">
        <v>500</v>
      </c>
      <c r="C9" s="291" t="s">
        <v>501</v>
      </c>
      <c r="D9" s="291" t="s">
        <v>64</v>
      </c>
      <c r="E9" s="291" t="s">
        <v>65</v>
      </c>
      <c r="G9" s="167" t="s">
        <v>500</v>
      </c>
      <c r="H9" s="167" t="s">
        <v>212</v>
      </c>
      <c r="I9" s="167" t="s">
        <v>213</v>
      </c>
    </row>
    <row r="10" spans="2:10" ht="28.5" x14ac:dyDescent="0.25">
      <c r="B10" s="1">
        <v>1</v>
      </c>
      <c r="C10" s="2" t="s">
        <v>2</v>
      </c>
      <c r="D10" s="183">
        <f>IFERROR(ROUND($D$4*$D$6,2),"")</f>
        <v>0</v>
      </c>
      <c r="E10" s="183"/>
      <c r="G10" s="1">
        <v>1</v>
      </c>
      <c r="H10" s="2" t="s">
        <v>207</v>
      </c>
      <c r="I10" s="183"/>
    </row>
    <row r="11" spans="2:10" x14ac:dyDescent="0.25">
      <c r="B11" s="1">
        <v>5</v>
      </c>
      <c r="C11" s="4" t="s">
        <v>6</v>
      </c>
      <c r="D11" s="183"/>
      <c r="E11" s="183">
        <f>IFERROR(ROUND($D$4*$D$5*$D$6,2),"")</f>
        <v>0</v>
      </c>
      <c r="G11" s="1">
        <v>2</v>
      </c>
      <c r="H11" s="2" t="s">
        <v>208</v>
      </c>
      <c r="I11" s="183"/>
    </row>
    <row r="12" spans="2:10" ht="28.5" x14ac:dyDescent="0.25">
      <c r="B12" s="63"/>
      <c r="C12" s="35"/>
      <c r="D12" s="292"/>
      <c r="E12" s="292"/>
      <c r="G12" s="1">
        <v>4</v>
      </c>
      <c r="H12" s="293" t="s">
        <v>502</v>
      </c>
      <c r="I12" s="183">
        <f>E11</f>
        <v>0</v>
      </c>
      <c r="J12" s="44" t="str">
        <f>IFERROR(IF((E11/D6*365)&gt;(D7*1.3*365),"Exede el límite de deducción",""),"")</f>
        <v/>
      </c>
    </row>
    <row r="13" spans="2:10" ht="28.5" x14ac:dyDescent="0.25">
      <c r="G13" s="1">
        <v>4</v>
      </c>
      <c r="H13" s="293" t="s">
        <v>503</v>
      </c>
      <c r="I13" s="183">
        <f>E11</f>
        <v>0</v>
      </c>
    </row>
    <row r="14" spans="2:10" x14ac:dyDescent="0.25">
      <c r="B14" s="294" t="s">
        <v>500</v>
      </c>
      <c r="C14" s="295" t="s">
        <v>441</v>
      </c>
      <c r="D14" s="295"/>
      <c r="E14" s="294" t="s">
        <v>213</v>
      </c>
    </row>
    <row r="15" spans="2:10" x14ac:dyDescent="0.25">
      <c r="B15" s="1">
        <v>2</v>
      </c>
      <c r="C15" s="296" t="s">
        <v>266</v>
      </c>
      <c r="D15" s="296"/>
      <c r="E15" s="183">
        <v>0</v>
      </c>
    </row>
    <row r="16" spans="2:10" x14ac:dyDescent="0.25">
      <c r="C16" t="s">
        <v>434</v>
      </c>
      <c r="E16" s="12"/>
      <c r="G16" s="39" t="s">
        <v>504</v>
      </c>
      <c r="H16" s="39"/>
      <c r="I16" s="13">
        <f>SUM(D10:E11,E15)-SUM(I10:I13)</f>
        <v>0</v>
      </c>
    </row>
    <row r="19" spans="2:9" x14ac:dyDescent="0.25">
      <c r="B19" s="8" t="s">
        <v>500</v>
      </c>
      <c r="C19" s="8" t="s">
        <v>501</v>
      </c>
      <c r="D19" s="8" t="s">
        <v>64</v>
      </c>
      <c r="E19" s="8" t="s">
        <v>65</v>
      </c>
      <c r="G19" s="297" t="s">
        <v>500</v>
      </c>
      <c r="H19" s="297" t="s">
        <v>212</v>
      </c>
      <c r="I19" s="297" t="s">
        <v>213</v>
      </c>
    </row>
    <row r="20" spans="2:9" ht="28.5" x14ac:dyDescent="0.25">
      <c r="B20" s="1">
        <v>1</v>
      </c>
      <c r="C20" s="2" t="s">
        <v>2</v>
      </c>
      <c r="D20" s="183">
        <f>IFERROR(ROUND($D$4*$D$6,2),"")</f>
        <v>0</v>
      </c>
      <c r="E20" s="183"/>
      <c r="G20" s="1">
        <v>1</v>
      </c>
      <c r="H20" s="2" t="s">
        <v>207</v>
      </c>
      <c r="I20" s="183"/>
    </row>
    <row r="21" spans="2:9" x14ac:dyDescent="0.25">
      <c r="B21" s="1">
        <v>5</v>
      </c>
      <c r="C21" s="4" t="s">
        <v>6</v>
      </c>
      <c r="D21" s="183"/>
      <c r="E21" s="183">
        <f>IFERROR(ROUND($D$4*$D$5*$D$6,2),"")</f>
        <v>0</v>
      </c>
      <c r="G21" s="1">
        <v>2</v>
      </c>
      <c r="H21" s="2" t="s">
        <v>208</v>
      </c>
      <c r="I21" s="183"/>
    </row>
    <row r="22" spans="2:9" ht="28.5" x14ac:dyDescent="0.25">
      <c r="B22" s="1">
        <v>29</v>
      </c>
      <c r="C22" s="69" t="s">
        <v>25</v>
      </c>
      <c r="D22" s="183"/>
      <c r="E22" s="279">
        <f>50*D6</f>
        <v>0</v>
      </c>
      <c r="G22" s="1">
        <v>4</v>
      </c>
      <c r="H22" s="293" t="s">
        <v>502</v>
      </c>
      <c r="I22" s="183">
        <f>E21</f>
        <v>0</v>
      </c>
    </row>
    <row r="23" spans="2:9" ht="28.5" x14ac:dyDescent="0.25">
      <c r="G23" s="1">
        <v>4</v>
      </c>
      <c r="H23" s="293" t="s">
        <v>503</v>
      </c>
      <c r="I23" s="183">
        <f>E21</f>
        <v>0</v>
      </c>
    </row>
    <row r="24" spans="2:9" x14ac:dyDescent="0.25">
      <c r="G24" s="1">
        <v>4</v>
      </c>
      <c r="H24" s="293" t="s">
        <v>25</v>
      </c>
      <c r="I24" s="183">
        <f>E22</f>
        <v>0</v>
      </c>
    </row>
    <row r="25" spans="2:9" x14ac:dyDescent="0.25">
      <c r="G25" s="63"/>
      <c r="H25" s="298"/>
      <c r="I25" s="292"/>
    </row>
    <row r="26" spans="2:9" x14ac:dyDescent="0.25">
      <c r="G26" s="63"/>
      <c r="H26" s="298"/>
      <c r="I26" s="292"/>
    </row>
    <row r="27" spans="2:9" x14ac:dyDescent="0.25">
      <c r="B27" s="299" t="s">
        <v>500</v>
      </c>
      <c r="C27" s="300" t="s">
        <v>441</v>
      </c>
      <c r="D27" s="300"/>
      <c r="E27" s="299" t="s">
        <v>213</v>
      </c>
    </row>
    <row r="28" spans="2:9" ht="15" customHeight="1" x14ac:dyDescent="0.25">
      <c r="B28" s="1">
        <v>2</v>
      </c>
      <c r="C28" s="296" t="s">
        <v>266</v>
      </c>
      <c r="D28" s="296"/>
      <c r="E28" s="183">
        <v>0</v>
      </c>
    </row>
    <row r="29" spans="2:9" x14ac:dyDescent="0.25">
      <c r="C29" t="s">
        <v>434</v>
      </c>
      <c r="E29" s="12"/>
      <c r="G29" s="39" t="s">
        <v>504</v>
      </c>
      <c r="H29" s="39"/>
      <c r="I29" s="13">
        <f>SUM(D20:E22,E28)-SUM(I20:I24)</f>
        <v>0</v>
      </c>
    </row>
  </sheetData>
  <mergeCells count="4">
    <mergeCell ref="C14:D14"/>
    <mergeCell ref="C15:D15"/>
    <mergeCell ref="C27:D27"/>
    <mergeCell ref="C28:D28"/>
  </mergeCells>
  <conditionalFormatting sqref="J12">
    <cfRule type="cellIs" dxfId="7" priority="1" operator="equal">
      <formula>"Exede el límite de deducción"</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PORTADA</vt:lpstr>
      <vt:lpstr>MENU</vt:lpstr>
      <vt:lpstr>APEND6</vt:lpstr>
      <vt:lpstr>REQUISITOS</vt:lpstr>
      <vt:lpstr>FUNDAMENTO</vt:lpstr>
      <vt:lpstr>DEDUCCION</vt:lpstr>
      <vt:lpstr>PERCEPCION</vt:lpstr>
      <vt:lpstr>PREVISION</vt:lpstr>
      <vt:lpstr>TIMBRADO</vt:lpstr>
      <vt:lpstr>SBC</vt:lpstr>
      <vt:lpstr>GENERAL</vt:lpstr>
      <vt:lpstr>CONTRA</vt:lpstr>
      <vt:lpstr>TABLAV</vt:lpstr>
      <vt:lpstr>TARIFAC</vt:lpstr>
      <vt:lpstr>TARIFAM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2025-09-15T16:01:49Z</dcterms:created>
  <dcterms:modified xsi:type="dcterms:W3CDTF">2026-03-17T18:27:42Z</dcterms:modified>
</cp:coreProperties>
</file>