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AMS\KINGSTON NEGRA\CURSOS\COFIDE\2026\04-02-2026 SUELDOS Y ASIMILADOS\"/>
    </mc:Choice>
  </mc:AlternateContent>
  <xr:revisionPtr revIDLastSave="0" documentId="13_ncr:1_{531BA9B6-A847-4EE8-89C4-D10341722535}" xr6:coauthVersionLast="47" xr6:coauthVersionMax="47" xr10:uidLastSave="{00000000-0000-0000-0000-000000000000}"/>
  <workbookProtection workbookAlgorithmName="SHA-512" workbookHashValue="73PAsNRsCNl4ocJZb+vt+DBdXeQ+dKkPItRdaBZUMTDhKwr1qZMyzuSH3vZbRtpxY9xQjEnVZmXNBmMTlF3Y3w==" workbookSaltValue="zR5rfdOjKl5WN5nW92WJig==" workbookSpinCount="100000" lockStructure="1"/>
  <bookViews>
    <workbookView xWindow="-120" yWindow="-120" windowWidth="29040" windowHeight="15720" xr2:uid="{572DDF98-E3E3-4591-9E10-2E69B35E129E}"/>
  </bookViews>
  <sheets>
    <sheet name="PORTADA" sheetId="11" r:id="rId1"/>
    <sheet name="MENU" sheetId="10" r:id="rId2"/>
    <sheet name="174" sheetId="3" r:id="rId3"/>
    <sheet name="175" sheetId="2" r:id="rId4"/>
    <sheet name="176" sheetId="4" r:id="rId5"/>
    <sheet name="177" sheetId="6" r:id="rId6"/>
    <sheet name="96" sheetId="7" r:id="rId7"/>
    <sheet name="ASIMILADOS" sheetId="8" r:id="rId8"/>
    <sheet name="PREVISION" sheetId="9" r:id="rId9"/>
    <sheet name="TARIFAS" sheetId="5" r:id="rId10"/>
  </sheets>
  <definedNames>
    <definedName name="MESES">TARIFAS!$B$62:$B$92</definedName>
    <definedName name="TDECENAL">TARIFAS!$B$23:$E$33</definedName>
    <definedName name="TMENSUAL">TARIFAS!$G$38:$J$48</definedName>
    <definedName name="TQUINCENAL">TARIFAS!$B$38:$E$48</definedName>
    <definedName name="TSEMANAL">TARIFAS!$B$8:$E$18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3" l="1"/>
  <c r="C28" i="7"/>
  <c r="C27" i="7"/>
  <c r="C15" i="7"/>
  <c r="C13" i="7"/>
  <c r="D64" i="9"/>
  <c r="D51" i="9"/>
  <c r="D48" i="9"/>
  <c r="D55" i="9" s="1"/>
  <c r="D47" i="9"/>
  <c r="D53" i="9" s="1"/>
  <c r="E42" i="9"/>
  <c r="D50" i="9" s="1"/>
  <c r="F9" i="9"/>
  <c r="F6" i="9"/>
  <c r="A11" i="8"/>
  <c r="A10" i="8"/>
  <c r="A9" i="8"/>
  <c r="A8" i="8"/>
  <c r="C20" i="8" s="1"/>
  <c r="D20" i="8" s="1"/>
  <c r="A7" i="8"/>
  <c r="A6" i="8"/>
  <c r="D52" i="9" l="1"/>
  <c r="F42" i="9"/>
  <c r="D59" i="9"/>
  <c r="D58" i="9"/>
  <c r="D60" i="9"/>
  <c r="D66" i="9" s="1"/>
  <c r="D65" i="9" s="1"/>
  <c r="D12" i="8"/>
  <c r="D17" i="8" s="1"/>
  <c r="D13" i="8"/>
  <c r="D14" i="8" s="1"/>
  <c r="D15" i="8"/>
  <c r="D74" i="9" l="1"/>
  <c r="H75" i="9" s="1"/>
  <c r="D67" i="9"/>
  <c r="D16" i="8"/>
  <c r="D18" i="8" s="1"/>
  <c r="C12" i="7" l="1"/>
  <c r="C14" i="7" s="1"/>
  <c r="C16" i="7" s="1"/>
  <c r="C20" i="7" s="1"/>
  <c r="D13" i="6"/>
  <c r="D15" i="6" s="1"/>
  <c r="D16" i="6" s="1"/>
  <c r="D17" i="6" s="1"/>
  <c r="D11" i="6"/>
  <c r="D14" i="3"/>
  <c r="D12" i="3"/>
  <c r="D11" i="3"/>
  <c r="D15" i="3" s="1"/>
  <c r="C19" i="3"/>
  <c r="C15" i="3"/>
  <c r="C18" i="3" s="1"/>
  <c r="C20" i="3" s="1"/>
  <c r="E12" i="3"/>
  <c r="E13" i="3"/>
  <c r="E14" i="3"/>
  <c r="C10" i="4"/>
  <c r="H27" i="3" l="1"/>
  <c r="C21" i="7"/>
  <c r="C22" i="7" s="1"/>
  <c r="C23" i="7"/>
  <c r="C25" i="7"/>
  <c r="C11" i="4"/>
  <c r="C12" i="4" s="1"/>
  <c r="D18" i="6"/>
  <c r="E11" i="3"/>
  <c r="E15" i="3" s="1"/>
  <c r="C30" i="3"/>
  <c r="C21" i="3"/>
  <c r="H21" i="3"/>
  <c r="C10" i="2"/>
  <c r="C8" i="2"/>
  <c r="C9" i="2" s="1"/>
  <c r="C11" i="2" s="1"/>
  <c r="C12" i="2" s="1"/>
  <c r="C13" i="2" s="1"/>
  <c r="C24" i="7" l="1"/>
  <c r="C26" i="7" s="1"/>
  <c r="C29" i="7" s="1"/>
  <c r="H22" i="3"/>
  <c r="H23" i="3" s="1"/>
  <c r="C28" i="3" s="1"/>
  <c r="C23" i="3"/>
  <c r="C27" i="3" s="1"/>
  <c r="C14" i="2"/>
  <c r="C30" i="7" l="1"/>
  <c r="C31" i="7" s="1"/>
  <c r="C29" i="3"/>
  <c r="C31" i="3" s="1"/>
  <c r="C32" i="3" l="1"/>
  <c r="C33" i="3" s="1"/>
  <c r="H28" i="3" s="1"/>
  <c r="H2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45" authorId="0" shapeId="0" xr:uid="{E7AAC7F2-DB81-4829-ACC7-C470DD5A490F}">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26" authorId="0" shapeId="0" xr:uid="{E6BA52ED-4E34-4C9B-9F9C-ED6A6E485282}">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C8" authorId="0" shapeId="0" xr:uid="{757BE403-4806-419D-A0C3-4AC55E18980C}">
      <text>
        <r>
          <rPr>
            <b/>
            <sz val="9"/>
            <color indexed="81"/>
            <rFont val="Tahoma"/>
            <family val="2"/>
          </rPr>
          <t>Artículo 96 quinto párrafo LISRTratándose de honorarios a miembros de consejos directivos, de vigilancia, consultivos o de cualquier otra índole, así como de los honorarios a administradores, comisarios y gerentes generales, la retención y entero a que se refiere este artículo, no podrá ser inferior la cantidad que resulte de aplicar la tasa máxima para aplicarse sobre el excedente del límite inferior que establece la tarifa contenida en el artículo 152 de esta Ley, sobre su monto, salvo que exista, además, relación de trabajo con el retenedor, en cuyo caso, se procederá en los términos del párrafo segundo de este artículo.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59" authorId="0" shapeId="0" xr:uid="{1B19316B-46AE-4767-8A32-B036B692CC7F}">
      <text>
        <r>
          <rPr>
            <b/>
            <sz val="9"/>
            <color indexed="81"/>
            <rFont val="Tahoma"/>
            <family val="2"/>
          </rPr>
          <t>Modificación decreto (D.O.F.) 31/12/2024 edición vespertina)
Transitorio
SEGUNDO. Para los efectos del Artículo Segundo, párrafos primero, tercero, cuarto y quinto del presente decreto, para calcular el Subsidio para el Empleo correspondiente al mes de enero de 2025, el valor mensual de la Unidad de Medida y Actualización se deberá multiplicar por 14.39%, en sustitución del porcentaje de 13.8%.</t>
        </r>
      </text>
    </comment>
  </commentList>
</comments>
</file>

<file path=xl/sharedStrings.xml><?xml version="1.0" encoding="utf-8"?>
<sst xmlns="http://schemas.openxmlformats.org/spreadsheetml/2006/main" count="441" uniqueCount="263">
  <si>
    <t>Base gravable mensual</t>
  </si>
  <si>
    <t>No. de días efectivamente trabajados en el mes</t>
  </si>
  <si>
    <t>Salario percibido de los días trabajados en el mes</t>
  </si>
  <si>
    <t>Límite inferior</t>
  </si>
  <si>
    <t>Límite superior</t>
  </si>
  <si>
    <t>Cuota fija</t>
  </si>
  <si>
    <t>Por ciento para aplicarse sobre el excedente del límite inferior</t>
  </si>
  <si>
    <t>$</t>
  </si>
  <si>
    <t>%</t>
  </si>
  <si>
    <t>En adelante</t>
  </si>
  <si>
    <t>I. Tarifa aplicable en función de la cantidad de trabajo realizado y no de días laborados, correspondiente a 2026, calculada en días a que se refieren los artículos 96 de la Ley del ISR y 175 de su Reglamento, así como la regla 3.12.2.</t>
  </si>
  <si>
    <t>Anexo 8 RMF</t>
  </si>
  <si>
    <t>(=) Base para cálculo</t>
  </si>
  <si>
    <t>ISR díario</t>
  </si>
  <si>
    <t>(=) ISR a retener</t>
  </si>
  <si>
    <t>(x) No. de días efectivamente trabajados en el mes</t>
  </si>
  <si>
    <t>Valor de la UMA</t>
  </si>
  <si>
    <t>Enero</t>
  </si>
  <si>
    <t>Febrero en adelante</t>
  </si>
  <si>
    <t>Valor de la UMA mensual enero</t>
  </si>
  <si>
    <t>Valor de la UMA mensual posterior</t>
  </si>
  <si>
    <t>Total base ISR para subsidio</t>
  </si>
  <si>
    <t>% del subsidio al empleo</t>
  </si>
  <si>
    <t>% Subsidio al empleo Enero</t>
  </si>
  <si>
    <t>(=) ISR causado</t>
  </si>
  <si>
    <t>(-) Subsidio al empleo</t>
  </si>
  <si>
    <t>Fecha de cálculo</t>
  </si>
  <si>
    <t>Determinación del ISR por aguinaldo, PTU, prima vacacional y prima dominical</t>
  </si>
  <si>
    <t>Gravado</t>
  </si>
  <si>
    <t>Exento</t>
  </si>
  <si>
    <t>Total</t>
  </si>
  <si>
    <t>Aguinaldo</t>
  </si>
  <si>
    <t>PTU</t>
  </si>
  <si>
    <t>Prima dominical</t>
  </si>
  <si>
    <t>Prima vacacional</t>
  </si>
  <si>
    <t>Salario mensual ordinario</t>
  </si>
  <si>
    <t>(+) Salario mensual ordinario</t>
  </si>
  <si>
    <t>(=) Resultado fracción II artículo 174 RLISR</t>
  </si>
  <si>
    <t>5. Tarifa aplicable durante 2026 para el cálculo de los pagos provisionales mensuales a que se refieren los artículos 96 de la Ley del ISR y 175 de su Reglamento, así como la regla 3.12.2.</t>
  </si>
  <si>
    <t>ISR causado salario mensual ordinario</t>
  </si>
  <si>
    <t>ISR causado</t>
  </si>
  <si>
    <t>(=) Ingreso base para ISR</t>
  </si>
  <si>
    <t>Determinación de la tasa de ISR</t>
  </si>
  <si>
    <t>(=) ISR fracción II artículo 174 RLISR</t>
  </si>
  <si>
    <t>(=) ISR fracción III artículo 174 RLISR</t>
  </si>
  <si>
    <t>(-) ISR fracción III artículo 174 RLISR</t>
  </si>
  <si>
    <t>ISR fracción II artículo 174 RLISR</t>
  </si>
  <si>
    <t>(=) Cociente</t>
  </si>
  <si>
    <t>(=) Diferencia</t>
  </si>
  <si>
    <t>(/) Base gravable mensual</t>
  </si>
  <si>
    <t xml:space="preserve">(x) </t>
  </si>
  <si>
    <t>(=) Tasa de ISR</t>
  </si>
  <si>
    <t>Total gravado de aguinaldo, PTU, prima dominical y vacacional</t>
  </si>
  <si>
    <t>(x) Tasa de ISR</t>
  </si>
  <si>
    <t>II. Tarifa aplicable cuando hagan pagos que correspondan a un periodo de 7 días, correspondiente a 2026 a que se refieren los artículos 96 de la Ley del ISR y 175 de su Reglamento, así como la regla 3.12.2.</t>
  </si>
  <si>
    <t>III. Tarifa aplicable cuando hagan pagos que correspondan a un periodo de 10 días, correspondiente a 2026 a que se refieren los artículos 96 de la Ley del ISR y 175 de su Reglamento, así como la regla 3.12.2.</t>
  </si>
  <si>
    <t>IV. Tarifa aplicable cuando hagan pagos que correspondan a un periodo de 15 días, correspondiente a 2026 a que se refieren los artículos 96 de la Ley del ISR y 175 de su Reglamento, así como la regla 3.12.2.</t>
  </si>
  <si>
    <r>
      <rPr>
        <b/>
        <sz val="11"/>
        <color theme="1"/>
        <rFont val="Aptos Narrow"/>
        <family val="2"/>
        <scheme val="minor"/>
      </rPr>
      <t xml:space="preserve">Artículo 176 RLISR. </t>
    </r>
    <r>
      <rPr>
        <sz val="11"/>
        <color theme="1"/>
        <rFont val="Aptos Narrow"/>
        <family val="2"/>
        <scheme val="minor"/>
      </rPr>
      <t>Las personas obligadas a efectuar retenciones en términos del artículo 96 de la Ley, cuando hagan pagos que comprendan un periodo de siete, diez o quince días, podrán optar por efectuar la retención de acuerdo con lo establecido en dicho artículo, o bien, aplicando a la totalidad de los ingresos percibidos en el periodo de que se trate, la tarifa del artículo mencionado, calculada en semanas, decenas o quincenas, según corresponda, que para tal efecto publique en el Diario Oficial de la Federación el SAT.</t>
    </r>
  </si>
  <si>
    <t>Opción para pagos semanales, decenales y quincenales</t>
  </si>
  <si>
    <t>Periodicidad de pago</t>
  </si>
  <si>
    <t>Semanal</t>
  </si>
  <si>
    <t>Ingreso del periodo</t>
  </si>
  <si>
    <t>Concepto</t>
  </si>
  <si>
    <t>Importe</t>
  </si>
  <si>
    <t>Sueldo mensual</t>
  </si>
  <si>
    <t>Sueldo anual</t>
  </si>
  <si>
    <t>Ingreso anual estimado</t>
  </si>
  <si>
    <t>(+) Otras prestaciones anuales</t>
  </si>
  <si>
    <r>
      <rPr>
        <b/>
        <sz val="11"/>
        <color theme="1"/>
        <rFont val="Aptos Narrow"/>
        <family val="2"/>
        <scheme val="minor"/>
      </rPr>
      <t>Artículo 177 RLISR</t>
    </r>
    <r>
      <rPr>
        <sz val="11"/>
        <color theme="1"/>
        <rFont val="Aptos Narrow"/>
        <family val="2"/>
        <scheme val="minor"/>
      </rPr>
      <t>. Las personas obligadas a efectuar retenciones en términos del artículo 96 de la Ley, podrán optar por efectuar mensualmente la retención que resulte de acuerdo con dicho artículo debiendo expedir el comprobante fiscal respectivo o conforme al procedimiento siguiente:
I. Antes de realizar el primer pago por los conceptos a que se refiere el artículo 94 de la Ley, correspondiente al año de calendario por el que se calculen las retenciones en términos de este artículo, determinarán el monto total de las cantidades que pagarán al trabajador por la prestación de un servicio personal subordinado en dicho año, y</t>
    </r>
  </si>
  <si>
    <t>V. Tarifa aplicable durante 2026 para el cálculo de los pagos provisionales mensuales a que se refieren los artículos 96 de la Ley del ISR y 175 de su Reglamento, así como la regla 3.12.2.</t>
  </si>
  <si>
    <t>(/) Meses del año calendario</t>
  </si>
  <si>
    <t>II. El monto que se obtenga conforme a la fracción anterior se dividirá entre doce y a la cantidad así determinada se le aplicará el procedimiento establecido en el artículo 96 de la Ley. El resultado obtenido será el Impuesto a retener.</t>
  </si>
  <si>
    <t>(=) Monto mensual</t>
  </si>
  <si>
    <r>
      <rPr>
        <b/>
        <sz val="11"/>
        <color theme="1"/>
        <rFont val="Aptos Narrow"/>
        <family val="2"/>
        <scheme val="minor"/>
      </rPr>
      <t xml:space="preserve">Artículo 96 LISR. </t>
    </r>
    <r>
      <rPr>
        <sz val="11"/>
        <color theme="1"/>
        <rFont val="Aptos Narrow"/>
        <family val="2"/>
        <scheme val="minor"/>
      </rPr>
      <t xml:space="preserve">Quienes hagan pagos por los conceptos a que se refiere este Capítulo están obligados a efectuar retenciones y enteros mensuales que tendrán el carácter de pagos provisionales a cuenta del impuesto anual. No se efectuará retención a las personas que en el mes únicamente perciban un salario mínimo general correspondiente al área geográfica del contribuyente.
La retención se calculará aplicando a la totalidad de los ingresos obtenidos en un mes de calendario, la siguiente: </t>
    </r>
  </si>
  <si>
    <t>Días de pago</t>
  </si>
  <si>
    <r>
      <rPr>
        <b/>
        <sz val="11"/>
        <color theme="1"/>
        <rFont val="Aptos Narrow"/>
        <family val="2"/>
        <scheme val="minor"/>
      </rPr>
      <t>1. Mensualización de la Base</t>
    </r>
    <r>
      <rPr>
        <sz val="11"/>
        <color theme="1"/>
        <rFont val="Aptos Narrow"/>
        <family val="2"/>
        <scheme val="minor"/>
      </rPr>
      <t xml:space="preserve">
Para aplicar la tarifa del Artículo 96 (que es mensual), primero convertimos el ingreso de la periodicidad de pago a mensul.</t>
    </r>
  </si>
  <si>
    <t>Salario diario</t>
  </si>
  <si>
    <t>Salario del periodo</t>
  </si>
  <si>
    <t>(/) Días del periodo</t>
  </si>
  <si>
    <t>(=) Base mensual proyectada</t>
  </si>
  <si>
    <t>(x) (365/12)</t>
  </si>
  <si>
    <t>(=) Base de ISR mensual</t>
  </si>
  <si>
    <r>
      <rPr>
        <b/>
        <sz val="11"/>
        <color theme="1"/>
        <rFont val="Aptos Narrow"/>
        <family val="2"/>
        <scheme val="minor"/>
      </rPr>
      <t>2.- Aplicación de la tarifa del artículo 96 LISR</t>
    </r>
    <r>
      <rPr>
        <sz val="11"/>
        <color theme="1"/>
        <rFont val="Aptos Narrow"/>
        <family val="2"/>
        <scheme val="minor"/>
      </rPr>
      <t xml:space="preserve">
Se aplica la tarifa mensual para determinar el ISR mensual proyectado</t>
    </r>
  </si>
  <si>
    <t>Base de ISR mensual</t>
  </si>
  <si>
    <t>(-) Límite inferior</t>
  </si>
  <si>
    <t>(=) Impuesto marginal</t>
  </si>
  <si>
    <t>(=) Excedente límite inferior</t>
  </si>
  <si>
    <t>(x) Porcentaje excedente límite inferior</t>
  </si>
  <si>
    <t>(+) Cuota fija</t>
  </si>
  <si>
    <t>(=) ISR mensual proyectado</t>
  </si>
  <si>
    <t>(/)  30.4</t>
  </si>
  <si>
    <t>(x) Días del periodo de pago</t>
  </si>
  <si>
    <t>(=) ISR causado semanal</t>
  </si>
  <si>
    <t>(-) Subsidio al empleo causado del periodo</t>
  </si>
  <si>
    <t>Determinación del ISR de acuerdo al artículo 96 LISR</t>
  </si>
  <si>
    <r>
      <rPr>
        <b/>
        <sz val="11"/>
        <color theme="1"/>
        <rFont val="Aptos Narrow"/>
        <family val="2"/>
        <scheme val="minor"/>
      </rPr>
      <t>Artículo 96 tercer párrafo LISR</t>
    </r>
    <r>
      <rPr>
        <sz val="11"/>
        <color theme="1"/>
        <rFont val="Aptos Narrow"/>
        <family val="2"/>
        <scheme val="minor"/>
      </rPr>
      <t xml:space="preserve">
Quienes hagan pagos por concepto de gratificación anual, participación de utilidades, primas dominicales y primas vacacionales, podrán efectuar la retención del impuesto de conformidad con los requisitos que establezca el Reglamento de esta Ley; en las disposiciones de dicho Reglamento se preverá que la retención se pueda hacer sobre los demás ingresos obtenidos durante el año de calendario.</t>
    </r>
  </si>
  <si>
    <r>
      <rPr>
        <b/>
        <sz val="11"/>
        <color theme="1"/>
        <rFont val="Aptos Narrow"/>
        <family val="2"/>
        <scheme val="minor"/>
      </rPr>
      <t>Artículo 174 RLISR.</t>
    </r>
    <r>
      <rPr>
        <sz val="11"/>
        <color theme="1"/>
        <rFont val="Aptos Narrow"/>
        <family val="2"/>
        <scheme val="minor"/>
      </rPr>
      <t xml:space="preserve"> Tratándose de las remuneraciones por concepto de gratificación anual, participación de utilidades, primas dominicales y vacacionales a que se refiere el artículo 96 de la Ley, la persona que haga dichos pagos podrá optar por retener el Impuesto que corresponda conforme a lo siguiente:</t>
    </r>
  </si>
  <si>
    <t>I. La remuneración de que se trate se dividirá entre 365 y el resultado se multiplicará por 30.4;
III.	El Impuesto que se obtenga conforme a la fracción anterior se disminuirá con el Impuesto que correspondería al ingreso ordinario por la prestación de un servicio personal subordinado a que se refiere dicha fracción, calculando este último sin considerar las demás remuneraciones mencionadas en este artículo;</t>
  </si>
  <si>
    <t>IV. El Impuesto a retener será el que resulte de aplicar a las remuneraciones a que se refiere este artículo, sin deducción alguna, la tasa a que se refiere la fracción siguiente, y
V. La tasa a que se refiere la fracción anterior, se calculará dividiendo el Impuesto que se determine en términos de la fracción III de este artículo entre la cantidad que resulte conforme a la fracción I de dicho artículo. El cociente se multiplicará por cien y el producto se expresará en por ciento.</t>
  </si>
  <si>
    <r>
      <rPr>
        <b/>
        <sz val="11"/>
        <color theme="1"/>
        <rFont val="Aptos Narrow"/>
        <family val="2"/>
        <scheme val="minor"/>
      </rPr>
      <t>Artículo 175 RLISR.</t>
    </r>
    <r>
      <rPr>
        <sz val="11"/>
        <color theme="1"/>
        <rFont val="Aptos Narrow"/>
        <family val="2"/>
        <scheme val="minor"/>
      </rPr>
      <t xml:space="preserve"> Las personas obligadas a efectuar retenciones en términos del artículo 96 de la Ley, cuando paguen en función de cantidad de trabajo realizado y no de días laborados, podrán optar por efectuar la retención de acuerdo con lo establecido en dicho artículo o de acuerdo con el siguiente procedimiento:
I.	Considerarán el número de días efectivamente trabajados para realizar el trabajo determinado;
II.	Dividirán el monto del salario entre el número de días a que se refiere la fracción anterior y al resultado se le aplicará la tarifa del artículo 96 de la Ley calculada en días, que para tal efecto publique en el Diario Oficial de la Federación el SAT, y
III.	La cantidad que resulte conforme a la fracción anterior se multiplicará por el número de días determinados de acuerdo a la fracción I de este artículo y el producto será el Impuesto a retener.</t>
    </r>
  </si>
  <si>
    <t>ISR proyectado anualmente</t>
  </si>
  <si>
    <t>Retención de ISR asimilados a salarios</t>
  </si>
  <si>
    <t>c_TipoRegimen</t>
  </si>
  <si>
    <t>Descripción</t>
  </si>
  <si>
    <t>Asimilados Miembros Sociedades Cooperativas Produccion</t>
  </si>
  <si>
    <t>Asimilados Integrantes Sociedades Asociaciones Civiles</t>
  </si>
  <si>
    <t>Asimilados Miembros consejos</t>
  </si>
  <si>
    <t>¿Tiene relación laboral?</t>
  </si>
  <si>
    <t>Asimilados comisionistas</t>
  </si>
  <si>
    <t>Asimilados Honorarios</t>
  </si>
  <si>
    <t>Asimilados acciones</t>
  </si>
  <si>
    <t>(x) % Excedente límite inferior</t>
  </si>
  <si>
    <t>(=) ISR A RETENER</t>
  </si>
  <si>
    <t>Descripción / Alcance</t>
  </si>
  <si>
    <t>Ejemplos o Casos incluidos</t>
  </si>
  <si>
    <t>Fundamento legal (LISR)</t>
  </si>
  <si>
    <t>Sujeto</t>
  </si>
  <si>
    <t>Personas físicas que obtienen ingresos por salarios o asimilados a salarios.</t>
  </si>
  <si>
    <t>Trabajadores, funcionarios públicos, socios cooperativistas, consejeros, prestadores de servicios preponderantes, etc.</t>
  </si>
  <si>
    <t>Art. 94, primer párrafo</t>
  </si>
  <si>
    <t>Objeto</t>
  </si>
  <si>
    <t>Ingresos derivados de una relación laboral o asimilados a salarios.</t>
  </si>
  <si>
    <t>Salarios, prestaciones, PTU, liquidaciones, honorarios asimilados.</t>
  </si>
  <si>
    <t>Art. 94</t>
  </si>
  <si>
    <t>Se asimilan a salarios</t>
  </si>
  <si>
    <t>I. Funcionarios y trabajadores públicos</t>
  </si>
  <si>
    <t>Se incluyen las remuneraciones, prestaciones y gastos no comprobables obtenidos por funcionarios o trabajadores de los tres niveles de gobierno y fuerzas armadas.</t>
  </si>
  <si>
    <t>Sueldos de funcionarios, compensaciones, viáticos no comprobados.</t>
  </si>
  <si>
    <t>Fracc. I</t>
  </si>
  <si>
    <t>II. Sociedades cooperativas o civiles</t>
  </si>
  <si>
    <t>Rendimientos y anticipos obtenidos por miembros de sociedades cooperativas o asociaciones civiles.</t>
  </si>
  <si>
    <t>Anticipos de socios cooperativistas.</t>
  </si>
  <si>
    <t>Fracc. II</t>
  </si>
  <si>
    <t>III. Consejos y administración</t>
  </si>
  <si>
    <t>Honorarios a miembros de consejos, administradores, comisarios o gerentes generales.</t>
  </si>
  <si>
    <t>Consejeros independientes o gerentes externos.</t>
  </si>
  <si>
    <t>Fracc. III</t>
  </si>
  <si>
    <t>IV. Servicios preponderantes a un prestatario</t>
  </si>
  <si>
    <t>Honorarios prestados predominantemente a un solo cliente (&gt;50% de ingresos del año anterior).</t>
  </si>
  <si>
    <t>Consultores, técnicos o profesionistas que laboran principalmente para una empresa.</t>
  </si>
  <si>
    <t>Fracc. IV</t>
  </si>
  <si>
    <t>V. Honorarios asimilados por opción</t>
  </si>
  <si>
    <t>Personas físicas que reciben honorarios de personas morales o físicas con actividades empresariales y optan por tributar en este capítulo.</t>
  </si>
  <si>
    <t>Profesionistas que prefieren retención en lugar de pagos provisionales.</t>
  </si>
  <si>
    <t>Fracc. V</t>
  </si>
  <si>
    <t>VI. Actividades empresariales asimiladas</t>
  </si>
  <si>
    <t>Personas físicas con actividades empresariales que optan por tributar como asimilados.</t>
  </si>
  <si>
    <t>Comerciantes o prestadores de servicios que eligen régimen asimilado.</t>
  </si>
  <si>
    <t>Fracc. VI</t>
  </si>
  <si>
    <t>VII. Opciones sobre acciones</t>
  </si>
  <si>
    <t>Ingresos por ejercer opciones para adquirir acciones a precio menor o igual al de mercado.</t>
  </si>
  <si>
    <t>Empleados con planes de acciones o stock options.</t>
  </si>
  <si>
    <t>Fracc. VII</t>
  </si>
  <si>
    <t>Asignación de automóviles a funcionarios</t>
  </si>
  <si>
    <t>Cuando no cumplen requisitos del art. 36 fr. II, se consideran ingresos en servicios.</t>
  </si>
  <si>
    <t>Uso personal de automóviles oficiales.</t>
  </si>
  <si>
    <t>Párrafo posterior a fracc. VII</t>
  </si>
  <si>
    <t>Cálculo de ingresos por automóvil</t>
  </si>
  <si>
    <t>Se determina la doceava parte de la deducción no permitida y gastos de mantenimiento.</t>
  </si>
  <si>
    <t>Automóvil asignado sin control de uso.</t>
  </si>
  <si>
    <t>Idem</t>
  </si>
  <si>
    <t>Forma de pago del impuesto</t>
  </si>
  <si>
    <t>Retención a cargo de la persona moral o pagadora.</t>
  </si>
  <si>
    <t>El patrón o prestatario retiene y entera el ISR.</t>
  </si>
  <si>
    <t>Párrafo: “El pago del impuesto…”</t>
  </si>
  <si>
    <t>Ingreso en crédito</t>
  </si>
  <si>
    <t>Se acumulan hasta que se cobren efectivamente.</t>
  </si>
  <si>
    <t>Pagos diferidos o pendientes de cobro.</t>
  </si>
  <si>
    <t>Ingresos no considerados</t>
  </si>
  <si>
    <t>No se consideran ingresos: comedor, comida y uso de bienes necesarios para el trabajo.</t>
  </si>
  <si>
    <t>Comedor industrial, herramientas, equipo de seguridad.</t>
  </si>
  <si>
    <t>Límite de ingresos asimilados (75 millones)</t>
  </si>
  <si>
    <t>Si se excede ese monto, se tributa como actividades empresariales a partir del siguiente año.</t>
  </si>
  <si>
    <t>Asimilados con ingresos altos deben cambiar de régimen.</t>
  </si>
  <si>
    <t>Último párrafo</t>
  </si>
  <si>
    <t>Obligación adicional</t>
  </si>
  <si>
    <t>Comunicar por escrito al pagador si se excede el monto y SAT podrá actualizar régimen fiscal.</t>
  </si>
  <si>
    <t>SAT puede reclasificar al contribuyente.</t>
  </si>
  <si>
    <t>Idem final</t>
  </si>
  <si>
    <t>No</t>
  </si>
  <si>
    <t>Capture información en las celdas de color verde</t>
  </si>
  <si>
    <t>c_TipoPercepcion</t>
  </si>
  <si>
    <t>Tipo de régimen</t>
  </si>
  <si>
    <t>¿Previsión social?</t>
  </si>
  <si>
    <t>¿Con límite?</t>
  </si>
  <si>
    <t>Sueldos, Salarios  Rayas y Jornales</t>
  </si>
  <si>
    <t>No aplica</t>
  </si>
  <si>
    <t>Gratificación Anual (Aguinaldo)</t>
  </si>
  <si>
    <t>Participación de los Trabajadores en las Utilidades PTU</t>
  </si>
  <si>
    <t>Reembolso de Gastos Médicos Dentales y Hospitalarios</t>
  </si>
  <si>
    <t>Sí</t>
  </si>
  <si>
    <t>Fondo de Ahorro</t>
  </si>
  <si>
    <t>Caja de ahorro</t>
  </si>
  <si>
    <t>Contribuciones a Cargo del Trabajador Pagadas por el Patrón</t>
  </si>
  <si>
    <t>Premios por puntualidad</t>
  </si>
  <si>
    <t>Prima de Seguro de vida</t>
  </si>
  <si>
    <t>Seguro de Gastos Médicos Mayores</t>
  </si>
  <si>
    <t>Cuotas Sindicales Pagadas por el Patrón</t>
  </si>
  <si>
    <t>Subsidios por incapacidad</t>
  </si>
  <si>
    <t>Becas para trabajadores y/o hijos</t>
  </si>
  <si>
    <t>Horas extra</t>
  </si>
  <si>
    <t>Seguro de retiro</t>
  </si>
  <si>
    <t>Reembolso por funeral</t>
  </si>
  <si>
    <t>Cuotas de seguridad social pagadas por el patrón</t>
  </si>
  <si>
    <t>Comisiones</t>
  </si>
  <si>
    <t>Vales de despensa</t>
  </si>
  <si>
    <t>Vales de restaurante</t>
  </si>
  <si>
    <t>Vales de gasolina</t>
  </si>
  <si>
    <t>Vales de ropa</t>
  </si>
  <si>
    <t>Ayuda para renta</t>
  </si>
  <si>
    <t>Ayuda para artículos escolares</t>
  </si>
  <si>
    <t>Ayuda para anteojos</t>
  </si>
  <si>
    <t>Ayuda para transporte</t>
  </si>
  <si>
    <t>Ayuda para gastos de funeral</t>
  </si>
  <si>
    <t>Otros ingresos por salarios</t>
  </si>
  <si>
    <t> 047</t>
  </si>
  <si>
    <r>
      <t xml:space="preserve">Alimentación </t>
    </r>
    <r>
      <rPr>
        <sz val="11"/>
        <color indexed="8"/>
        <rFont val="Arial"/>
        <family val="2"/>
      </rPr>
      <t>diferentes a los establecidos en el Art 94 último párrafo LISR</t>
    </r>
  </si>
  <si>
    <t>Habitación</t>
  </si>
  <si>
    <t>Premios por asistencia</t>
  </si>
  <si>
    <t>Viáticos</t>
  </si>
  <si>
    <t>Totales</t>
  </si>
  <si>
    <r>
      <t xml:space="preserve">La exención aplicable a los ingresos obtenidos por concepto de prestaciones de previsión social se limitará cuando la suma de los ingresos por la prestación de servicios personales subordinados o aquellos que reciban, por parte de las sociedades cooperativas, los socios o miembros de las mismas y el monto de la exención exceda de una cantidad equivalente a siete veces el salario mínimo general del área geográfica del contribuyente, elevado al año; cuando dicha suma exceda de la cantidad citada, solamente se considerará como ingreso no sujeto al pago del impuesto un monto hasta de un salario mínimo general del área geográfica del contribuyente, elevado al año. Esta limitación en ningún caso deberá dar como resultado que la suma de los ingresos por la prestación de servicios personales subordinados o aquellos que reciban, por parte de las sociedades cooperativas, los socios o miembros de las mismas y el importe de la exención, sea inferior a siete veces el salario mínimo general del área geográfica del contribuyente, elevado al año
</t>
    </r>
    <r>
      <rPr>
        <b/>
        <sz val="11"/>
        <color theme="1"/>
        <rFont val="Aptos Narrow"/>
        <family val="2"/>
        <scheme val="minor"/>
      </rPr>
      <t>Fundamento</t>
    </r>
    <r>
      <rPr>
        <sz val="11"/>
        <color theme="1"/>
        <rFont val="Aptos Narrow"/>
        <family val="2"/>
        <scheme val="minor"/>
      </rPr>
      <t>: Artículo 93 sexto párrafo LISR</t>
    </r>
  </si>
  <si>
    <t>7 UMAS elevadas al año</t>
  </si>
  <si>
    <t>①</t>
  </si>
  <si>
    <t>1 UMA elevada al año</t>
  </si>
  <si>
    <t>③</t>
  </si>
  <si>
    <r>
      <t xml:space="preserve">Se consideran ingresos por la prestación de un servicio personal subordinado, los salarios y demás prestaciones que deriven de una relación laboral, incluyendo la participación de los trabajadores en las utilidades de las empresas y las prestaciones percibidas como consecuencia de la terminación de la relación laboral.
</t>
    </r>
    <r>
      <rPr>
        <b/>
        <sz val="11"/>
        <color theme="1"/>
        <rFont val="Aptos Narrow"/>
        <family val="2"/>
        <scheme val="minor"/>
      </rPr>
      <t>Fundamento</t>
    </r>
    <r>
      <rPr>
        <sz val="11"/>
        <color theme="1"/>
        <rFont val="Aptos Narrow"/>
        <family val="2"/>
        <scheme val="minor"/>
      </rPr>
      <t>: Artículo 94 primer párrafo LISR</t>
    </r>
  </si>
  <si>
    <t>Ingresos por salarios</t>
  </si>
  <si>
    <t>(+) Previsión social con límite</t>
  </si>
  <si>
    <t>(=) Resultado I</t>
  </si>
  <si>
    <t>②</t>
  </si>
  <si>
    <t>Comprar contra 7 UMAS elevadas al año</t>
  </si>
  <si>
    <t>Sí ②&gt;① entonces el límite de la exención es de 1 uma elevada al año</t>
  </si>
  <si>
    <t>Comprar los ingresos por salarios + el tope máximo de previsión social cuando la previsión social con límite es &gt;= tope máximo</t>
  </si>
  <si>
    <t>(+) Tope máximo de exención</t>
  </si>
  <si>
    <t>(=) Resultado II</t>
  </si>
  <si>
    <t>④</t>
  </si>
  <si>
    <t>El resultado ④ no puede ser inferior a ①</t>
  </si>
  <si>
    <t>Previsión social sin límite exenta</t>
  </si>
  <si>
    <t>(+) Previsión social gravada</t>
  </si>
  <si>
    <t>(+) Previsión social exenta con límite</t>
  </si>
  <si>
    <t>(=) Total de previsión social</t>
  </si>
  <si>
    <t>Tipo de nómina</t>
  </si>
  <si>
    <t>O = Ordinaria</t>
  </si>
  <si>
    <t>Nómina semana 49</t>
  </si>
  <si>
    <t>Seguridad social</t>
  </si>
  <si>
    <t>ISR</t>
  </si>
  <si>
    <t>Ajuste en Vales de restaurante Exento</t>
  </si>
  <si>
    <t xml:space="preserve"> c_TipoOtroPago</t>
  </si>
  <si>
    <t>Subsidio para el empleo (efectivamente entregado al trabajador).</t>
  </si>
  <si>
    <t>Subsidio al empleo causado</t>
  </si>
  <si>
    <t>Días de descanso laborados</t>
  </si>
  <si>
    <t>Días de descanso obligatorios laborados</t>
  </si>
  <si>
    <t>Previsión social, Art 93 fracciones VIII y IX LISR</t>
  </si>
  <si>
    <t>Nombre de la hoja</t>
  </si>
  <si>
    <t>Determinación del ISR por aguinaldo, ptu y primas</t>
  </si>
  <si>
    <t>Determinación del ISR artículo 175 RLISR por función de trabajo</t>
  </si>
  <si>
    <t>Determinación del ISR por asimilados a salarios</t>
  </si>
  <si>
    <t>ASIMILADOS</t>
  </si>
  <si>
    <t>Determinación del tope de previsión social</t>
  </si>
  <si>
    <t>PREVISION</t>
  </si>
  <si>
    <t>Tarifas de ISR salarios</t>
  </si>
  <si>
    <t>TARIFAS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</si>
</sst>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8" formatCode="&quot;$&quot;#,##0.00;[Red]\-&quot;$&quot;#,##0.00"/>
    <numFmt numFmtId="164" formatCode="00"/>
    <numFmt numFmtId="165" formatCode="000"/>
  </numFmts>
  <fonts count="28"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9"/>
      <color theme="1"/>
      <name val="Arial"/>
      <family val="2"/>
    </font>
    <font>
      <sz val="8"/>
      <color rgb="FF000000"/>
      <name val="Arial"/>
      <family val="2"/>
    </font>
    <font>
      <sz val="8"/>
      <color theme="1"/>
      <name val="Arial"/>
      <family val="2"/>
    </font>
    <font>
      <b/>
      <sz val="9"/>
      <color indexed="81"/>
      <name val="Tahoma"/>
      <family val="2"/>
    </font>
    <font>
      <sz val="11"/>
      <color rgb="FF000000"/>
      <name val="Aptos Narrow"/>
      <family val="2"/>
      <scheme val="minor"/>
    </font>
    <font>
      <sz val="11"/>
      <color rgb="FFFF0000"/>
      <name val="Aptos Narrow"/>
      <family val="2"/>
      <scheme val="minor"/>
    </font>
    <font>
      <sz val="11"/>
      <color theme="0"/>
      <name val="Aptos Narrow"/>
      <family val="2"/>
      <scheme val="minor"/>
    </font>
    <font>
      <b/>
      <sz val="11"/>
      <color theme="1"/>
      <name val="Arial"/>
      <family val="2"/>
    </font>
    <font>
      <sz val="11"/>
      <color theme="1"/>
      <name val="Arial"/>
      <family val="2"/>
    </font>
    <font>
      <b/>
      <sz val="11"/>
      <color rgb="FFC00000"/>
      <name val="Aptos Narrow"/>
      <family val="2"/>
      <scheme val="minor"/>
    </font>
    <font>
      <sz val="12"/>
      <color theme="1"/>
      <name val="Aptos Narrow"/>
      <family val="2"/>
      <scheme val="minor"/>
    </font>
    <font>
      <sz val="12"/>
      <color rgb="FFFFFF00"/>
      <name val="Aptos Narrow"/>
      <family val="2"/>
      <scheme val="minor"/>
    </font>
    <font>
      <b/>
      <sz val="12"/>
      <color theme="1"/>
      <name val="Aptos Narrow"/>
      <family val="2"/>
      <scheme val="minor"/>
    </font>
    <font>
      <b/>
      <sz val="11"/>
      <color rgb="FFFFFF00"/>
      <name val="Aptos Narrow"/>
      <family val="2"/>
      <scheme val="minor"/>
    </font>
    <font>
      <sz val="11"/>
      <color indexed="8"/>
      <name val="Arial"/>
      <family val="2"/>
    </font>
    <font>
      <sz val="11"/>
      <color theme="1"/>
      <name val="Calibri"/>
      <family val="2"/>
    </font>
    <font>
      <b/>
      <sz val="11"/>
      <color rgb="FF0033CC"/>
      <name val="Aptos Narrow"/>
      <family val="2"/>
      <scheme val="minor"/>
    </font>
    <font>
      <b/>
      <sz val="11"/>
      <color rgb="FF0033CC"/>
      <name val="Arial"/>
      <family val="2"/>
    </font>
    <font>
      <b/>
      <sz val="11"/>
      <color theme="5" tint="-0.499984740745262"/>
      <name val="Aptos Narrow"/>
      <family val="2"/>
      <scheme val="minor"/>
    </font>
    <font>
      <sz val="11"/>
      <name val="Arial"/>
      <family val="2"/>
    </font>
    <font>
      <u/>
      <sz val="11"/>
      <color theme="10"/>
      <name val="Aptos Narrow"/>
      <family val="2"/>
      <scheme val="minor"/>
    </font>
    <font>
      <sz val="14"/>
      <color theme="1"/>
      <name val="Aptos Narrow"/>
      <family val="2"/>
      <scheme val="minor"/>
    </font>
    <font>
      <b/>
      <u/>
      <sz val="14"/>
      <color rgb="FF0033CC"/>
      <name val="Aptos Narrow"/>
      <family val="2"/>
      <scheme val="minor"/>
    </font>
    <font>
      <b/>
      <sz val="16"/>
      <color rgb="FFFFFFCC"/>
      <name val="Aptos Narrow"/>
      <family val="2"/>
      <scheme val="minor"/>
    </font>
  </fonts>
  <fills count="18">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3" tint="9.9978637043366805E-2"/>
        <bgColor indexed="64"/>
      </patternFill>
    </fill>
    <fill>
      <patternFill patternType="solid">
        <fgColor rgb="FFFFFFCC"/>
        <bgColor indexed="64"/>
      </patternFill>
    </fill>
    <fill>
      <patternFill patternType="solid">
        <fgColor theme="5" tint="0.59999389629810485"/>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8" tint="-0.499984740745262"/>
        <bgColor indexed="64"/>
      </patternFill>
    </fill>
    <fill>
      <patternFill patternType="solid">
        <fgColor rgb="FFC00000"/>
        <bgColor indexed="64"/>
      </patternFill>
    </fill>
    <fill>
      <patternFill patternType="solid">
        <fgColor theme="0" tint="-0.499984740745262"/>
        <bgColor indexed="64"/>
      </patternFill>
    </fill>
    <fill>
      <patternFill patternType="solid">
        <fgColor theme="7" tint="-0.499984740745262"/>
        <bgColor indexed="64"/>
      </patternFill>
    </fill>
    <fill>
      <patternFill patternType="solid">
        <fgColor theme="6" tint="0.59999389629810485"/>
        <bgColor indexed="64"/>
      </patternFill>
    </fill>
    <fill>
      <patternFill patternType="solid">
        <fgColor theme="9" tint="-0.499984740745262"/>
        <bgColor indexed="64"/>
      </patternFill>
    </fill>
    <fill>
      <patternFill patternType="solid">
        <fgColor rgb="FF99FF66"/>
        <bgColor indexed="64"/>
      </patternFill>
    </fill>
    <fill>
      <patternFill patternType="solid">
        <fgColor theme="0" tint="-4.9989318521683403E-2"/>
        <bgColor indexed="64"/>
      </patternFill>
    </fill>
  </fills>
  <borders count="16">
    <border>
      <left/>
      <right/>
      <top/>
      <bottom/>
      <diagonal/>
    </border>
    <border>
      <left/>
      <right/>
      <top style="double">
        <color rgb="FF000000"/>
      </top>
      <bottom/>
      <diagonal/>
    </border>
    <border>
      <left/>
      <right/>
      <top/>
      <bottom style="double">
        <color rgb="FF000000"/>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24" fillId="0" borderId="0" applyNumberFormat="0" applyFill="0" applyBorder="0" applyAlignment="0" applyProtection="0"/>
  </cellStyleXfs>
  <cellXfs count="124">
    <xf numFmtId="0" fontId="0" fillId="0" borderId="0" xfId="0"/>
    <xf numFmtId="0" fontId="3" fillId="0" borderId="0" xfId="0" applyFont="1"/>
    <xf numFmtId="4" fontId="0" fillId="0" borderId="0" xfId="0" applyNumberFormat="1"/>
    <xf numFmtId="0" fontId="5" fillId="0" borderId="1" xfId="0" applyFont="1" applyBorder="1" applyAlignment="1">
      <alignment horizontal="center" vertical="center" wrapText="1"/>
    </xf>
    <xf numFmtId="0" fontId="3" fillId="0" borderId="0" xfId="0" applyFont="1" applyAlignment="1">
      <alignment horizontal="center"/>
    </xf>
    <xf numFmtId="0" fontId="5" fillId="0" borderId="0" xfId="0" applyFont="1" applyAlignment="1">
      <alignment horizontal="center" vertical="center" wrapText="1"/>
    </xf>
    <xf numFmtId="4" fontId="6"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0" fontId="0" fillId="0" borderId="4" xfId="0" applyBorder="1"/>
    <xf numFmtId="4" fontId="0" fillId="0" borderId="4" xfId="0" applyNumberFormat="1" applyBorder="1"/>
    <xf numFmtId="10" fontId="0" fillId="0" borderId="4" xfId="1" applyNumberFormat="1" applyFont="1" applyBorder="1"/>
    <xf numFmtId="10" fontId="0" fillId="0" borderId="4" xfId="0" applyNumberFormat="1" applyBorder="1"/>
    <xf numFmtId="4" fontId="0" fillId="2" borderId="4" xfId="0" applyNumberFormat="1" applyFill="1" applyBorder="1"/>
    <xf numFmtId="0" fontId="0" fillId="2" borderId="4" xfId="0" applyFill="1" applyBorder="1"/>
    <xf numFmtId="4" fontId="3" fillId="0" borderId="0" xfId="0" applyNumberFormat="1" applyFont="1"/>
    <xf numFmtId="14" fontId="0" fillId="2" borderId="4" xfId="0" applyNumberFormat="1" applyFill="1" applyBorder="1"/>
    <xf numFmtId="4" fontId="3" fillId="0" borderId="0" xfId="0" quotePrefix="1" applyNumberFormat="1" applyFont="1"/>
    <xf numFmtId="0" fontId="3" fillId="3" borderId="4" xfId="0" applyFont="1" applyFill="1" applyBorder="1" applyAlignment="1">
      <alignment horizontal="center"/>
    </xf>
    <xf numFmtId="0" fontId="2" fillId="4" borderId="0" xfId="0" applyFont="1" applyFill="1" applyAlignment="1">
      <alignment horizontal="center"/>
    </xf>
    <xf numFmtId="0" fontId="3" fillId="0" borderId="0" xfId="0" applyFont="1" applyAlignment="1">
      <alignment horizontal="center" vertical="center" wrapText="1"/>
    </xf>
    <xf numFmtId="0" fontId="0" fillId="0" borderId="0" xfId="0" applyAlignment="1">
      <alignment vertical="center" wrapText="1"/>
    </xf>
    <xf numFmtId="6" fontId="3" fillId="0" borderId="0" xfId="0" applyNumberFormat="1" applyFont="1" applyAlignment="1">
      <alignment vertical="center" wrapText="1"/>
    </xf>
    <xf numFmtId="6" fontId="0" fillId="2" borderId="4" xfId="0" applyNumberFormat="1" applyFill="1" applyBorder="1" applyAlignment="1">
      <alignment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4" fontId="0" fillId="0" borderId="0" xfId="0" applyNumberFormat="1" applyAlignment="1">
      <alignment horizontal="center" vertical="center" wrapText="1"/>
    </xf>
    <xf numFmtId="4"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0" fillId="0" borderId="0" xfId="0" applyAlignment="1">
      <alignment horizontal="justify" vertical="center"/>
    </xf>
    <xf numFmtId="8" fontId="3" fillId="0" borderId="0" xfId="0" applyNumberFormat="1" applyFont="1" applyAlignment="1">
      <alignment vertical="center" wrapText="1"/>
    </xf>
    <xf numFmtId="8" fontId="0" fillId="0" borderId="0" xfId="0" applyNumberFormat="1" applyAlignment="1">
      <alignment vertical="center" wrapText="1"/>
    </xf>
    <xf numFmtId="0" fontId="0" fillId="0" borderId="4" xfId="0" applyBorder="1" applyAlignment="1">
      <alignment horizontal="justify" vertical="center" wrapText="1"/>
    </xf>
    <xf numFmtId="0" fontId="12" fillId="0" borderId="0" xfId="0" applyFont="1"/>
    <xf numFmtId="0" fontId="9" fillId="0" borderId="0" xfId="0" applyFont="1"/>
    <xf numFmtId="4" fontId="9" fillId="0" borderId="0" xfId="0" applyNumberFormat="1" applyFont="1"/>
    <xf numFmtId="0" fontId="13" fillId="0" borderId="0" xfId="0" applyFont="1"/>
    <xf numFmtId="0" fontId="14" fillId="9" borderId="5" xfId="0" applyFont="1" applyFill="1" applyBorder="1" applyAlignment="1">
      <alignment horizontal="center" vertical="center" wrapText="1"/>
    </xf>
    <xf numFmtId="0" fontId="14" fillId="9" borderId="6" xfId="0" applyFont="1" applyFill="1" applyBorder="1" applyAlignment="1">
      <alignment horizontal="center" vertical="center" wrapText="1"/>
    </xf>
    <xf numFmtId="0" fontId="15" fillId="10" borderId="4" xfId="0" applyFont="1" applyFill="1" applyBorder="1" applyAlignment="1">
      <alignment horizontal="center"/>
    </xf>
    <xf numFmtId="0" fontId="15" fillId="11" borderId="4" xfId="0" applyFont="1" applyFill="1" applyBorder="1" applyAlignment="1">
      <alignment horizontal="center"/>
    </xf>
    <xf numFmtId="0" fontId="10" fillId="0" borderId="0" xfId="0" applyFont="1"/>
    <xf numFmtId="164" fontId="14" fillId="0" borderId="4" xfId="0" applyNumberFormat="1" applyFont="1" applyBorder="1" applyAlignment="1">
      <alignment horizontal="center" vertical="center" wrapText="1"/>
    </xf>
    <xf numFmtId="0" fontId="14" fillId="0" borderId="7" xfId="0" applyFont="1" applyBorder="1" applyAlignment="1">
      <alignment vertical="center" wrapText="1"/>
    </xf>
    <xf numFmtId="4" fontId="14" fillId="2" borderId="4" xfId="0" applyNumberFormat="1" applyFont="1" applyFill="1" applyBorder="1"/>
    <xf numFmtId="0" fontId="14" fillId="12" borderId="4" xfId="0" applyFont="1" applyFill="1" applyBorder="1"/>
    <xf numFmtId="0" fontId="14" fillId="0" borderId="4" xfId="0" applyFont="1" applyBorder="1" applyAlignment="1">
      <alignment vertical="center" wrapText="1"/>
    </xf>
    <xf numFmtId="0" fontId="16" fillId="0" borderId="0" xfId="0" applyFont="1" applyAlignment="1">
      <alignment horizontal="right" vertical="center" wrapText="1" indent="1"/>
    </xf>
    <xf numFmtId="0" fontId="0" fillId="12" borderId="4" xfId="0" applyFill="1" applyBorder="1"/>
    <xf numFmtId="0" fontId="0" fillId="0" borderId="0" xfId="0" applyAlignment="1">
      <alignment horizontal="right" indent="1"/>
    </xf>
    <xf numFmtId="0" fontId="3" fillId="0" borderId="0" xfId="0" applyFont="1" applyAlignment="1">
      <alignment horizontal="right" indent="1"/>
    </xf>
    <xf numFmtId="0" fontId="3" fillId="3" borderId="4" xfId="0" applyFont="1" applyFill="1" applyBorder="1" applyAlignment="1">
      <alignment horizontal="center" vertical="center" wrapText="1"/>
    </xf>
    <xf numFmtId="0" fontId="3" fillId="0" borderId="4" xfId="0" applyFont="1" applyBorder="1" applyAlignment="1">
      <alignment horizontal="justify" vertical="center" wrapText="1"/>
    </xf>
    <xf numFmtId="0" fontId="13" fillId="0" borderId="4" xfId="0" applyFont="1" applyBorder="1" applyAlignment="1">
      <alignment horizontal="center"/>
    </xf>
    <xf numFmtId="0" fontId="11" fillId="9" borderId="4" xfId="0" applyFont="1" applyFill="1" applyBorder="1" applyAlignment="1">
      <alignment horizontal="center" vertical="center"/>
    </xf>
    <xf numFmtId="0" fontId="11" fillId="9" borderId="6" xfId="0" applyFont="1" applyFill="1" applyBorder="1" applyAlignment="1">
      <alignment horizontal="center" vertical="center" wrapText="1"/>
    </xf>
    <xf numFmtId="0" fontId="3" fillId="6" borderId="4" xfId="0" applyFont="1" applyFill="1" applyBorder="1" applyAlignment="1">
      <alignment horizontal="center" vertical="center"/>
    </xf>
    <xf numFmtId="0" fontId="17" fillId="13" borderId="0" xfId="0" applyFont="1" applyFill="1" applyAlignment="1">
      <alignment horizontal="center" vertical="center"/>
    </xf>
    <xf numFmtId="0" fontId="3" fillId="14" borderId="10" xfId="0" applyFont="1" applyFill="1" applyBorder="1" applyAlignment="1">
      <alignment horizontal="center" vertical="center"/>
    </xf>
    <xf numFmtId="0" fontId="3" fillId="7" borderId="4" xfId="0" applyFont="1" applyFill="1" applyBorder="1" applyAlignment="1">
      <alignment horizontal="center" vertical="center"/>
    </xf>
    <xf numFmtId="0" fontId="3" fillId="14" borderId="4" xfId="0" applyFont="1" applyFill="1" applyBorder="1" applyAlignment="1">
      <alignment horizontal="center" vertical="center"/>
    </xf>
    <xf numFmtId="165" fontId="12" fillId="0" borderId="4" xfId="0" applyNumberFormat="1" applyFont="1" applyBorder="1" applyAlignment="1">
      <alignment horizontal="center" vertical="center" wrapText="1"/>
    </xf>
    <xf numFmtId="0" fontId="12" fillId="0" borderId="4" xfId="0" applyFont="1" applyBorder="1" applyAlignment="1">
      <alignment vertical="center" wrapText="1"/>
    </xf>
    <xf numFmtId="165" fontId="12" fillId="0" borderId="11" xfId="0" applyNumberFormat="1" applyFont="1" applyBorder="1" applyAlignment="1">
      <alignment horizontal="center" vertical="center" wrapText="1"/>
    </xf>
    <xf numFmtId="0" fontId="12" fillId="0" borderId="11" xfId="0" applyFont="1" applyBorder="1" applyAlignment="1">
      <alignment vertical="center" wrapText="1"/>
    </xf>
    <xf numFmtId="0" fontId="0" fillId="0" borderId="12" xfId="0" applyBorder="1"/>
    <xf numFmtId="165" fontId="12" fillId="0" borderId="4" xfId="0" applyNumberFormat="1" applyFont="1" applyBorder="1" applyAlignment="1">
      <alignment vertical="center" wrapText="1"/>
    </xf>
    <xf numFmtId="0" fontId="0" fillId="0" borderId="0" xfId="0" applyAlignment="1">
      <alignment horizontal="right"/>
    </xf>
    <xf numFmtId="0" fontId="19" fillId="0" borderId="0" xfId="0" applyFont="1"/>
    <xf numFmtId="0" fontId="20" fillId="0" borderId="0" xfId="0" applyFont="1" applyAlignment="1">
      <alignment horizontal="right"/>
    </xf>
    <xf numFmtId="0" fontId="13" fillId="0" borderId="0" xfId="0" applyFont="1" applyAlignment="1">
      <alignment horizontal="right"/>
    </xf>
    <xf numFmtId="0" fontId="21" fillId="0" borderId="0" xfId="0" applyFont="1" applyAlignment="1">
      <alignment horizontal="right"/>
    </xf>
    <xf numFmtId="0" fontId="22" fillId="0" borderId="0" xfId="0" applyFont="1" applyAlignment="1">
      <alignment horizontal="right"/>
    </xf>
    <xf numFmtId="4" fontId="20" fillId="0" borderId="0" xfId="0" applyNumberFormat="1" applyFont="1"/>
    <xf numFmtId="0" fontId="12" fillId="9" borderId="4" xfId="0" applyFont="1" applyFill="1" applyBorder="1" applyAlignment="1">
      <alignment horizontal="center" vertical="center"/>
    </xf>
    <xf numFmtId="0" fontId="12" fillId="9" borderId="6" xfId="0" applyFont="1" applyFill="1" applyBorder="1" applyAlignment="1">
      <alignment horizontal="center" vertical="center" wrapText="1"/>
    </xf>
    <xf numFmtId="0" fontId="17" fillId="11" borderId="4" xfId="0" applyFont="1" applyFill="1" applyBorder="1" applyAlignment="1">
      <alignment horizontal="center" vertical="center"/>
    </xf>
    <xf numFmtId="0" fontId="23" fillId="0" borderId="4" xfId="0" applyFont="1" applyBorder="1" applyAlignment="1">
      <alignment vertical="center" wrapText="1"/>
    </xf>
    <xf numFmtId="4" fontId="0" fillId="0" borderId="4" xfId="0" applyNumberFormat="1" applyBorder="1" applyAlignment="1">
      <alignment vertical="center"/>
    </xf>
    <xf numFmtId="0" fontId="12" fillId="9" borderId="13" xfId="0" applyFont="1" applyFill="1" applyBorder="1" applyAlignment="1">
      <alignment horizontal="center" vertical="center" wrapText="1"/>
    </xf>
    <xf numFmtId="165" fontId="12" fillId="0" borderId="4" xfId="0" applyNumberFormat="1" applyFont="1" applyBorder="1" applyAlignment="1">
      <alignment horizontal="left" vertical="center" wrapText="1"/>
    </xf>
    <xf numFmtId="0" fontId="12" fillId="0" borderId="4" xfId="0" applyFont="1" applyBorder="1"/>
    <xf numFmtId="164" fontId="0" fillId="0" borderId="4" xfId="0" quotePrefix="1" applyNumberFormat="1" applyBorder="1" applyAlignment="1">
      <alignment horizontal="center"/>
    </xf>
    <xf numFmtId="164" fontId="0" fillId="0" borderId="4" xfId="0" quotePrefix="1" applyNumberFormat="1" applyBorder="1" applyAlignment="1">
      <alignment horizontal="center" vertical="center"/>
    </xf>
    <xf numFmtId="4" fontId="0" fillId="12" borderId="4" xfId="0" applyNumberFormat="1" applyFill="1" applyBorder="1"/>
    <xf numFmtId="0" fontId="3" fillId="0" borderId="0" xfId="0" applyFont="1" applyAlignment="1">
      <alignment horizontal="center"/>
    </xf>
    <xf numFmtId="0" fontId="4" fillId="0" borderId="2" xfId="0" applyFont="1" applyBorder="1" applyAlignment="1">
      <alignment horizontal="justify" vertical="center"/>
    </xf>
    <xf numFmtId="0" fontId="3" fillId="0" borderId="4" xfId="0" applyFont="1" applyBorder="1" applyAlignment="1">
      <alignment horizontal="center"/>
    </xf>
    <xf numFmtId="0" fontId="0" fillId="5" borderId="0" xfId="0" applyFill="1" applyAlignment="1">
      <alignment horizontal="left"/>
    </xf>
    <xf numFmtId="0" fontId="3" fillId="5" borderId="0" xfId="0" applyFont="1" applyFill="1" applyAlignment="1">
      <alignment horizontal="left"/>
    </xf>
    <xf numFmtId="0" fontId="0" fillId="0" borderId="0" xfId="0" applyAlignment="1">
      <alignment horizontal="left"/>
    </xf>
    <xf numFmtId="0" fontId="0" fillId="5" borderId="4" xfId="0" applyFill="1" applyBorder="1" applyAlignment="1">
      <alignment horizontal="justify" wrapText="1"/>
    </xf>
    <xf numFmtId="0" fontId="0" fillId="5" borderId="4" xfId="0" applyFill="1" applyBorder="1" applyAlignment="1">
      <alignment horizontal="justify"/>
    </xf>
    <xf numFmtId="0" fontId="0" fillId="8" borderId="4" xfId="0" applyFill="1" applyBorder="1" applyAlignment="1">
      <alignment horizontal="justify"/>
    </xf>
    <xf numFmtId="0" fontId="0" fillId="8" borderId="4" xfId="0" applyFill="1" applyBorder="1" applyAlignment="1">
      <alignment horizontal="justify" vertical="center" wrapText="1"/>
    </xf>
    <xf numFmtId="0" fontId="0" fillId="8" borderId="4" xfId="0" applyFill="1" applyBorder="1" applyAlignment="1">
      <alignment horizontal="justify" vertical="center"/>
    </xf>
    <xf numFmtId="0" fontId="0" fillId="8" borderId="0" xfId="0" applyFill="1" applyAlignment="1">
      <alignment horizontal="justify" vertical="center" wrapText="1"/>
    </xf>
    <xf numFmtId="0" fontId="0" fillId="8" borderId="0" xfId="0" applyFill="1" applyAlignment="1">
      <alignment horizontal="justify" vertical="center"/>
    </xf>
    <xf numFmtId="0" fontId="3" fillId="0" borderId="0" xfId="0" applyFont="1" applyAlignment="1">
      <alignment horizontal="left"/>
    </xf>
    <xf numFmtId="0" fontId="0" fillId="5" borderId="4" xfId="0" applyFill="1" applyBorder="1" applyAlignment="1">
      <alignment horizontal="justify" vertical="center" wrapText="1"/>
    </xf>
    <xf numFmtId="0" fontId="0" fillId="5" borderId="4" xfId="0" applyFill="1" applyBorder="1" applyAlignment="1">
      <alignment horizontal="justify" vertical="center"/>
    </xf>
    <xf numFmtId="0" fontId="3" fillId="0" borderId="0" xfId="0" applyFont="1" applyAlignment="1">
      <alignment horizontal="left" vertical="center" wrapText="1"/>
    </xf>
    <xf numFmtId="0" fontId="0" fillId="0" borderId="0" xfId="0" applyAlignment="1">
      <alignment horizontal="left" vertical="center" wrapText="1"/>
    </xf>
    <xf numFmtId="0" fontId="0" fillId="6" borderId="4" xfId="0" applyFill="1" applyBorder="1" applyAlignment="1">
      <alignment horizontal="justify" wrapText="1"/>
    </xf>
    <xf numFmtId="0" fontId="0" fillId="6" borderId="4" xfId="0" applyFill="1" applyBorder="1" applyAlignment="1">
      <alignment horizontal="justify"/>
    </xf>
    <xf numFmtId="0" fontId="0" fillId="6" borderId="4" xfId="0" applyFill="1" applyBorder="1" applyAlignment="1">
      <alignment horizontal="justify" vertical="center" wrapText="1"/>
    </xf>
    <xf numFmtId="0" fontId="0" fillId="6" borderId="4" xfId="0" applyFill="1" applyBorder="1" applyAlignment="1">
      <alignment horizontal="justify" vertical="center"/>
    </xf>
    <xf numFmtId="0" fontId="0" fillId="0" borderId="4" xfId="0" applyBorder="1" applyAlignment="1">
      <alignment horizontal="justify" vertical="center" wrapText="1"/>
    </xf>
    <xf numFmtId="0" fontId="3" fillId="3" borderId="4"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0" fillId="0" borderId="4" xfId="0" applyBorder="1" applyAlignment="1">
      <alignment horizontal="justify" vertical="center"/>
    </xf>
    <xf numFmtId="0" fontId="21" fillId="0" borderId="0" xfId="0" applyFont="1" applyAlignment="1">
      <alignment horizontal="right"/>
    </xf>
    <xf numFmtId="0" fontId="13" fillId="0" borderId="0" xfId="0" applyFont="1" applyAlignment="1">
      <alignment horizontal="justify" wrapText="1"/>
    </xf>
    <xf numFmtId="0" fontId="0" fillId="0" borderId="2" xfId="0" applyBorder="1" applyAlignment="1">
      <alignment horizontal="justify" vertical="center"/>
    </xf>
    <xf numFmtId="0" fontId="27" fillId="15" borderId="5" xfId="0" applyFont="1" applyFill="1" applyBorder="1" applyAlignment="1">
      <alignment horizontal="center"/>
    </xf>
    <xf numFmtId="0" fontId="25" fillId="16" borderId="14" xfId="0" applyFont="1" applyFill="1" applyBorder="1"/>
    <xf numFmtId="0" fontId="25" fillId="17" borderId="14" xfId="0" applyFont="1" applyFill="1" applyBorder="1"/>
    <xf numFmtId="0" fontId="25" fillId="17" borderId="15" xfId="0" applyFont="1" applyFill="1" applyBorder="1"/>
    <xf numFmtId="0" fontId="26" fillId="16" borderId="14" xfId="2" applyFont="1" applyFill="1" applyBorder="1" applyAlignment="1">
      <alignment horizontal="center"/>
    </xf>
    <xf numFmtId="0" fontId="26" fillId="17" borderId="14" xfId="2" applyFont="1" applyFill="1" applyBorder="1" applyAlignment="1">
      <alignment horizontal="center"/>
    </xf>
    <xf numFmtId="0" fontId="26" fillId="17" borderId="15" xfId="2" applyFont="1" applyFill="1" applyBorder="1" applyAlignment="1">
      <alignment horizontal="center"/>
    </xf>
  </cellXfs>
  <cellStyles count="3">
    <cellStyle name="Hipervínculo" xfId="2" builtinId="8"/>
    <cellStyle name="Normal" xfId="0" builtinId="0"/>
    <cellStyle name="Porcentaje" xfId="1" builtinId="5"/>
  </cellStyles>
  <dxfs count="10">
    <dxf>
      <fill>
        <patternFill>
          <bgColor theme="9" tint="0.79998168889431442"/>
        </patternFill>
      </fill>
      <border>
        <left style="thin">
          <color auto="1"/>
        </left>
        <right style="thin">
          <color auto="1"/>
        </right>
        <top style="thin">
          <color auto="1"/>
        </top>
        <bottom style="thin">
          <color auto="1"/>
        </bottom>
        <vertical/>
        <horizontal/>
      </border>
    </dxf>
    <dxf>
      <font>
        <b/>
        <i/>
        <color rgb="FFC00000"/>
      </font>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rgb="FFFFFF00"/>
        </patternFill>
      </fill>
    </dxf>
    <dxf>
      <fill>
        <patternFill>
          <bgColor rgb="FFFFC000"/>
        </patternFill>
      </fill>
    </dxf>
  </dxfs>
  <tableStyles count="0" defaultTableStyle="TableStyleMedium2" defaultPivotStyle="PivotStyleLight16"/>
  <colors>
    <mruColors>
      <color rgb="FF99FF66"/>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495300</xdr:colOff>
      <xdr:row>1</xdr:row>
      <xdr:rowOff>47625</xdr:rowOff>
    </xdr:from>
    <xdr:to>
      <xdr:col>10</xdr:col>
      <xdr:colOff>647700</xdr:colOff>
      <xdr:row>28</xdr:row>
      <xdr:rowOff>85725</xdr:rowOff>
    </xdr:to>
    <xdr:pic>
      <xdr:nvPicPr>
        <xdr:cNvPr id="3" name="Imagen 2">
          <a:extLst>
            <a:ext uri="{FF2B5EF4-FFF2-40B4-BE49-F238E27FC236}">
              <a16:creationId xmlns:a16="http://schemas.microsoft.com/office/drawing/2014/main" id="{2D414F22-DB85-4617-1920-D91C6F906A4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5300" y="238125"/>
          <a:ext cx="7772400" cy="5181600"/>
        </a:xfrm>
        <a:prstGeom prst="rect">
          <a:avLst/>
        </a:prstGeom>
      </xdr:spPr>
    </xdr:pic>
    <xdr:clientData/>
  </xdr:twoCellAnchor>
  <xdr:twoCellAnchor editAs="oneCell">
    <xdr:from>
      <xdr:col>15</xdr:col>
      <xdr:colOff>0</xdr:colOff>
      <xdr:row>10</xdr:row>
      <xdr:rowOff>0</xdr:rowOff>
    </xdr:from>
    <xdr:to>
      <xdr:col>15</xdr:col>
      <xdr:colOff>304800</xdr:colOff>
      <xdr:row>11</xdr:row>
      <xdr:rowOff>114300</xdr:rowOff>
    </xdr:to>
    <xdr:sp macro="" textlink="">
      <xdr:nvSpPr>
        <xdr:cNvPr id="12289" name="AutoShape 1" descr="logo_cofide_f">
          <a:extLst>
            <a:ext uri="{FF2B5EF4-FFF2-40B4-BE49-F238E27FC236}">
              <a16:creationId xmlns:a16="http://schemas.microsoft.com/office/drawing/2014/main" id="{3A9FD68E-B68A-673F-E30E-6FF1A4EC6A10}"/>
            </a:ext>
          </a:extLst>
        </xdr:cNvPr>
        <xdr:cNvSpPr>
          <a:spLocks noChangeAspect="1" noChangeArrowheads="1"/>
        </xdr:cNvSpPr>
      </xdr:nvSpPr>
      <xdr:spPr bwMode="auto">
        <a:xfrm>
          <a:off x="11430000" y="1905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561975</xdr:colOff>
      <xdr:row>1</xdr:row>
      <xdr:rowOff>123825</xdr:rowOff>
    </xdr:from>
    <xdr:to>
      <xdr:col>2</xdr:col>
      <xdr:colOff>581240</xdr:colOff>
      <xdr:row>4</xdr:row>
      <xdr:rowOff>104852</xdr:rowOff>
    </xdr:to>
    <xdr:pic>
      <xdr:nvPicPr>
        <xdr:cNvPr id="4" name="Imagen 3">
          <a:extLst>
            <a:ext uri="{FF2B5EF4-FFF2-40B4-BE49-F238E27FC236}">
              <a16:creationId xmlns:a16="http://schemas.microsoft.com/office/drawing/2014/main" id="{0398EBBB-87FA-AB97-BD86-2B1ADD5D67B5}"/>
            </a:ext>
          </a:extLst>
        </xdr:cNvPr>
        <xdr:cNvPicPr>
          <a:picLocks noChangeAspect="1"/>
        </xdr:cNvPicPr>
      </xdr:nvPicPr>
      <xdr:blipFill>
        <a:blip xmlns:r="http://schemas.openxmlformats.org/officeDocument/2006/relationships" r:embed="rId2"/>
        <a:stretch>
          <a:fillRect/>
        </a:stretch>
      </xdr:blipFill>
      <xdr:spPr>
        <a:xfrm>
          <a:off x="561975" y="314325"/>
          <a:ext cx="1543265" cy="552527"/>
        </a:xfrm>
        <a:prstGeom prst="rect">
          <a:avLst/>
        </a:prstGeom>
      </xdr:spPr>
    </xdr:pic>
    <xdr:clientData/>
  </xdr:twoCellAnchor>
  <xdr:twoCellAnchor>
    <xdr:from>
      <xdr:col>0</xdr:col>
      <xdr:colOff>638175</xdr:colOff>
      <xdr:row>25</xdr:row>
      <xdr:rowOff>95250</xdr:rowOff>
    </xdr:from>
    <xdr:to>
      <xdr:col>6</xdr:col>
      <xdr:colOff>438150</xdr:colOff>
      <xdr:row>27</xdr:row>
      <xdr:rowOff>66675</xdr:rowOff>
    </xdr:to>
    <xdr:sp macro="" textlink="">
      <xdr:nvSpPr>
        <xdr:cNvPr id="5" name="CuadroTexto 4">
          <a:extLst>
            <a:ext uri="{FF2B5EF4-FFF2-40B4-BE49-F238E27FC236}">
              <a16:creationId xmlns:a16="http://schemas.microsoft.com/office/drawing/2014/main" id="{DA9EBD23-5A7D-D3ED-06EB-A5157FB094A5}"/>
            </a:ext>
          </a:extLst>
        </xdr:cNvPr>
        <xdr:cNvSpPr txBox="1"/>
      </xdr:nvSpPr>
      <xdr:spPr>
        <a:xfrm>
          <a:off x="638175" y="4857750"/>
          <a:ext cx="43719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200" b="1">
              <a:solidFill>
                <a:srgbClr val="FFFF00"/>
              </a:solidFill>
            </a:rPr>
            <a:t>Elaborado</a:t>
          </a:r>
          <a:r>
            <a:rPr lang="es-MX" sz="1200" b="1" baseline="0">
              <a:solidFill>
                <a:srgbClr val="FFFF00"/>
              </a:solidFill>
            </a:rPr>
            <a:t> por: C.P. Claudia Mendoza M. / C.P. Alberto Monroy S.</a:t>
          </a:r>
          <a:endParaRPr lang="es-MX" sz="1200" b="1">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2485703</xdr:colOff>
      <xdr:row>0</xdr:row>
      <xdr:rowOff>0</xdr:rowOff>
    </xdr:from>
    <xdr:ext cx="1924694" cy="937693"/>
    <xdr:sp macro="" textlink="">
      <xdr:nvSpPr>
        <xdr:cNvPr id="2" name="Rectángulo 1">
          <a:extLst>
            <a:ext uri="{FF2B5EF4-FFF2-40B4-BE49-F238E27FC236}">
              <a16:creationId xmlns:a16="http://schemas.microsoft.com/office/drawing/2014/main" id="{09E26A16-7E07-A633-2BF7-4403DF9E4FDA}"/>
            </a:ext>
          </a:extLst>
        </xdr:cNvPr>
        <xdr:cNvSpPr/>
      </xdr:nvSpPr>
      <xdr:spPr>
        <a:xfrm>
          <a:off x="3247703" y="0"/>
          <a:ext cx="1924694" cy="937693"/>
        </a:xfrm>
        <a:prstGeom prst="rect">
          <a:avLst/>
        </a:prstGeom>
        <a:noFill/>
      </xdr:spPr>
      <xdr:txBody>
        <a:bodyPr wrap="none" lIns="91440" tIns="45720" rIns="91440" bIns="45720">
          <a:spAutoFit/>
          <a:scene3d>
            <a:camera prst="orthographicFront"/>
            <a:lightRig rig="harsh" dir="t"/>
          </a:scene3d>
          <a:sp3d extrusionH="57150" prstMaterial="matte">
            <a:bevelT w="63500" h="12700" prst="angle"/>
            <a:contourClr>
              <a:schemeClr val="bg1">
                <a:lumMod val="65000"/>
              </a:schemeClr>
            </a:contourClr>
          </a:sp3d>
        </a:bodyPr>
        <a:lstStyle/>
        <a:p>
          <a:pPr algn="ctr"/>
          <a:r>
            <a:rPr lang="es-ES" sz="5400" b="1" cap="none" spc="0">
              <a:ln/>
              <a:solidFill>
                <a:schemeClr val="accent3"/>
              </a:solidFill>
              <a:effectLst/>
            </a:rPr>
            <a:t>MENÚ</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10B2-60E3-4A2D-929B-7213340CE908}">
  <dimension ref="A1"/>
  <sheetViews>
    <sheetView showGridLines="0" showRowColHeaders="0" tabSelected="1" workbookViewId="0">
      <selection activeCell="J20" sqref="J20"/>
    </sheetView>
  </sheetViews>
  <sheetFormatPr baseColWidth="10" defaultRowHeight="15" x14ac:dyDescent="0.25"/>
  <sheetData/>
  <sheetProtection algorithmName="SHA-512" hashValue="7+UJrxh4krlmfb61m9HoeTc3wDSYfnSnB2Lz0nm8T4OZ2xYY8ER6aufElQnFOCZYD/B6hsQByN9Nm+h5m85A6w==" saltValue="1IkslRl4xxLC6Y5uTGvIoQ==" spinCount="100000" sheet="1" objects="1" scenarios="1" select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E6B3C-FD9D-436B-99C4-1EE9880A71D4}">
  <dimension ref="B5:J92"/>
  <sheetViews>
    <sheetView showGridLines="0" workbookViewId="0">
      <selection activeCell="B5" sqref="B5:E5"/>
    </sheetView>
  </sheetViews>
  <sheetFormatPr baseColWidth="10" defaultRowHeight="15" x14ac:dyDescent="0.25"/>
  <cols>
    <col min="2" max="2" width="31.7109375" customWidth="1"/>
    <col min="7" max="7" width="13.7109375" customWidth="1"/>
    <col min="8" max="8" width="14.7109375" customWidth="1"/>
    <col min="9" max="9" width="17.7109375" customWidth="1"/>
    <col min="10" max="10" width="14" customWidth="1"/>
  </cols>
  <sheetData>
    <row r="5" spans="2:5" ht="61.5" customHeight="1" thickBot="1" x14ac:dyDescent="0.3">
      <c r="B5" s="116" t="s">
        <v>54</v>
      </c>
      <c r="C5" s="116"/>
      <c r="D5" s="116"/>
      <c r="E5" s="116"/>
    </row>
    <row r="6" spans="2:5" ht="105.75" thickTop="1" x14ac:dyDescent="0.25">
      <c r="B6" s="23" t="s">
        <v>3</v>
      </c>
      <c r="C6" s="23" t="s">
        <v>4</v>
      </c>
      <c r="D6" s="23" t="s">
        <v>5</v>
      </c>
      <c r="E6" s="23" t="s">
        <v>6</v>
      </c>
    </row>
    <row r="7" spans="2:5" ht="15.75" thickBot="1" x14ac:dyDescent="0.3">
      <c r="B7" s="24" t="s">
        <v>7</v>
      </c>
      <c r="C7" s="24" t="s">
        <v>7</v>
      </c>
      <c r="D7" s="24" t="s">
        <v>7</v>
      </c>
      <c r="E7" s="24" t="s">
        <v>8</v>
      </c>
    </row>
    <row r="8" spans="2:5" ht="15.75" thickTop="1" x14ac:dyDescent="0.25">
      <c r="B8" s="25">
        <v>0.01</v>
      </c>
      <c r="C8" s="25">
        <v>194.46</v>
      </c>
      <c r="D8" s="25">
        <v>0</v>
      </c>
      <c r="E8" s="26">
        <v>1.92</v>
      </c>
    </row>
    <row r="9" spans="2:5" x14ac:dyDescent="0.25">
      <c r="B9" s="25">
        <v>194.47</v>
      </c>
      <c r="C9" s="27">
        <v>1650.67</v>
      </c>
      <c r="D9" s="25">
        <v>3.71</v>
      </c>
      <c r="E9" s="26">
        <v>6.4</v>
      </c>
    </row>
    <row r="10" spans="2:5" x14ac:dyDescent="0.25">
      <c r="B10" s="27">
        <v>1650.68</v>
      </c>
      <c r="C10" s="27">
        <v>2900.87</v>
      </c>
      <c r="D10" s="25">
        <v>96.95</v>
      </c>
      <c r="E10" s="26">
        <v>10.88</v>
      </c>
    </row>
    <row r="11" spans="2:5" x14ac:dyDescent="0.25">
      <c r="B11" s="27">
        <v>2900.88</v>
      </c>
      <c r="C11" s="27">
        <v>3372.11</v>
      </c>
      <c r="D11" s="25">
        <v>232.96</v>
      </c>
      <c r="E11" s="26">
        <v>16</v>
      </c>
    </row>
    <row r="12" spans="2:5" x14ac:dyDescent="0.25">
      <c r="B12" s="27">
        <v>3372.12</v>
      </c>
      <c r="C12" s="27">
        <v>4037.32</v>
      </c>
      <c r="D12" s="25">
        <v>308.35000000000002</v>
      </c>
      <c r="E12" s="26">
        <v>17.920000000000002</v>
      </c>
    </row>
    <row r="13" spans="2:5" x14ac:dyDescent="0.25">
      <c r="B13" s="27">
        <v>4037.33</v>
      </c>
      <c r="C13" s="27">
        <v>8142.75</v>
      </c>
      <c r="D13" s="25">
        <v>427.56</v>
      </c>
      <c r="E13" s="26">
        <v>21.36</v>
      </c>
    </row>
    <row r="14" spans="2:5" x14ac:dyDescent="0.25">
      <c r="B14" s="27">
        <v>8142.76</v>
      </c>
      <c r="C14" s="27">
        <v>12834.08</v>
      </c>
      <c r="D14" s="27">
        <v>1304.45</v>
      </c>
      <c r="E14" s="26">
        <v>23.52</v>
      </c>
    </row>
    <row r="15" spans="2:5" x14ac:dyDescent="0.25">
      <c r="B15" s="27">
        <v>12834.09</v>
      </c>
      <c r="C15" s="27">
        <v>24502.45</v>
      </c>
      <c r="D15" s="27">
        <v>2407.86</v>
      </c>
      <c r="E15" s="26">
        <v>30</v>
      </c>
    </row>
    <row r="16" spans="2:5" x14ac:dyDescent="0.25">
      <c r="B16" s="27">
        <v>24502.46</v>
      </c>
      <c r="C16" s="27">
        <v>32669.91</v>
      </c>
      <c r="D16" s="27">
        <v>5908.35</v>
      </c>
      <c r="E16" s="26">
        <v>32</v>
      </c>
    </row>
    <row r="17" spans="2:5" x14ac:dyDescent="0.25">
      <c r="B17" s="27">
        <v>32669.919999999998</v>
      </c>
      <c r="C17" s="27">
        <v>98009.66</v>
      </c>
      <c r="D17" s="27">
        <v>8521.94</v>
      </c>
      <c r="E17" s="26">
        <v>34</v>
      </c>
    </row>
    <row r="18" spans="2:5" ht="15.75" thickBot="1" x14ac:dyDescent="0.3">
      <c r="B18" s="28">
        <v>98009.67</v>
      </c>
      <c r="C18" s="29" t="s">
        <v>9</v>
      </c>
      <c r="D18" s="28">
        <v>30737.49</v>
      </c>
      <c r="E18" s="24">
        <v>35</v>
      </c>
    </row>
    <row r="19" spans="2:5" ht="15.75" thickTop="1" x14ac:dyDescent="0.25">
      <c r="B19" s="27"/>
      <c r="C19" s="25"/>
      <c r="D19" s="27"/>
      <c r="E19" s="26"/>
    </row>
    <row r="20" spans="2:5" ht="56.25" customHeight="1" thickBot="1" x14ac:dyDescent="0.3">
      <c r="B20" s="116" t="s">
        <v>55</v>
      </c>
      <c r="C20" s="116"/>
      <c r="D20" s="116"/>
      <c r="E20" s="116"/>
    </row>
    <row r="21" spans="2:5" ht="105.75" thickTop="1" x14ac:dyDescent="0.25">
      <c r="B21" s="23" t="s">
        <v>3</v>
      </c>
      <c r="C21" s="23" t="s">
        <v>4</v>
      </c>
      <c r="D21" s="23" t="s">
        <v>5</v>
      </c>
      <c r="E21" s="23" t="s">
        <v>6</v>
      </c>
    </row>
    <row r="22" spans="2:5" ht="15.75" thickBot="1" x14ac:dyDescent="0.3">
      <c r="B22" s="24" t="s">
        <v>7</v>
      </c>
      <c r="C22" s="24" t="s">
        <v>7</v>
      </c>
      <c r="D22" s="24" t="s">
        <v>7</v>
      </c>
      <c r="E22" s="24" t="s">
        <v>8</v>
      </c>
    </row>
    <row r="23" spans="2:5" ht="15.75" thickTop="1" x14ac:dyDescent="0.25">
      <c r="B23" s="25">
        <v>0.01</v>
      </c>
      <c r="C23" s="25">
        <v>277.8</v>
      </c>
      <c r="D23" s="25">
        <v>0</v>
      </c>
      <c r="E23" s="26">
        <v>1.92</v>
      </c>
    </row>
    <row r="24" spans="2:5" x14ac:dyDescent="0.25">
      <c r="B24" s="25">
        <v>277.81</v>
      </c>
      <c r="C24" s="27">
        <v>2358.1</v>
      </c>
      <c r="D24" s="25">
        <v>5.3</v>
      </c>
      <c r="E24" s="26">
        <v>6.4</v>
      </c>
    </row>
    <row r="25" spans="2:5" x14ac:dyDescent="0.25">
      <c r="B25" s="27">
        <v>2358.11</v>
      </c>
      <c r="C25" s="27">
        <v>4144.1000000000004</v>
      </c>
      <c r="D25" s="25">
        <v>138.5</v>
      </c>
      <c r="E25" s="26">
        <v>10.88</v>
      </c>
    </row>
    <row r="26" spans="2:5" x14ac:dyDescent="0.25">
      <c r="B26" s="27">
        <v>4144.1099999999997</v>
      </c>
      <c r="C26" s="27">
        <v>4817.3</v>
      </c>
      <c r="D26" s="25">
        <v>332.8</v>
      </c>
      <c r="E26" s="26">
        <v>16</v>
      </c>
    </row>
    <row r="27" spans="2:5" x14ac:dyDescent="0.25">
      <c r="B27" s="27">
        <v>4817.3100000000004</v>
      </c>
      <c r="C27" s="27">
        <v>5767.6</v>
      </c>
      <c r="D27" s="25">
        <v>440.5</v>
      </c>
      <c r="E27" s="26">
        <v>17.920000000000002</v>
      </c>
    </row>
    <row r="28" spans="2:5" x14ac:dyDescent="0.25">
      <c r="B28" s="27">
        <v>5767.61</v>
      </c>
      <c r="C28" s="27">
        <v>11632.5</v>
      </c>
      <c r="D28" s="25">
        <v>610.79999999999995</v>
      </c>
      <c r="E28" s="26">
        <v>21.36</v>
      </c>
    </row>
    <row r="29" spans="2:5" x14ac:dyDescent="0.25">
      <c r="B29" s="27">
        <v>11632.51</v>
      </c>
      <c r="C29" s="27">
        <v>18334.400000000001</v>
      </c>
      <c r="D29" s="27">
        <v>1863.5</v>
      </c>
      <c r="E29" s="26">
        <v>23.52</v>
      </c>
    </row>
    <row r="30" spans="2:5" x14ac:dyDescent="0.25">
      <c r="B30" s="27">
        <v>18334.41</v>
      </c>
      <c r="C30" s="27">
        <v>35003.5</v>
      </c>
      <c r="D30" s="27">
        <v>3439.8</v>
      </c>
      <c r="E30" s="26">
        <v>30</v>
      </c>
    </row>
    <row r="31" spans="2:5" x14ac:dyDescent="0.25">
      <c r="B31" s="27">
        <v>35003.51</v>
      </c>
      <c r="C31" s="27">
        <v>46671.3</v>
      </c>
      <c r="D31" s="27">
        <v>8440.5</v>
      </c>
      <c r="E31" s="26">
        <v>32</v>
      </c>
    </row>
    <row r="32" spans="2:5" x14ac:dyDescent="0.25">
      <c r="B32" s="27">
        <v>46671.31</v>
      </c>
      <c r="C32" s="27">
        <v>140013.79999999999</v>
      </c>
      <c r="D32" s="27">
        <v>12174.2</v>
      </c>
      <c r="E32" s="26">
        <v>34</v>
      </c>
    </row>
    <row r="33" spans="2:10" ht="15.75" thickBot="1" x14ac:dyDescent="0.3">
      <c r="B33" s="28">
        <v>140013.81</v>
      </c>
      <c r="C33" s="29" t="s">
        <v>9</v>
      </c>
      <c r="D33" s="28">
        <v>43910.7</v>
      </c>
      <c r="E33" s="24">
        <v>35</v>
      </c>
    </row>
    <row r="34" spans="2:10" ht="15.75" thickTop="1" x14ac:dyDescent="0.25">
      <c r="B34" s="30"/>
    </row>
    <row r="35" spans="2:10" ht="48" customHeight="1" thickBot="1" x14ac:dyDescent="0.3">
      <c r="B35" s="116" t="s">
        <v>56</v>
      </c>
      <c r="C35" s="116"/>
      <c r="D35" s="116"/>
      <c r="E35" s="116"/>
      <c r="G35" s="116" t="s">
        <v>69</v>
      </c>
      <c r="H35" s="116"/>
      <c r="I35" s="116"/>
      <c r="J35" s="116"/>
    </row>
    <row r="36" spans="2:10" ht="105.75" thickTop="1" x14ac:dyDescent="0.25">
      <c r="B36" s="23" t="s">
        <v>3</v>
      </c>
      <c r="C36" s="23" t="s">
        <v>4</v>
      </c>
      <c r="D36" s="23" t="s">
        <v>5</v>
      </c>
      <c r="E36" s="23" t="s">
        <v>6</v>
      </c>
      <c r="G36" s="23" t="s">
        <v>3</v>
      </c>
      <c r="H36" s="23" t="s">
        <v>4</v>
      </c>
      <c r="I36" s="23" t="s">
        <v>5</v>
      </c>
      <c r="J36" s="23" t="s">
        <v>6</v>
      </c>
    </row>
    <row r="37" spans="2:10" ht="15.75" thickBot="1" x14ac:dyDescent="0.3">
      <c r="B37" s="24" t="s">
        <v>7</v>
      </c>
      <c r="C37" s="24" t="s">
        <v>7</v>
      </c>
      <c r="D37" s="24" t="s">
        <v>7</v>
      </c>
      <c r="E37" s="24" t="s">
        <v>8</v>
      </c>
      <c r="G37" s="24" t="s">
        <v>7</v>
      </c>
      <c r="H37" s="24" t="s">
        <v>7</v>
      </c>
      <c r="I37" s="24" t="s">
        <v>7</v>
      </c>
      <c r="J37" s="24" t="s">
        <v>8</v>
      </c>
    </row>
    <row r="38" spans="2:10" ht="15.75" thickTop="1" x14ac:dyDescent="0.25">
      <c r="B38" s="25">
        <v>0.01</v>
      </c>
      <c r="C38" s="25">
        <v>416.7</v>
      </c>
      <c r="D38" s="25">
        <v>0</v>
      </c>
      <c r="E38" s="26">
        <v>1.92</v>
      </c>
      <c r="G38" s="25">
        <v>0.01</v>
      </c>
      <c r="H38" s="25">
        <v>844.59</v>
      </c>
      <c r="I38" s="25">
        <v>0</v>
      </c>
      <c r="J38" s="26">
        <v>1.92</v>
      </c>
    </row>
    <row r="39" spans="2:10" x14ac:dyDescent="0.25">
      <c r="B39" s="25">
        <v>416.71</v>
      </c>
      <c r="C39" s="27">
        <v>3537.15</v>
      </c>
      <c r="D39" s="25">
        <v>7.95</v>
      </c>
      <c r="E39" s="26">
        <v>6.4</v>
      </c>
      <c r="G39" s="25">
        <v>844.6</v>
      </c>
      <c r="H39" s="27">
        <v>7168.51</v>
      </c>
      <c r="I39" s="25">
        <v>16.22</v>
      </c>
      <c r="J39" s="26">
        <v>6.4</v>
      </c>
    </row>
    <row r="40" spans="2:10" x14ac:dyDescent="0.25">
      <c r="B40" s="27">
        <v>3537.16</v>
      </c>
      <c r="C40" s="27">
        <v>6216.15</v>
      </c>
      <c r="D40" s="25">
        <v>207.75</v>
      </c>
      <c r="E40" s="26">
        <v>10.88</v>
      </c>
      <c r="G40" s="27">
        <v>7168.52</v>
      </c>
      <c r="H40" s="27">
        <v>12598.02</v>
      </c>
      <c r="I40" s="25">
        <v>420.95</v>
      </c>
      <c r="J40" s="26">
        <v>10.88</v>
      </c>
    </row>
    <row r="41" spans="2:10" x14ac:dyDescent="0.25">
      <c r="B41" s="27">
        <v>6216.16</v>
      </c>
      <c r="C41" s="27">
        <v>7225.95</v>
      </c>
      <c r="D41" s="25">
        <v>499.2</v>
      </c>
      <c r="E41" s="26">
        <v>16</v>
      </c>
      <c r="G41" s="27">
        <v>12598.03</v>
      </c>
      <c r="H41" s="27">
        <v>14644.64</v>
      </c>
      <c r="I41" s="27">
        <v>1011.68</v>
      </c>
      <c r="J41" s="26">
        <v>16</v>
      </c>
    </row>
    <row r="42" spans="2:10" x14ac:dyDescent="0.25">
      <c r="B42" s="27">
        <v>7225.96</v>
      </c>
      <c r="C42" s="27">
        <v>8651.4</v>
      </c>
      <c r="D42" s="25">
        <v>660.75</v>
      </c>
      <c r="E42" s="26">
        <v>17.920000000000002</v>
      </c>
      <c r="G42" s="27">
        <v>14644.65</v>
      </c>
      <c r="H42" s="27">
        <v>17533.64</v>
      </c>
      <c r="I42" s="27">
        <v>1339.14</v>
      </c>
      <c r="J42" s="26">
        <v>17.920000000000002</v>
      </c>
    </row>
    <row r="43" spans="2:10" x14ac:dyDescent="0.25">
      <c r="B43" s="27">
        <v>8651.41</v>
      </c>
      <c r="C43" s="27">
        <v>17448.75</v>
      </c>
      <c r="D43" s="25">
        <v>916.2</v>
      </c>
      <c r="E43" s="26">
        <v>21.36</v>
      </c>
      <c r="G43" s="27">
        <v>17533.650000000001</v>
      </c>
      <c r="H43" s="27">
        <v>35362.83</v>
      </c>
      <c r="I43" s="27">
        <v>1856.84</v>
      </c>
      <c r="J43" s="26">
        <v>21.36</v>
      </c>
    </row>
    <row r="44" spans="2:10" x14ac:dyDescent="0.25">
      <c r="B44" s="27">
        <v>17448.759999999998</v>
      </c>
      <c r="C44" s="27">
        <v>27501.599999999999</v>
      </c>
      <c r="D44" s="27">
        <v>2795.25</v>
      </c>
      <c r="E44" s="26">
        <v>23.52</v>
      </c>
      <c r="G44" s="27">
        <v>35362.839999999997</v>
      </c>
      <c r="H44" s="27">
        <v>55736.68</v>
      </c>
      <c r="I44" s="27">
        <v>5665.16</v>
      </c>
      <c r="J44" s="26">
        <v>23.52</v>
      </c>
    </row>
    <row r="45" spans="2:10" x14ac:dyDescent="0.25">
      <c r="B45" s="27">
        <v>27501.61</v>
      </c>
      <c r="C45" s="27">
        <v>52505.25</v>
      </c>
      <c r="D45" s="27">
        <v>5159.7</v>
      </c>
      <c r="E45" s="26">
        <v>30</v>
      </c>
      <c r="G45" s="27">
        <v>55736.69</v>
      </c>
      <c r="H45" s="27">
        <v>106410.5</v>
      </c>
      <c r="I45" s="27">
        <v>10457.09</v>
      </c>
      <c r="J45" s="26">
        <v>30</v>
      </c>
    </row>
    <row r="46" spans="2:10" x14ac:dyDescent="0.25">
      <c r="B46" s="27">
        <v>52505.26</v>
      </c>
      <c r="C46" s="27">
        <v>70006.95</v>
      </c>
      <c r="D46" s="27">
        <v>12660.75</v>
      </c>
      <c r="E46" s="26">
        <v>32</v>
      </c>
      <c r="G46" s="27">
        <v>106410.51</v>
      </c>
      <c r="H46" s="27">
        <v>141880.66</v>
      </c>
      <c r="I46" s="27">
        <v>25659.23</v>
      </c>
      <c r="J46" s="26">
        <v>32</v>
      </c>
    </row>
    <row r="47" spans="2:10" x14ac:dyDescent="0.25">
      <c r="B47" s="27">
        <v>70006.960000000006</v>
      </c>
      <c r="C47" s="27">
        <v>210020.7</v>
      </c>
      <c r="D47" s="27">
        <v>18261.3</v>
      </c>
      <c r="E47" s="26">
        <v>34</v>
      </c>
      <c r="G47" s="27">
        <v>141880.67000000001</v>
      </c>
      <c r="H47" s="27">
        <v>425641.99</v>
      </c>
      <c r="I47" s="27">
        <v>37009.69</v>
      </c>
      <c r="J47" s="26">
        <v>34</v>
      </c>
    </row>
    <row r="48" spans="2:10" ht="15.75" thickBot="1" x14ac:dyDescent="0.3">
      <c r="B48" s="28">
        <v>210020.71</v>
      </c>
      <c r="C48" s="29" t="s">
        <v>9</v>
      </c>
      <c r="D48" s="28">
        <v>65866.05</v>
      </c>
      <c r="E48" s="24">
        <v>35</v>
      </c>
      <c r="G48" s="28">
        <v>425642</v>
      </c>
      <c r="H48" s="29" t="s">
        <v>9</v>
      </c>
      <c r="I48" s="28">
        <v>133488.54</v>
      </c>
      <c r="J48" s="24">
        <v>35</v>
      </c>
    </row>
    <row r="49" spans="2:3" ht="15.75" thickTop="1" x14ac:dyDescent="0.25"/>
    <row r="51" spans="2:3" x14ac:dyDescent="0.25">
      <c r="B51" s="88" t="s">
        <v>16</v>
      </c>
      <c r="C51" s="88"/>
    </row>
    <row r="52" spans="2:3" x14ac:dyDescent="0.25">
      <c r="B52" s="8" t="s">
        <v>17</v>
      </c>
      <c r="C52" s="8">
        <v>113.14</v>
      </c>
    </row>
    <row r="53" spans="2:3" x14ac:dyDescent="0.25">
      <c r="B53" s="8" t="s">
        <v>18</v>
      </c>
      <c r="C53" s="8">
        <v>117.31</v>
      </c>
    </row>
    <row r="55" spans="2:3" x14ac:dyDescent="0.25">
      <c r="B55" s="8" t="s">
        <v>19</v>
      </c>
      <c r="C55" s="9">
        <v>3439.46</v>
      </c>
    </row>
    <row r="56" spans="2:3" x14ac:dyDescent="0.25">
      <c r="B56" s="8" t="s">
        <v>20</v>
      </c>
      <c r="C56" s="9">
        <v>3566.22</v>
      </c>
    </row>
    <row r="57" spans="2:3" x14ac:dyDescent="0.25">
      <c r="B57" s="8" t="s">
        <v>21</v>
      </c>
      <c r="C57" s="9">
        <v>11492.66</v>
      </c>
    </row>
    <row r="58" spans="2:3" x14ac:dyDescent="0.25">
      <c r="B58" s="8" t="s">
        <v>22</v>
      </c>
      <c r="C58" s="10">
        <v>0.1502</v>
      </c>
    </row>
    <row r="59" spans="2:3" x14ac:dyDescent="0.25">
      <c r="B59" s="8" t="s">
        <v>23</v>
      </c>
      <c r="C59" s="11">
        <v>0.15590000000000001</v>
      </c>
    </row>
    <row r="62" spans="2:3" x14ac:dyDescent="0.25">
      <c r="B62">
        <v>1</v>
      </c>
    </row>
    <row r="63" spans="2:3" x14ac:dyDescent="0.25">
      <c r="B63">
        <v>2</v>
      </c>
    </row>
    <row r="64" spans="2:3" x14ac:dyDescent="0.25">
      <c r="B64">
        <v>3</v>
      </c>
    </row>
    <row r="65" spans="2:2" x14ac:dyDescent="0.25">
      <c r="B65">
        <v>4</v>
      </c>
    </row>
    <row r="66" spans="2:2" x14ac:dyDescent="0.25">
      <c r="B66">
        <v>5</v>
      </c>
    </row>
    <row r="67" spans="2:2" x14ac:dyDescent="0.25">
      <c r="B67">
        <v>6</v>
      </c>
    </row>
    <row r="68" spans="2:2" x14ac:dyDescent="0.25">
      <c r="B68">
        <v>7</v>
      </c>
    </row>
    <row r="69" spans="2:2" x14ac:dyDescent="0.25">
      <c r="B69">
        <v>8</v>
      </c>
    </row>
    <row r="70" spans="2:2" x14ac:dyDescent="0.25">
      <c r="B70">
        <v>9</v>
      </c>
    </row>
    <row r="71" spans="2:2" x14ac:dyDescent="0.25">
      <c r="B71">
        <v>10</v>
      </c>
    </row>
    <row r="72" spans="2:2" x14ac:dyDescent="0.25">
      <c r="B72">
        <v>11</v>
      </c>
    </row>
    <row r="73" spans="2:2" x14ac:dyDescent="0.25">
      <c r="B73">
        <v>12</v>
      </c>
    </row>
    <row r="74" spans="2:2" x14ac:dyDescent="0.25">
      <c r="B74">
        <v>13</v>
      </c>
    </row>
    <row r="75" spans="2:2" x14ac:dyDescent="0.25">
      <c r="B75">
        <v>14</v>
      </c>
    </row>
    <row r="76" spans="2:2" x14ac:dyDescent="0.25">
      <c r="B76">
        <v>15</v>
      </c>
    </row>
    <row r="77" spans="2:2" x14ac:dyDescent="0.25">
      <c r="B77">
        <v>16</v>
      </c>
    </row>
    <row r="78" spans="2:2" x14ac:dyDescent="0.25">
      <c r="B78">
        <v>17</v>
      </c>
    </row>
    <row r="79" spans="2:2" x14ac:dyDescent="0.25">
      <c r="B79">
        <v>18</v>
      </c>
    </row>
    <row r="80" spans="2:2" x14ac:dyDescent="0.25">
      <c r="B80">
        <v>19</v>
      </c>
    </row>
    <row r="81" spans="2:2" x14ac:dyDescent="0.25">
      <c r="B81">
        <v>20</v>
      </c>
    </row>
    <row r="82" spans="2:2" x14ac:dyDescent="0.25">
      <c r="B82">
        <v>21</v>
      </c>
    </row>
    <row r="83" spans="2:2" x14ac:dyDescent="0.25">
      <c r="B83">
        <v>22</v>
      </c>
    </row>
    <row r="84" spans="2:2" x14ac:dyDescent="0.25">
      <c r="B84">
        <v>23</v>
      </c>
    </row>
    <row r="85" spans="2:2" x14ac:dyDescent="0.25">
      <c r="B85">
        <v>24</v>
      </c>
    </row>
    <row r="86" spans="2:2" x14ac:dyDescent="0.25">
      <c r="B86">
        <v>25</v>
      </c>
    </row>
    <row r="87" spans="2:2" x14ac:dyDescent="0.25">
      <c r="B87">
        <v>26</v>
      </c>
    </row>
    <row r="88" spans="2:2" x14ac:dyDescent="0.25">
      <c r="B88">
        <v>27</v>
      </c>
    </row>
    <row r="89" spans="2:2" x14ac:dyDescent="0.25">
      <c r="B89">
        <v>28</v>
      </c>
    </row>
    <row r="90" spans="2:2" x14ac:dyDescent="0.25">
      <c r="B90">
        <v>29</v>
      </c>
    </row>
    <row r="91" spans="2:2" x14ac:dyDescent="0.25">
      <c r="B91">
        <v>30</v>
      </c>
    </row>
    <row r="92" spans="2:2" x14ac:dyDescent="0.25">
      <c r="B92">
        <v>31</v>
      </c>
    </row>
  </sheetData>
  <mergeCells count="5">
    <mergeCell ref="B5:E5"/>
    <mergeCell ref="B20:E20"/>
    <mergeCell ref="B35:E35"/>
    <mergeCell ref="B51:C51"/>
    <mergeCell ref="G35:J3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DB25F-5C38-4408-BF26-045831EB01AA}">
  <dimension ref="B4:C13"/>
  <sheetViews>
    <sheetView showGridLines="0" workbookViewId="0">
      <selection activeCell="B6" sqref="B6"/>
    </sheetView>
  </sheetViews>
  <sheetFormatPr baseColWidth="10" defaultRowHeight="15" x14ac:dyDescent="0.25"/>
  <cols>
    <col min="2" max="2" width="73.140625" bestFit="1" customWidth="1"/>
    <col min="3" max="3" width="26" customWidth="1"/>
  </cols>
  <sheetData>
    <row r="4" spans="2:3" ht="15.75" thickBot="1" x14ac:dyDescent="0.3"/>
    <row r="5" spans="2:3" ht="21" x14ac:dyDescent="0.35">
      <c r="B5" s="117" t="s">
        <v>103</v>
      </c>
      <c r="C5" s="117" t="s">
        <v>254</v>
      </c>
    </row>
    <row r="6" spans="2:3" ht="18.75" x14ac:dyDescent="0.3">
      <c r="B6" s="118" t="s">
        <v>255</v>
      </c>
      <c r="C6" s="121">
        <v>174</v>
      </c>
    </row>
    <row r="7" spans="2:3" ht="18.75" x14ac:dyDescent="0.3">
      <c r="B7" s="119" t="s">
        <v>256</v>
      </c>
      <c r="C7" s="122">
        <v>175</v>
      </c>
    </row>
    <row r="8" spans="2:3" ht="18.75" x14ac:dyDescent="0.3">
      <c r="B8" s="118" t="s">
        <v>58</v>
      </c>
      <c r="C8" s="121">
        <v>176</v>
      </c>
    </row>
    <row r="9" spans="2:3" ht="18.75" x14ac:dyDescent="0.3">
      <c r="B9" s="119" t="s">
        <v>100</v>
      </c>
      <c r="C9" s="122">
        <v>177</v>
      </c>
    </row>
    <row r="10" spans="2:3" ht="18.75" x14ac:dyDescent="0.3">
      <c r="B10" s="118" t="s">
        <v>94</v>
      </c>
      <c r="C10" s="121">
        <v>96</v>
      </c>
    </row>
    <row r="11" spans="2:3" ht="18.75" x14ac:dyDescent="0.3">
      <c r="B11" s="119" t="s">
        <v>257</v>
      </c>
      <c r="C11" s="122" t="s">
        <v>258</v>
      </c>
    </row>
    <row r="12" spans="2:3" ht="18.75" x14ac:dyDescent="0.3">
      <c r="B12" s="118" t="s">
        <v>259</v>
      </c>
      <c r="C12" s="121" t="s">
        <v>260</v>
      </c>
    </row>
    <row r="13" spans="2:3" ht="19.5" thickBot="1" x14ac:dyDescent="0.35">
      <c r="B13" s="120" t="s">
        <v>261</v>
      </c>
      <c r="C13" s="123" t="s">
        <v>262</v>
      </c>
    </row>
  </sheetData>
  <sheetProtection algorithmName="SHA-512" hashValue="BTrR1mJY3+IP1nfzH+/tCOpI7zjPLiss0THwtHfFqq6O0UU7ZBGr8jIVVyq+7sQpnPBX2w5+LXHBU65uTvQ/Ng==" saltValue="NM+zcnKLsgmJEORbz+zrCQ==" spinCount="100000" sheet="1" objects="1" scenarios="1"/>
  <hyperlinks>
    <hyperlink ref="C6" location="'174'!B4" display="'174'!B4" xr:uid="{487F8B2C-1813-48B0-9A4F-F1F1A63C818F}"/>
    <hyperlink ref="C7" location="'175'!C5" display="'175'!C5" xr:uid="{AC8E2DD7-2458-49B5-8C3A-5D2E08911D0D}"/>
    <hyperlink ref="C8" location="'176'!B4" display="'176'!B4" xr:uid="{2D81A407-F7E0-4909-A434-ECC980065CE1}"/>
    <hyperlink ref="C9" location="'177'!B4" display="'177'!B4" xr:uid="{E7BB7902-B4EF-4E46-BEEF-4E731D28ADA0}"/>
    <hyperlink ref="C10" location="'96'!B4" display="'96'!B4" xr:uid="{F4C31FBD-EF82-476E-BAC8-04B356688D8B}"/>
    <hyperlink ref="C11" location="ASIMILADOS!D6" display="ASIMILADOS" xr:uid="{6BC7F1CD-5C76-48F9-B1D3-37917A068E36}"/>
    <hyperlink ref="C12" location="PREVISION!E5" display="PREVISION" xr:uid="{8A6D74FD-CD74-48E0-9047-BDFFA4619D96}"/>
    <hyperlink ref="C13" location="TARIFAS!B5" display="TARIFAS" xr:uid="{A7618CDD-798F-4F1D-8FA4-BDB1AA1951B7}"/>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E76B1-395B-4008-B22B-BD55FBB3B1EA}">
  <dimension ref="B3:H48"/>
  <sheetViews>
    <sheetView showGridLines="0" zoomScale="120" zoomScaleNormal="120" workbookViewId="0">
      <selection activeCell="B4" sqref="B4:G4"/>
    </sheetView>
  </sheetViews>
  <sheetFormatPr baseColWidth="10" defaultRowHeight="15" outlineLevelRow="1" x14ac:dyDescent="0.25"/>
  <cols>
    <col min="2" max="2" width="38.42578125" customWidth="1"/>
    <col min="5" max="5" width="14.5703125" customWidth="1"/>
    <col min="6" max="6" width="20.85546875" customWidth="1"/>
    <col min="7" max="8" width="18" customWidth="1"/>
  </cols>
  <sheetData>
    <row r="3" spans="2:7" x14ac:dyDescent="0.25">
      <c r="B3" s="1" t="s">
        <v>27</v>
      </c>
    </row>
    <row r="4" spans="2:7" ht="79.5" customHeight="1" x14ac:dyDescent="0.25">
      <c r="B4" s="92" t="s">
        <v>95</v>
      </c>
      <c r="C4" s="93"/>
      <c r="D4" s="93"/>
      <c r="E4" s="93"/>
      <c r="F4" s="93"/>
      <c r="G4" s="93"/>
    </row>
    <row r="5" spans="2:7" ht="48" customHeight="1" x14ac:dyDescent="0.25">
      <c r="B5" s="94" t="s">
        <v>96</v>
      </c>
      <c r="C5" s="94"/>
      <c r="D5" s="94"/>
      <c r="E5" s="94"/>
      <c r="F5" s="94"/>
      <c r="G5" s="94"/>
    </row>
    <row r="7" spans="2:7" x14ac:dyDescent="0.25">
      <c r="B7" t="s">
        <v>26</v>
      </c>
      <c r="C7" s="15"/>
    </row>
    <row r="8" spans="2:7" x14ac:dyDescent="0.25">
      <c r="B8" t="s">
        <v>35</v>
      </c>
      <c r="C8" s="12"/>
    </row>
    <row r="10" spans="2:7" x14ac:dyDescent="0.25">
      <c r="C10" s="17" t="s">
        <v>28</v>
      </c>
      <c r="D10" s="17" t="s">
        <v>29</v>
      </c>
      <c r="E10" s="18" t="s">
        <v>30</v>
      </c>
    </row>
    <row r="11" spans="2:7" x14ac:dyDescent="0.25">
      <c r="B11" t="s">
        <v>31</v>
      </c>
      <c r="C11" s="12"/>
      <c r="D11" s="9" t="str">
        <f>IFERROR(IF(C7&lt;&gt;"",IF(MONTH($C$7)=1,$C$38,$C$39)*30,""),"")</f>
        <v/>
      </c>
      <c r="E11" s="9">
        <f>SUM(C11:D11)</f>
        <v>0</v>
      </c>
    </row>
    <row r="12" spans="2:7" x14ac:dyDescent="0.25">
      <c r="B12" t="s">
        <v>32</v>
      </c>
      <c r="C12" s="12"/>
      <c r="D12" s="9" t="str">
        <f>IFERROR(IF(C8&lt;&gt;"",IF(MONTH($C$7)=1,$C$38,$C$39)*15,""),"")</f>
        <v/>
      </c>
      <c r="E12" s="9">
        <f t="shared" ref="E12:E14" si="0">SUM(C12:D12)</f>
        <v>0</v>
      </c>
    </row>
    <row r="13" spans="2:7" x14ac:dyDescent="0.25">
      <c r="B13" t="s">
        <v>33</v>
      </c>
      <c r="C13" s="12"/>
      <c r="D13" s="12"/>
      <c r="E13" s="9">
        <f t="shared" si="0"/>
        <v>0</v>
      </c>
    </row>
    <row r="14" spans="2:7" x14ac:dyDescent="0.25">
      <c r="B14" t="s">
        <v>34</v>
      </c>
      <c r="C14" s="12"/>
      <c r="D14" s="9">
        <f>IFERROR(IF(C10&lt;&gt;"",IF(MONTH($C$7)=1,$C$38,$C$39)*15,""),"")</f>
        <v>1697.1</v>
      </c>
      <c r="E14" s="9">
        <f t="shared" si="0"/>
        <v>1697.1</v>
      </c>
    </row>
    <row r="15" spans="2:7" x14ac:dyDescent="0.25">
      <c r="B15" s="1" t="s">
        <v>30</v>
      </c>
      <c r="C15" s="14">
        <f>SUMIF(C11:C14,"&gt;0")</f>
        <v>0</v>
      </c>
      <c r="D15" s="14">
        <f t="shared" ref="D15:E15" si="1">SUMIF(D11:D14,"&gt;0")</f>
        <v>1697.1</v>
      </c>
      <c r="E15" s="14">
        <f t="shared" si="1"/>
        <v>1697.1</v>
      </c>
    </row>
    <row r="17" spans="2:8" ht="81" hidden="1" customHeight="1" outlineLevel="1" x14ac:dyDescent="0.25">
      <c r="B17" s="95" t="s">
        <v>97</v>
      </c>
      <c r="C17" s="96"/>
      <c r="D17" s="96"/>
      <c r="E17" s="96"/>
      <c r="F17" s="96"/>
      <c r="G17" s="96"/>
    </row>
    <row r="18" spans="2:8" collapsed="1" x14ac:dyDescent="0.25">
      <c r="B18" t="s">
        <v>0</v>
      </c>
      <c r="C18">
        <f>IFERROR(ROUND(C15/30.4,2),"")</f>
        <v>0</v>
      </c>
    </row>
    <row r="19" spans="2:8" x14ac:dyDescent="0.25">
      <c r="B19" t="s">
        <v>36</v>
      </c>
      <c r="C19" s="2" t="str">
        <f>IF(C8&lt;&gt;"",C8,"")</f>
        <v/>
      </c>
    </row>
    <row r="20" spans="2:8" x14ac:dyDescent="0.25">
      <c r="B20" t="s">
        <v>37</v>
      </c>
      <c r="C20" s="2">
        <f>SUMIF(C18:C19,"&gt;0")</f>
        <v>0</v>
      </c>
    </row>
    <row r="21" spans="2:8" x14ac:dyDescent="0.25">
      <c r="B21" t="s">
        <v>40</v>
      </c>
      <c r="C21" s="14" t="str">
        <f>IFERROR(ROUND(((C20-VLOOKUP(C20,E38:H48,1))*VLOOKUP(C20,E38:H48,4)%)+VLOOKUP(C20,E38:H48,3),2),"")</f>
        <v/>
      </c>
      <c r="E21" s="89" t="s">
        <v>39</v>
      </c>
      <c r="F21" s="89"/>
      <c r="G21" s="89"/>
      <c r="H21" s="14" t="str">
        <f>IFERROR(ROUND(((C19-VLOOKUP(C19,E38:H48,1))*VLOOKUP(C19,E38:H48,4)%)+VLOOKUP(C19,E38:H48,3),2),"")</f>
        <v/>
      </c>
    </row>
    <row r="22" spans="2:8" x14ac:dyDescent="0.25">
      <c r="B22" t="s">
        <v>25</v>
      </c>
      <c r="C22" s="2" t="str">
        <f>IFERROR(IF(C21&lt;&gt;"",IF(C20&lt;=C43,IF(C21&gt;=ROUND(IF(MONTH(C13)=1,C41,C42)*IF(MONTH(C13=1),C45,C44),2),ROUND(IF(MONTH(C13)=1,C41,C42)*IF(MONTH(C13=1),C45,C44),2),C21),0),""),"")</f>
        <v/>
      </c>
      <c r="E22" s="89" t="s">
        <v>25</v>
      </c>
      <c r="F22" s="89"/>
      <c r="G22" s="89"/>
      <c r="H22" s="2">
        <f>IFERROR(IF(C19&lt;=C43,IF(C21&gt;=ROUND(IF(MONTH(C13)=1,C41,C42)*IF(MONTH(C13=1),C45,C44),2),ROUND(IF(MONTH(C13)=1,C41,C42)*IF(MONTH(C13=1),C45,C44),2),H21),0),"")</f>
        <v>0</v>
      </c>
    </row>
    <row r="23" spans="2:8" x14ac:dyDescent="0.25">
      <c r="B23" s="1" t="s">
        <v>43</v>
      </c>
      <c r="C23" s="16">
        <f>IFERROR(C21-C22,0)</f>
        <v>0</v>
      </c>
      <c r="E23" s="90" t="s">
        <v>44</v>
      </c>
      <c r="F23" s="90"/>
      <c r="G23" s="90"/>
      <c r="H23" s="16">
        <f>IFERROR(H21-H22,0)</f>
        <v>0</v>
      </c>
    </row>
    <row r="25" spans="2:8" ht="100.5" hidden="1" customHeight="1" outlineLevel="1" x14ac:dyDescent="0.25">
      <c r="B25" s="97" t="s">
        <v>98</v>
      </c>
      <c r="C25" s="98"/>
      <c r="D25" s="98"/>
      <c r="E25" s="98"/>
      <c r="F25" s="98"/>
      <c r="G25" s="98"/>
    </row>
    <row r="26" spans="2:8" collapsed="1" x14ac:dyDescent="0.25">
      <c r="B26" s="1" t="s">
        <v>42</v>
      </c>
    </row>
    <row r="27" spans="2:8" x14ac:dyDescent="0.25">
      <c r="B27" t="s">
        <v>46</v>
      </c>
      <c r="C27" t="str">
        <f>IF(C23&gt;0,C23,"")</f>
        <v/>
      </c>
      <c r="E27" s="91" t="s">
        <v>52</v>
      </c>
      <c r="F27" s="91"/>
      <c r="G27" s="91"/>
      <c r="H27" s="2" t="str">
        <f>IF(C15&gt;0,C15,"")</f>
        <v/>
      </c>
    </row>
    <row r="28" spans="2:8" x14ac:dyDescent="0.25">
      <c r="B28" t="s">
        <v>45</v>
      </c>
      <c r="C28" t="str">
        <f>IF(H23&gt;0,H23,"")</f>
        <v/>
      </c>
      <c r="E28" s="91" t="s">
        <v>53</v>
      </c>
      <c r="F28" s="91"/>
      <c r="G28" s="91"/>
      <c r="H28" t="str">
        <f>IF(C33&gt;0,C33,"")</f>
        <v/>
      </c>
    </row>
    <row r="29" spans="2:8" x14ac:dyDescent="0.25">
      <c r="B29" t="s">
        <v>48</v>
      </c>
      <c r="C29" t="str">
        <f>IFERROR(ROUND(C27-C28,2),"")</f>
        <v/>
      </c>
      <c r="E29" s="99" t="s">
        <v>14</v>
      </c>
      <c r="F29" s="99"/>
      <c r="G29" s="99"/>
      <c r="H29" s="14" t="str">
        <f>IFERROR(ROUND(H27*H28%,2),"")</f>
        <v/>
      </c>
    </row>
    <row r="30" spans="2:8" x14ac:dyDescent="0.25">
      <c r="B30" t="s">
        <v>49</v>
      </c>
      <c r="C30" t="str">
        <f>IF(C18&gt;0,C18,"")</f>
        <v/>
      </c>
    </row>
    <row r="31" spans="2:8" x14ac:dyDescent="0.25">
      <c r="B31" t="s">
        <v>47</v>
      </c>
      <c r="C31" t="str">
        <f>IFERROR(ROUND(C29/C30,4),"")</f>
        <v/>
      </c>
    </row>
    <row r="32" spans="2:8" x14ac:dyDescent="0.25">
      <c r="B32" t="s">
        <v>50</v>
      </c>
      <c r="C32" t="str">
        <f>IF(C31&lt;&gt;"",100,"")</f>
        <v/>
      </c>
    </row>
    <row r="33" spans="2:8" x14ac:dyDescent="0.25">
      <c r="B33" s="1" t="s">
        <v>51</v>
      </c>
      <c r="C33" s="1" t="str">
        <f>IFERROR(C31*C32,"")</f>
        <v/>
      </c>
    </row>
    <row r="34" spans="2:8" x14ac:dyDescent="0.25">
      <c r="E34" s="86" t="s">
        <v>11</v>
      </c>
      <c r="F34" s="86"/>
      <c r="G34" s="86"/>
      <c r="H34" s="86"/>
    </row>
    <row r="35" spans="2:8" ht="41.25" customHeight="1" thickBot="1" x14ac:dyDescent="0.3">
      <c r="E35" s="87" t="s">
        <v>38</v>
      </c>
      <c r="F35" s="87"/>
      <c r="G35" s="87"/>
      <c r="H35" s="87"/>
    </row>
    <row r="36" spans="2:8" ht="39.75" customHeight="1" thickTop="1" x14ac:dyDescent="0.25">
      <c r="E36" s="3" t="s">
        <v>3</v>
      </c>
      <c r="F36" s="3" t="s">
        <v>4</v>
      </c>
      <c r="G36" s="3" t="s">
        <v>5</v>
      </c>
      <c r="H36" s="3" t="s">
        <v>6</v>
      </c>
    </row>
    <row r="37" spans="2:8" x14ac:dyDescent="0.25">
      <c r="B37" s="88" t="s">
        <v>16</v>
      </c>
      <c r="C37" s="88"/>
      <c r="E37" s="5" t="s">
        <v>7</v>
      </c>
      <c r="F37" s="5" t="s">
        <v>7</v>
      </c>
      <c r="G37" s="5" t="s">
        <v>7</v>
      </c>
      <c r="H37" s="5" t="s">
        <v>8</v>
      </c>
    </row>
    <row r="38" spans="2:8" x14ac:dyDescent="0.25">
      <c r="B38" s="8" t="s">
        <v>17</v>
      </c>
      <c r="C38" s="8">
        <v>113.14</v>
      </c>
      <c r="E38" s="6">
        <v>0.01</v>
      </c>
      <c r="F38" s="6">
        <v>844.59</v>
      </c>
      <c r="G38" s="6">
        <v>0</v>
      </c>
      <c r="H38" s="7">
        <v>1.92</v>
      </c>
    </row>
    <row r="39" spans="2:8" x14ac:dyDescent="0.25">
      <c r="B39" s="8" t="s">
        <v>18</v>
      </c>
      <c r="C39" s="8">
        <v>117.31</v>
      </c>
      <c r="E39" s="6">
        <v>844.6</v>
      </c>
      <c r="F39" s="6">
        <v>7168.51</v>
      </c>
      <c r="G39" s="6">
        <v>16.22</v>
      </c>
      <c r="H39" s="7">
        <v>6.4</v>
      </c>
    </row>
    <row r="40" spans="2:8" x14ac:dyDescent="0.25">
      <c r="E40" s="6">
        <v>7168.52</v>
      </c>
      <c r="F40" s="6">
        <v>12598.02</v>
      </c>
      <c r="G40" s="6">
        <v>420.95</v>
      </c>
      <c r="H40" s="7">
        <v>10.88</v>
      </c>
    </row>
    <row r="41" spans="2:8" x14ac:dyDescent="0.25">
      <c r="B41" s="8" t="s">
        <v>19</v>
      </c>
      <c r="C41" s="9">
        <v>3439.46</v>
      </c>
      <c r="E41" s="6">
        <v>12598.03</v>
      </c>
      <c r="F41" s="6">
        <v>14644.64</v>
      </c>
      <c r="G41" s="6">
        <v>1011.68</v>
      </c>
      <c r="H41" s="7">
        <v>16</v>
      </c>
    </row>
    <row r="42" spans="2:8" x14ac:dyDescent="0.25">
      <c r="B42" s="8" t="s">
        <v>20</v>
      </c>
      <c r="C42" s="9">
        <v>3566.22</v>
      </c>
      <c r="E42" s="6">
        <v>14644.65</v>
      </c>
      <c r="F42" s="6">
        <v>17533.64</v>
      </c>
      <c r="G42" s="6">
        <v>1339.14</v>
      </c>
      <c r="H42" s="7">
        <v>17.920000000000002</v>
      </c>
    </row>
    <row r="43" spans="2:8" x14ac:dyDescent="0.25">
      <c r="B43" s="8" t="s">
        <v>21</v>
      </c>
      <c r="C43" s="9">
        <v>11492.66</v>
      </c>
      <c r="E43" s="6">
        <v>17533.650000000001</v>
      </c>
      <c r="F43" s="6">
        <v>35362.83</v>
      </c>
      <c r="G43" s="6">
        <v>1856.84</v>
      </c>
      <c r="H43" s="7">
        <v>21.36</v>
      </c>
    </row>
    <row r="44" spans="2:8" x14ac:dyDescent="0.25">
      <c r="B44" s="8" t="s">
        <v>22</v>
      </c>
      <c r="C44" s="10">
        <v>0.1502</v>
      </c>
      <c r="E44" s="6">
        <v>35362.839999999997</v>
      </c>
      <c r="F44" s="6">
        <v>55736.68</v>
      </c>
      <c r="G44" s="6">
        <v>5665.16</v>
      </c>
      <c r="H44" s="7">
        <v>23.52</v>
      </c>
    </row>
    <row r="45" spans="2:8" x14ac:dyDescent="0.25">
      <c r="B45" s="8" t="s">
        <v>23</v>
      </c>
      <c r="C45" s="11">
        <v>0.15590000000000001</v>
      </c>
      <c r="E45" s="6">
        <v>55736.69</v>
      </c>
      <c r="F45" s="6">
        <v>106410.5</v>
      </c>
      <c r="G45" s="6">
        <v>10457.09</v>
      </c>
      <c r="H45" s="7">
        <v>30</v>
      </c>
    </row>
    <row r="46" spans="2:8" x14ac:dyDescent="0.25">
      <c r="E46" s="6">
        <v>106410.51</v>
      </c>
      <c r="F46" s="6">
        <v>141880.66</v>
      </c>
      <c r="G46" s="6">
        <v>25659.23</v>
      </c>
      <c r="H46" s="7">
        <v>32</v>
      </c>
    </row>
    <row r="47" spans="2:8" x14ac:dyDescent="0.25">
      <c r="E47" s="6">
        <v>141880.67000000001</v>
      </c>
      <c r="F47" s="6">
        <v>425641.99</v>
      </c>
      <c r="G47" s="6">
        <v>37009.69</v>
      </c>
      <c r="H47" s="7">
        <v>34</v>
      </c>
    </row>
    <row r="48" spans="2:8" x14ac:dyDescent="0.25">
      <c r="E48" s="6">
        <v>425642</v>
      </c>
      <c r="F48" s="6" t="s">
        <v>9</v>
      </c>
      <c r="G48" s="6">
        <v>133488.54</v>
      </c>
      <c r="H48" s="7">
        <v>35</v>
      </c>
    </row>
  </sheetData>
  <mergeCells count="13">
    <mergeCell ref="B4:G4"/>
    <mergeCell ref="B5:G5"/>
    <mergeCell ref="B17:G17"/>
    <mergeCell ref="B25:G25"/>
    <mergeCell ref="E29:G29"/>
    <mergeCell ref="E34:H34"/>
    <mergeCell ref="E35:H35"/>
    <mergeCell ref="B37:C37"/>
    <mergeCell ref="E21:G21"/>
    <mergeCell ref="E22:G22"/>
    <mergeCell ref="E23:G23"/>
    <mergeCell ref="E27:G27"/>
    <mergeCell ref="E28:G28"/>
  </mergeCells>
  <conditionalFormatting sqref="E38:H48">
    <cfRule type="expression" dxfId="9" priority="2">
      <formula>IF(AND($C$20&gt;=$E38,$C$20&lt;=$F38),1,0)</formula>
    </cfRule>
  </conditionalFormatting>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45B5-0D49-423C-A5D9-3117D869BBD5}">
  <dimension ref="B3:H29"/>
  <sheetViews>
    <sheetView showGridLines="0" zoomScale="120" zoomScaleNormal="120" workbookViewId="0">
      <selection activeCell="C5" sqref="C5"/>
    </sheetView>
  </sheetViews>
  <sheetFormatPr baseColWidth="10" defaultRowHeight="15" outlineLevelRow="1" x14ac:dyDescent="0.25"/>
  <cols>
    <col min="2" max="2" width="46.28515625" customWidth="1"/>
    <col min="4" max="4" width="6" customWidth="1"/>
    <col min="5" max="5" width="14.5703125" customWidth="1"/>
    <col min="6" max="6" width="13.5703125" customWidth="1"/>
    <col min="7" max="7" width="13.28515625" customWidth="1"/>
    <col min="8" max="8" width="18" customWidth="1"/>
  </cols>
  <sheetData>
    <row r="3" spans="2:8" ht="147" hidden="1" customHeight="1" outlineLevel="1" x14ac:dyDescent="0.25">
      <c r="B3" s="100" t="s">
        <v>99</v>
      </c>
      <c r="C3" s="101"/>
      <c r="D3" s="101"/>
      <c r="E3" s="101"/>
      <c r="F3" s="101"/>
      <c r="G3" s="101"/>
      <c r="H3" s="101"/>
    </row>
    <row r="4" spans="2:8" collapsed="1" x14ac:dyDescent="0.25">
      <c r="B4" s="1" t="s">
        <v>256</v>
      </c>
    </row>
    <row r="5" spans="2:8" x14ac:dyDescent="0.25">
      <c r="B5" t="s">
        <v>26</v>
      </c>
      <c r="C5" s="15"/>
    </row>
    <row r="6" spans="2:8" x14ac:dyDescent="0.25">
      <c r="B6" t="s">
        <v>2</v>
      </c>
      <c r="C6" s="12"/>
    </row>
    <row r="7" spans="2:8" x14ac:dyDescent="0.25">
      <c r="B7" t="s">
        <v>1</v>
      </c>
      <c r="C7" s="13"/>
    </row>
    <row r="8" spans="2:8" x14ac:dyDescent="0.25">
      <c r="B8" t="s">
        <v>12</v>
      </c>
      <c r="C8" t="str">
        <f>IFERROR(ROUND(C6/C7,2),"")</f>
        <v/>
      </c>
    </row>
    <row r="9" spans="2:8" x14ac:dyDescent="0.25">
      <c r="B9" t="s">
        <v>13</v>
      </c>
      <c r="C9" t="str">
        <f>IFERROR(ROUND(((C8-VLOOKUP(C8,$E$19:$H$29,1))*VLOOKUP(C8,$E$19:$H$29,4)%)+VLOOKUP(C8,$E$19:$H$29,3),2),"")</f>
        <v/>
      </c>
    </row>
    <row r="10" spans="2:8" x14ac:dyDescent="0.25">
      <c r="B10" t="s">
        <v>15</v>
      </c>
      <c r="C10" t="str">
        <f>IF(C7&lt;&gt;"",C7,"")</f>
        <v/>
      </c>
    </row>
    <row r="11" spans="2:8" x14ac:dyDescent="0.25">
      <c r="B11" t="s">
        <v>41</v>
      </c>
      <c r="C11" s="14" t="str">
        <f>IFERROR(ROUND(C9*C10,2),"")</f>
        <v/>
      </c>
    </row>
    <row r="12" spans="2:8" x14ac:dyDescent="0.25">
      <c r="B12" s="1" t="s">
        <v>24</v>
      </c>
      <c r="C12" s="14" t="str">
        <f>IFERROR(ROUND(((C11-VLOOKUP(C11,E19:H29,1))*VLOOKUP(C11,E19:H29,4)%)+VLOOKUP(C11,E19:H29,3),2),"")</f>
        <v/>
      </c>
    </row>
    <row r="13" spans="2:8" x14ac:dyDescent="0.25">
      <c r="B13" t="s">
        <v>25</v>
      </c>
      <c r="C13" s="2">
        <f>IFERROR(IF(C6&lt;=C24,IF(C12&gt;=IF(C7&lt;30,IF(MONTH(C5)=1,C22,C23)*IF(MONTH(C5)=1,C26,C25)/30.4*C7,ROUND(IF(MONTH(C5)=1,C22,C23)*IF(MONTH(C5=1),C26,C25),2)),IF(C7&lt;30,IF(MONTH(C5)=1,C22,C23)*IF(MONTH(C5)=1,C26,C25)/30.4*C7,ROUND(IF(MONTH(C5)=1,C22,C23)*IF(MONTH(C5=1),C26,C25),2)),C12),0),0)</f>
        <v>0</v>
      </c>
    </row>
    <row r="14" spans="2:8" x14ac:dyDescent="0.25">
      <c r="B14" s="1" t="s">
        <v>14</v>
      </c>
      <c r="C14" s="16">
        <f>IFERROR(C12-C13,0)</f>
        <v>0</v>
      </c>
    </row>
    <row r="15" spans="2:8" x14ac:dyDescent="0.25">
      <c r="E15" s="86" t="s">
        <v>11</v>
      </c>
      <c r="F15" s="86"/>
      <c r="G15" s="86"/>
      <c r="H15" s="86"/>
    </row>
    <row r="16" spans="2:8" ht="54" customHeight="1" thickBot="1" x14ac:dyDescent="0.3">
      <c r="E16" s="87" t="s">
        <v>10</v>
      </c>
      <c r="F16" s="87"/>
      <c r="G16" s="87"/>
      <c r="H16" s="87"/>
    </row>
    <row r="17" spans="2:8" ht="45.75" thickTop="1" x14ac:dyDescent="0.25">
      <c r="E17" s="3" t="s">
        <v>3</v>
      </c>
      <c r="F17" s="3" t="s">
        <v>4</v>
      </c>
      <c r="G17" s="3" t="s">
        <v>5</v>
      </c>
      <c r="H17" s="3" t="s">
        <v>6</v>
      </c>
    </row>
    <row r="18" spans="2:8" x14ac:dyDescent="0.25">
      <c r="B18" s="88" t="s">
        <v>16</v>
      </c>
      <c r="C18" s="88"/>
      <c r="E18" s="5" t="s">
        <v>7</v>
      </c>
      <c r="F18" s="5" t="s">
        <v>7</v>
      </c>
      <c r="G18" s="5" t="s">
        <v>7</v>
      </c>
      <c r="H18" s="5" t="s">
        <v>8</v>
      </c>
    </row>
    <row r="19" spans="2:8" x14ac:dyDescent="0.25">
      <c r="B19" s="8" t="s">
        <v>17</v>
      </c>
      <c r="C19" s="8">
        <v>113.14</v>
      </c>
      <c r="E19" s="6">
        <v>0.01</v>
      </c>
      <c r="F19" s="6">
        <v>27.78</v>
      </c>
      <c r="G19" s="6">
        <v>0</v>
      </c>
      <c r="H19" s="7">
        <v>1.92</v>
      </c>
    </row>
    <row r="20" spans="2:8" x14ac:dyDescent="0.25">
      <c r="B20" s="8" t="s">
        <v>18</v>
      </c>
      <c r="C20" s="8">
        <v>117.31</v>
      </c>
      <c r="E20" s="6">
        <v>27.79</v>
      </c>
      <c r="F20" s="6">
        <v>235.81</v>
      </c>
      <c r="G20" s="6">
        <v>0.53</v>
      </c>
      <c r="H20" s="7">
        <v>6.4</v>
      </c>
    </row>
    <row r="21" spans="2:8" x14ac:dyDescent="0.25">
      <c r="E21" s="6">
        <v>235.82</v>
      </c>
      <c r="F21" s="6">
        <v>414.41</v>
      </c>
      <c r="G21" s="6">
        <v>13.85</v>
      </c>
      <c r="H21" s="7">
        <v>10.88</v>
      </c>
    </row>
    <row r="22" spans="2:8" x14ac:dyDescent="0.25">
      <c r="B22" s="8" t="s">
        <v>19</v>
      </c>
      <c r="C22" s="9">
        <v>3439.46</v>
      </c>
      <c r="E22" s="6">
        <v>414.42</v>
      </c>
      <c r="F22" s="6">
        <v>481.73</v>
      </c>
      <c r="G22" s="6">
        <v>33.28</v>
      </c>
      <c r="H22" s="7">
        <v>16</v>
      </c>
    </row>
    <row r="23" spans="2:8" x14ac:dyDescent="0.25">
      <c r="B23" s="8" t="s">
        <v>20</v>
      </c>
      <c r="C23" s="9">
        <v>3566.22</v>
      </c>
      <c r="E23" s="6">
        <v>481.74</v>
      </c>
      <c r="F23" s="6">
        <v>576.76</v>
      </c>
      <c r="G23" s="6">
        <v>44.05</v>
      </c>
      <c r="H23" s="7">
        <v>17.920000000000002</v>
      </c>
    </row>
    <row r="24" spans="2:8" x14ac:dyDescent="0.25">
      <c r="B24" s="8" t="s">
        <v>21</v>
      </c>
      <c r="C24" s="9">
        <v>11492.66</v>
      </c>
      <c r="E24" s="6">
        <v>576.77</v>
      </c>
      <c r="F24" s="6">
        <v>1163.25</v>
      </c>
      <c r="G24" s="6">
        <v>61.08</v>
      </c>
      <c r="H24" s="7">
        <v>21.36</v>
      </c>
    </row>
    <row r="25" spans="2:8" x14ac:dyDescent="0.25">
      <c r="B25" s="8" t="s">
        <v>22</v>
      </c>
      <c r="C25" s="10">
        <v>0.1502</v>
      </c>
      <c r="E25" s="6">
        <v>1163.26</v>
      </c>
      <c r="F25" s="6">
        <v>1833.44</v>
      </c>
      <c r="G25" s="6">
        <v>186.35</v>
      </c>
      <c r="H25" s="7">
        <v>23.52</v>
      </c>
    </row>
    <row r="26" spans="2:8" x14ac:dyDescent="0.25">
      <c r="B26" s="8" t="s">
        <v>23</v>
      </c>
      <c r="C26" s="11">
        <v>0.15590000000000001</v>
      </c>
      <c r="E26" s="6">
        <v>1833.45</v>
      </c>
      <c r="F26" s="6">
        <v>3500.35</v>
      </c>
      <c r="G26" s="6">
        <v>343.98</v>
      </c>
      <c r="H26" s="7">
        <v>30</v>
      </c>
    </row>
    <row r="27" spans="2:8" x14ac:dyDescent="0.25">
      <c r="E27" s="6">
        <v>3500.36</v>
      </c>
      <c r="F27" s="6">
        <v>4667.13</v>
      </c>
      <c r="G27" s="6">
        <v>844.05</v>
      </c>
      <c r="H27" s="7">
        <v>32</v>
      </c>
    </row>
    <row r="28" spans="2:8" x14ac:dyDescent="0.25">
      <c r="E28" s="6">
        <v>4667.1400000000003</v>
      </c>
      <c r="F28" s="6">
        <v>14001.38</v>
      </c>
      <c r="G28" s="6">
        <v>1217.42</v>
      </c>
      <c r="H28" s="7">
        <v>34</v>
      </c>
    </row>
    <row r="29" spans="2:8" x14ac:dyDescent="0.25">
      <c r="E29" s="6">
        <v>14001.39</v>
      </c>
      <c r="F29" s="6" t="s">
        <v>9</v>
      </c>
      <c r="G29" s="6">
        <v>4391.07</v>
      </c>
      <c r="H29" s="7">
        <v>35</v>
      </c>
    </row>
  </sheetData>
  <mergeCells count="4">
    <mergeCell ref="E16:H16"/>
    <mergeCell ref="E15:H15"/>
    <mergeCell ref="B18:C18"/>
    <mergeCell ref="B3:H3"/>
  </mergeCells>
  <conditionalFormatting sqref="E19:H29">
    <cfRule type="expression" dxfId="8" priority="1">
      <formula>IF(AND($C$11&gt;=$E19,$C$11&lt;=$F19),1,0)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CB755-3FCF-496B-A253-3FCD9CD3C33A}">
  <dimension ref="B3:J12"/>
  <sheetViews>
    <sheetView showGridLines="0" zoomScale="120" zoomScaleNormal="120" workbookViewId="0">
      <selection activeCell="B3" sqref="B3"/>
    </sheetView>
  </sheetViews>
  <sheetFormatPr baseColWidth="10" defaultRowHeight="15" x14ac:dyDescent="0.25"/>
  <cols>
    <col min="2" max="2" width="19" customWidth="1"/>
  </cols>
  <sheetData>
    <row r="3" spans="2:10" x14ac:dyDescent="0.25">
      <c r="B3" s="1" t="s">
        <v>58</v>
      </c>
    </row>
    <row r="4" spans="2:10" ht="81" customHeight="1" x14ac:dyDescent="0.25">
      <c r="B4" s="101" t="s">
        <v>57</v>
      </c>
      <c r="C4" s="101"/>
      <c r="D4" s="101"/>
      <c r="E4" s="101"/>
      <c r="F4" s="101"/>
      <c r="G4" s="101"/>
      <c r="H4" s="101"/>
      <c r="I4" s="101"/>
      <c r="J4" s="101"/>
    </row>
    <row r="6" spans="2:10" x14ac:dyDescent="0.25">
      <c r="B6" t="s">
        <v>26</v>
      </c>
      <c r="C6" s="15">
        <v>46052</v>
      </c>
    </row>
    <row r="7" spans="2:10" x14ac:dyDescent="0.25">
      <c r="B7" t="s">
        <v>59</v>
      </c>
      <c r="C7" s="13" t="s">
        <v>60</v>
      </c>
    </row>
    <row r="9" spans="2:10" x14ac:dyDescent="0.25">
      <c r="B9" t="s">
        <v>61</v>
      </c>
      <c r="C9" s="12">
        <v>2500</v>
      </c>
    </row>
    <row r="10" spans="2:10" x14ac:dyDescent="0.25">
      <c r="B10" s="1" t="s">
        <v>24</v>
      </c>
      <c r="C10" s="14">
        <f ca="1">IFERROR(ROUND(((C9-VLOOKUP(C9,INDIRECT("T"&amp;C7),1))*VLOOKUP(C9,INDIRECT("T"&amp;C7),4)%)+VLOOKUP(C9,INDIRECT("T"&amp;C7),3),2),"")</f>
        <v>189.36</v>
      </c>
    </row>
    <row r="11" spans="2:10" x14ac:dyDescent="0.25">
      <c r="B11" t="s">
        <v>25</v>
      </c>
      <c r="C11" s="2">
        <f ca="1">IFERROR(IF(C9&lt;=TARIFAS!C57,IF(C10&gt;=IF(MONTH(C6)=1,TARIFAS!C55,TARIFAS!C56)*IF(MONTH(C6)=1,TARIFAS!C59,TARIFAS!C58)/30.4*IF(C7="Semanal",7,IF(C7="Decenal",10,15)),ROUND(IF(MONTH(C6)=1,TARIFAS!C55,TARIFAS!C56)*IF(MONTH(C6)=1,TARIFAS!C59,TARIFAS!C58)/30.4*IF(C7="Semanal",7,IF(C7="Decenal",10,15)),2),C10),0),"")</f>
        <v>123.47</v>
      </c>
    </row>
    <row r="12" spans="2:10" x14ac:dyDescent="0.25">
      <c r="B12" s="1" t="s">
        <v>14</v>
      </c>
      <c r="C12" s="16">
        <f ca="1">IFERROR(C10-C11,0)</f>
        <v>65.890000000000015</v>
      </c>
    </row>
  </sheetData>
  <mergeCells count="1">
    <mergeCell ref="B4:J4"/>
  </mergeCells>
  <dataValidations disablePrompts="1" count="1">
    <dataValidation type="list" allowBlank="1" showInputMessage="1" showErrorMessage="1" errorTitle="ISR" error="Solo se permiten datos de la lista" sqref="C7" xr:uid="{01658ED3-B282-4ED7-8E1E-C9CB5A6679AE}">
      <formula1>"Semanal,Decenal,Quincenal"</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8629E-E684-4948-99E5-BD903B8D3DB6}">
  <dimension ref="B3:I18"/>
  <sheetViews>
    <sheetView showGridLines="0" zoomScale="120" zoomScaleNormal="120" workbookViewId="0">
      <selection activeCell="B3" sqref="B3"/>
    </sheetView>
  </sheetViews>
  <sheetFormatPr baseColWidth="10" defaultRowHeight="15" x14ac:dyDescent="0.25"/>
  <cols>
    <col min="2" max="2" width="23" customWidth="1"/>
    <col min="4" max="4" width="15.42578125" customWidth="1"/>
    <col min="6" max="6" width="15.5703125" customWidth="1"/>
    <col min="7" max="7" width="22.7109375" customWidth="1"/>
  </cols>
  <sheetData>
    <row r="3" spans="2:9" x14ac:dyDescent="0.25">
      <c r="B3" s="1" t="s">
        <v>100</v>
      </c>
    </row>
    <row r="4" spans="2:9" ht="108" customHeight="1" x14ac:dyDescent="0.25">
      <c r="B4" s="92" t="s">
        <v>68</v>
      </c>
      <c r="C4" s="93"/>
      <c r="D4" s="93"/>
      <c r="E4" s="93"/>
      <c r="F4" s="93"/>
      <c r="G4" s="93"/>
      <c r="H4" s="93"/>
      <c r="I4" s="93"/>
    </row>
    <row r="5" spans="2:9" ht="37.5" customHeight="1" x14ac:dyDescent="0.25">
      <c r="B5" s="101" t="s">
        <v>71</v>
      </c>
      <c r="C5" s="101"/>
      <c r="D5" s="101"/>
      <c r="E5" s="101"/>
      <c r="F5" s="101"/>
      <c r="G5" s="101"/>
      <c r="H5" s="101"/>
      <c r="I5" s="101"/>
    </row>
    <row r="6" spans="2:9" ht="15" customHeight="1" x14ac:dyDescent="0.25"/>
    <row r="7" spans="2:9" ht="15" customHeight="1" x14ac:dyDescent="0.25">
      <c r="B7" s="91" t="s">
        <v>26</v>
      </c>
      <c r="C7" s="91"/>
      <c r="D7" s="15">
        <v>46052</v>
      </c>
    </row>
    <row r="8" spans="2:9" ht="15" customHeight="1" x14ac:dyDescent="0.25"/>
    <row r="9" spans="2:9" x14ac:dyDescent="0.25">
      <c r="B9" s="19" t="s">
        <v>62</v>
      </c>
      <c r="D9" s="19" t="s">
        <v>63</v>
      </c>
    </row>
    <row r="10" spans="2:9" x14ac:dyDescent="0.25">
      <c r="B10" s="103" t="s">
        <v>64</v>
      </c>
      <c r="C10" s="103"/>
      <c r="D10" s="22">
        <v>25000</v>
      </c>
    </row>
    <row r="11" spans="2:9" x14ac:dyDescent="0.25">
      <c r="B11" s="20" t="s">
        <v>65</v>
      </c>
      <c r="D11" s="32">
        <f>IFERROR(IF(D10&gt;0,ROUND(D10*12,2),""),"")</f>
        <v>300000</v>
      </c>
    </row>
    <row r="12" spans="2:9" ht="17.25" customHeight="1" x14ac:dyDescent="0.25">
      <c r="B12" s="103" t="s">
        <v>67</v>
      </c>
      <c r="C12" s="103"/>
      <c r="D12" s="32">
        <v>20000</v>
      </c>
    </row>
    <row r="13" spans="2:9" x14ac:dyDescent="0.25">
      <c r="B13" s="102" t="s">
        <v>66</v>
      </c>
      <c r="C13" s="102"/>
      <c r="D13" s="31">
        <f>SUMIF(D11:D12,"&gt;0")</f>
        <v>320000</v>
      </c>
    </row>
    <row r="14" spans="2:9" x14ac:dyDescent="0.25">
      <c r="B14" s="102" t="s">
        <v>70</v>
      </c>
      <c r="C14" s="102"/>
      <c r="D14" s="21">
        <v>12</v>
      </c>
    </row>
    <row r="15" spans="2:9" x14ac:dyDescent="0.25">
      <c r="B15" s="102" t="s">
        <v>72</v>
      </c>
      <c r="C15" s="102"/>
      <c r="D15" s="32">
        <f>IFERROR(ROUND(D13/D14,2),"")</f>
        <v>26666.67</v>
      </c>
    </row>
    <row r="16" spans="2:9" x14ac:dyDescent="0.25">
      <c r="B16" s="99" t="s">
        <v>24</v>
      </c>
      <c r="C16" s="99"/>
      <c r="D16" s="31">
        <f>IFERROR(ROUND(((D15-VLOOKUP(D15,TMENSUAL,1))*VLOOKUP(D15,TMENSUAL,4)%)+VLOOKUP(D15,TMENSUAL,3),2),"")</f>
        <v>3807.65</v>
      </c>
    </row>
    <row r="17" spans="2:4" x14ac:dyDescent="0.25">
      <c r="B17" s="91" t="s">
        <v>25</v>
      </c>
      <c r="C17" s="91"/>
      <c r="D17" s="32">
        <f>IFERROR(IF(D16&lt;=TARIFAS!$C$57,IF(D16&gt;=IF(MONTH(D7)=1,TARIFAS!$C$55,TARIFAS!$C$56)*IF(MONTH(D7)=1,TARIFAS!$C$58,TARIFAS!$C$59),ROUND(IF(MONTH(D7)=1,TARIFAS!$C$55,TARIFAS!$C$56)*IF(MONTH(D7)=1,TARIFAS!$C$58,TARIFAS!$C$59),2),D16),0),"")</f>
        <v>516.61</v>
      </c>
    </row>
    <row r="18" spans="2:4" x14ac:dyDescent="0.25">
      <c r="B18" s="99" t="s">
        <v>14</v>
      </c>
      <c r="C18" s="99"/>
      <c r="D18" s="31">
        <f>IFERROR(D16-D17,0)</f>
        <v>3291.04</v>
      </c>
    </row>
  </sheetData>
  <mergeCells count="11">
    <mergeCell ref="B4:I4"/>
    <mergeCell ref="B10:C10"/>
    <mergeCell ref="B12:C12"/>
    <mergeCell ref="B13:C13"/>
    <mergeCell ref="B16:C16"/>
    <mergeCell ref="B18:C18"/>
    <mergeCell ref="B14:C14"/>
    <mergeCell ref="B5:I5"/>
    <mergeCell ref="B15:C15"/>
    <mergeCell ref="B7:C7"/>
    <mergeCell ref="B17:C1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2EBF4-5A40-4BB0-9BC2-A30D51B64F3D}">
  <dimension ref="B3:H31"/>
  <sheetViews>
    <sheetView showGridLines="0" zoomScale="120" zoomScaleNormal="120" workbookViewId="0">
      <selection activeCell="B3" sqref="B3"/>
    </sheetView>
  </sheetViews>
  <sheetFormatPr baseColWidth="10" defaultRowHeight="15" x14ac:dyDescent="0.25"/>
  <cols>
    <col min="2" max="2" width="37.85546875" customWidth="1"/>
    <col min="3" max="3" width="15" customWidth="1"/>
    <col min="4" max="4" width="16" customWidth="1"/>
    <col min="5" max="5" width="21.85546875" customWidth="1"/>
  </cols>
  <sheetData>
    <row r="3" spans="2:8" x14ac:dyDescent="0.25">
      <c r="B3" s="1" t="s">
        <v>94</v>
      </c>
    </row>
    <row r="4" spans="2:8" ht="87.75" customHeight="1" x14ac:dyDescent="0.25">
      <c r="B4" s="100" t="s">
        <v>73</v>
      </c>
      <c r="C4" s="101"/>
      <c r="D4" s="101"/>
      <c r="E4" s="101"/>
      <c r="F4" s="101"/>
      <c r="G4" s="101"/>
      <c r="H4" s="101"/>
    </row>
    <row r="6" spans="2:8" x14ac:dyDescent="0.25">
      <c r="B6" s="1" t="s">
        <v>26</v>
      </c>
      <c r="C6" s="15">
        <v>46053</v>
      </c>
    </row>
    <row r="7" spans="2:8" x14ac:dyDescent="0.25">
      <c r="B7" s="1" t="s">
        <v>76</v>
      </c>
      <c r="C7" s="12">
        <v>350</v>
      </c>
    </row>
    <row r="8" spans="2:8" x14ac:dyDescent="0.25">
      <c r="B8" s="1" t="s">
        <v>74</v>
      </c>
      <c r="C8" s="13">
        <v>30</v>
      </c>
    </row>
    <row r="10" spans="2:8" ht="45" customHeight="1" x14ac:dyDescent="0.25">
      <c r="B10" s="104" t="s">
        <v>75</v>
      </c>
      <c r="C10" s="105"/>
      <c r="D10" s="105"/>
      <c r="E10" s="105"/>
      <c r="F10" s="105"/>
    </row>
    <row r="12" spans="2:8" x14ac:dyDescent="0.25">
      <c r="B12" s="34" t="s">
        <v>77</v>
      </c>
      <c r="C12" s="2">
        <f>IFERROR(ROUND(C7*C8,2),"")</f>
        <v>10500</v>
      </c>
    </row>
    <row r="13" spans="2:8" x14ac:dyDescent="0.25">
      <c r="B13" t="s">
        <v>78</v>
      </c>
      <c r="C13" t="str">
        <f>IF(AND(C8&lt;30,C8&lt;&gt;""),C8,"")</f>
        <v/>
      </c>
    </row>
    <row r="14" spans="2:8" x14ac:dyDescent="0.25">
      <c r="B14" t="s">
        <v>79</v>
      </c>
      <c r="C14" s="2" t="str">
        <f>IFERROR(ROUND(C12/C13,2),"")</f>
        <v/>
      </c>
    </row>
    <row r="15" spans="2:8" x14ac:dyDescent="0.25">
      <c r="B15" t="s">
        <v>80</v>
      </c>
      <c r="C15" t="str">
        <f>IF(AND(C8&lt;&gt;"",C8&lt;30),30.4,"")</f>
        <v/>
      </c>
    </row>
    <row r="16" spans="2:8" x14ac:dyDescent="0.25">
      <c r="B16" t="s">
        <v>81</v>
      </c>
      <c r="C16" s="2" t="str">
        <f>IFERROR(ROUND(C14*C15,2),"")</f>
        <v/>
      </c>
    </row>
    <row r="18" spans="2:6" ht="36.75" customHeight="1" x14ac:dyDescent="0.25">
      <c r="B18" s="106" t="s">
        <v>82</v>
      </c>
      <c r="C18" s="107"/>
      <c r="D18" s="107"/>
      <c r="E18" s="107"/>
      <c r="F18" s="107"/>
    </row>
    <row r="20" spans="2:6" x14ac:dyDescent="0.25">
      <c r="B20" t="s">
        <v>83</v>
      </c>
      <c r="C20" s="2" t="str">
        <f>IF(C16&gt;0,C16,"")</f>
        <v/>
      </c>
    </row>
    <row r="21" spans="2:6" x14ac:dyDescent="0.25">
      <c r="B21" t="s">
        <v>84</v>
      </c>
      <c r="C21" s="2" t="str">
        <f>IFERROR(VLOOKUP($C$20,TMENSUAL,1),"")</f>
        <v/>
      </c>
    </row>
    <row r="22" spans="2:6" x14ac:dyDescent="0.25">
      <c r="B22" t="s">
        <v>86</v>
      </c>
      <c r="C22" s="2" t="str">
        <f>IFERROR(ROUND(C20-C21,2),"")</f>
        <v/>
      </c>
    </row>
    <row r="23" spans="2:6" x14ac:dyDescent="0.25">
      <c r="B23" t="s">
        <v>87</v>
      </c>
      <c r="C23" s="2" t="str">
        <f>IFERROR(VLOOKUP($C$20,TMENSUAL,4),"")</f>
        <v/>
      </c>
    </row>
    <row r="24" spans="2:6" x14ac:dyDescent="0.25">
      <c r="B24" t="s">
        <v>85</v>
      </c>
      <c r="C24" s="2" t="str">
        <f>IFERROR(ROUND(C22*C23%,2),"")</f>
        <v/>
      </c>
    </row>
    <row r="25" spans="2:6" x14ac:dyDescent="0.25">
      <c r="B25" t="s">
        <v>88</v>
      </c>
      <c r="C25" s="2" t="str">
        <f>IFERROR(VLOOKUP($C$20,TMENSUAL,3),"")</f>
        <v/>
      </c>
    </row>
    <row r="26" spans="2:6" x14ac:dyDescent="0.25">
      <c r="B26" s="35" t="s">
        <v>89</v>
      </c>
      <c r="C26" s="36" t="str">
        <f>IFERROR(ROUND(C24+C25,2),"")</f>
        <v/>
      </c>
    </row>
    <row r="27" spans="2:6" x14ac:dyDescent="0.25">
      <c r="B27" t="s">
        <v>90</v>
      </c>
      <c r="C27" t="str">
        <f>IF(AND(C8&lt;&gt;"",C8&lt;30),30.4,"")</f>
        <v/>
      </c>
    </row>
    <row r="28" spans="2:6" x14ac:dyDescent="0.25">
      <c r="B28" t="s">
        <v>91</v>
      </c>
      <c r="C28" t="str">
        <f>IF(AND(C8&lt;30,C8&lt;&gt;""),C8,"")</f>
        <v/>
      </c>
    </row>
    <row r="29" spans="2:6" x14ac:dyDescent="0.25">
      <c r="B29" t="s">
        <v>92</v>
      </c>
      <c r="C29" s="2" t="str">
        <f>IFERROR(ROUND(C26/C27*C28,2),"")</f>
        <v/>
      </c>
      <c r="E29" s="2"/>
    </row>
    <row r="30" spans="2:6" x14ac:dyDescent="0.25">
      <c r="B30" t="s">
        <v>93</v>
      </c>
      <c r="C30" s="2">
        <f>IFERROR(IF(C20&lt;=TARIFAS!C57,IF(C29&gt;=(IF(MONTH(C6)=1,TARIFAS!C55,TARIFAS!C56)*IF(MONTH(C6)=1,TARIFAS!C59,TARIFAS!C58)/30.4*C28),ROUND((IF(MONTH(C6)=1,TARIFAS!C55,TARIFAS!C56)*IF(MONTH(C6)=1,TARIFAS!C59,TARIFAS!C58)/30.4*C28),2),C29),0),"")</f>
        <v>0</v>
      </c>
    </row>
    <row r="31" spans="2:6" x14ac:dyDescent="0.25">
      <c r="B31" s="37" t="s">
        <v>14</v>
      </c>
      <c r="C31" s="37" t="str">
        <f>IFERROR(C29-C30,"")</f>
        <v/>
      </c>
    </row>
  </sheetData>
  <mergeCells count="3">
    <mergeCell ref="B4:H4"/>
    <mergeCell ref="B10:F10"/>
    <mergeCell ref="B18:F18"/>
  </mergeCells>
  <dataValidations disablePrompts="1" count="1">
    <dataValidation type="list" allowBlank="1" showInputMessage="1" showErrorMessage="1" errorTitle="ISR artículo 96 LISR" error="Solo se permiten datos de la lista" sqref="C8" xr:uid="{98813C2A-5433-4370-A373-FCC550DBD3DE}">
      <formula1>MESES</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674B7-1655-4FA2-9CE5-B20240722290}">
  <sheetPr codeName="Hoja9"/>
  <dimension ref="A3:F39"/>
  <sheetViews>
    <sheetView showGridLines="0" zoomScale="110" zoomScaleNormal="110" workbookViewId="0">
      <selection activeCell="D6" sqref="D6"/>
    </sheetView>
  </sheetViews>
  <sheetFormatPr baseColWidth="10" defaultRowHeight="15" x14ac:dyDescent="0.25"/>
  <cols>
    <col min="2" max="2" width="19" customWidth="1"/>
    <col min="3" max="3" width="58.42578125" customWidth="1"/>
    <col min="4" max="4" width="14.140625" customWidth="1"/>
    <col min="5" max="5" width="14.42578125" customWidth="1"/>
    <col min="6" max="6" width="22.28515625" customWidth="1"/>
  </cols>
  <sheetData>
    <row r="3" spans="1:6" x14ac:dyDescent="0.25">
      <c r="B3" s="1" t="s">
        <v>101</v>
      </c>
    </row>
    <row r="4" spans="1:6" ht="15.75" thickBot="1" x14ac:dyDescent="0.3"/>
    <row r="5" spans="1:6" ht="15.75" x14ac:dyDescent="0.25">
      <c r="B5" s="38" t="s">
        <v>102</v>
      </c>
      <c r="C5" s="39" t="s">
        <v>103</v>
      </c>
      <c r="D5" s="40" t="s">
        <v>28</v>
      </c>
      <c r="E5" s="41" t="s">
        <v>29</v>
      </c>
    </row>
    <row r="6" spans="1:6" ht="15.75" x14ac:dyDescent="0.25">
      <c r="A6" s="42">
        <f>IF(SUM(D7:D11)=0,1,"")</f>
        <v>1</v>
      </c>
      <c r="B6" s="43">
        <v>5</v>
      </c>
      <c r="C6" s="44" t="s">
        <v>104</v>
      </c>
      <c r="D6" s="45"/>
      <c r="E6" s="46"/>
    </row>
    <row r="7" spans="1:6" ht="15.75" x14ac:dyDescent="0.25">
      <c r="A7" s="42">
        <f>IF(SUM(D6,D8:D11)=0,1,"")</f>
        <v>1</v>
      </c>
      <c r="B7" s="43">
        <v>6</v>
      </c>
      <c r="C7" s="44" t="s">
        <v>105</v>
      </c>
      <c r="D7" s="45"/>
      <c r="E7" s="46"/>
    </row>
    <row r="8" spans="1:6" ht="15.75" x14ac:dyDescent="0.25">
      <c r="A8" s="42">
        <f>IF(SUM(D6:D7,D9:D11)=0,1,"")</f>
        <v>1</v>
      </c>
      <c r="B8" s="43">
        <v>7</v>
      </c>
      <c r="C8" s="44" t="s">
        <v>106</v>
      </c>
      <c r="D8" s="45"/>
      <c r="E8" s="46"/>
      <c r="F8" s="42" t="s">
        <v>107</v>
      </c>
    </row>
    <row r="9" spans="1:6" ht="15.75" x14ac:dyDescent="0.25">
      <c r="A9" s="42">
        <f>IF(SUM(D6:D8,D10:D11)=0,1,"")</f>
        <v>1</v>
      </c>
      <c r="B9" s="43">
        <v>8</v>
      </c>
      <c r="C9" s="44" t="s">
        <v>108</v>
      </c>
      <c r="D9" s="45"/>
      <c r="E9" s="46"/>
    </row>
    <row r="10" spans="1:6" ht="15.75" x14ac:dyDescent="0.25">
      <c r="A10" s="42">
        <f>IF(SUM(D6:D9,D11)=0,1,"")</f>
        <v>1</v>
      </c>
      <c r="B10" s="43">
        <v>9</v>
      </c>
      <c r="C10" s="44" t="s">
        <v>109</v>
      </c>
      <c r="D10" s="45"/>
      <c r="E10" s="46"/>
    </row>
    <row r="11" spans="1:6" ht="15.75" x14ac:dyDescent="0.25">
      <c r="A11" s="42">
        <f>IF(SUM(D6:D10)=0,1,"")</f>
        <v>1</v>
      </c>
      <c r="B11" s="43">
        <v>10</v>
      </c>
      <c r="C11" s="47" t="s">
        <v>110</v>
      </c>
      <c r="D11" s="45"/>
      <c r="E11" s="46"/>
    </row>
    <row r="12" spans="1:6" ht="15.75" x14ac:dyDescent="0.25">
      <c r="C12" s="48" t="s">
        <v>30</v>
      </c>
      <c r="D12" s="9">
        <f>IFERROR(SUMIF(A6:A11,1,D6:D11),0)</f>
        <v>0</v>
      </c>
      <c r="E12" s="49"/>
    </row>
    <row r="13" spans="1:6" x14ac:dyDescent="0.25">
      <c r="C13" s="50" t="s">
        <v>84</v>
      </c>
      <c r="D13" s="2" t="str">
        <f>IFERROR(VLOOKUP(D12,TMENSUAL,1),"")</f>
        <v/>
      </c>
    </row>
    <row r="14" spans="1:6" x14ac:dyDescent="0.25">
      <c r="C14" s="50" t="s">
        <v>86</v>
      </c>
      <c r="D14" s="2" t="str">
        <f>IFERROR(D12-D13,"")</f>
        <v/>
      </c>
    </row>
    <row r="15" spans="1:6" x14ac:dyDescent="0.25">
      <c r="C15" s="50" t="s">
        <v>111</v>
      </c>
      <c r="D15" s="2" t="str">
        <f>IFERROR(VLOOKUP(D12,TMENSUAL,4),"")</f>
        <v/>
      </c>
    </row>
    <row r="16" spans="1:6" x14ac:dyDescent="0.25">
      <c r="C16" s="50" t="s">
        <v>85</v>
      </c>
      <c r="D16" s="2" t="str">
        <f>IFERROR(ROUND(D14*D15%,2),"")</f>
        <v/>
      </c>
    </row>
    <row r="17" spans="2:6" x14ac:dyDescent="0.25">
      <c r="C17" s="50" t="s">
        <v>88</v>
      </c>
      <c r="D17" s="2" t="str">
        <f>IFERROR(VLOOKUP(D12,TMENSUAL,3),"")</f>
        <v/>
      </c>
    </row>
    <row r="18" spans="2:6" x14ac:dyDescent="0.25">
      <c r="C18" s="51" t="s">
        <v>112</v>
      </c>
      <c r="D18" s="2" t="str">
        <f>IFERROR(D16+D17,"")</f>
        <v/>
      </c>
    </row>
    <row r="20" spans="2:6" x14ac:dyDescent="0.25">
      <c r="C20" s="51" t="str">
        <f>IF(AND(D8&gt;0,A8=1,G8="No"),"(=) ISR A RETENER POR SE LA CANTIDAD MAYOR","")</f>
        <v/>
      </c>
      <c r="D20" s="14" t="str">
        <f>IFERROR(IF(C20&lt;&gt;"",ROUND(D8*0.35,2),""),"")</f>
        <v/>
      </c>
    </row>
    <row r="22" spans="2:6" ht="32.25" customHeight="1" x14ac:dyDescent="0.25">
      <c r="B22" s="52" t="s">
        <v>62</v>
      </c>
      <c r="C22" s="52" t="s">
        <v>113</v>
      </c>
      <c r="D22" s="109" t="s">
        <v>114</v>
      </c>
      <c r="E22" s="109"/>
      <c r="F22" s="52" t="s">
        <v>115</v>
      </c>
    </row>
    <row r="23" spans="2:6" ht="78" customHeight="1" x14ac:dyDescent="0.25">
      <c r="B23" s="53" t="s">
        <v>116</v>
      </c>
      <c r="C23" s="33" t="s">
        <v>117</v>
      </c>
      <c r="D23" s="108" t="s">
        <v>118</v>
      </c>
      <c r="E23" s="108"/>
      <c r="F23" s="33" t="s">
        <v>119</v>
      </c>
    </row>
    <row r="24" spans="2:6" ht="30" x14ac:dyDescent="0.25">
      <c r="B24" s="53" t="s">
        <v>120</v>
      </c>
      <c r="C24" s="33" t="s">
        <v>121</v>
      </c>
      <c r="D24" s="108" t="s">
        <v>122</v>
      </c>
      <c r="E24" s="108"/>
      <c r="F24" s="33" t="s">
        <v>123</v>
      </c>
    </row>
    <row r="25" spans="2:6" x14ac:dyDescent="0.25">
      <c r="B25" s="110" t="s">
        <v>124</v>
      </c>
      <c r="C25" s="111"/>
      <c r="D25" s="111"/>
      <c r="E25" s="111"/>
      <c r="F25" s="112"/>
    </row>
    <row r="26" spans="2:6" ht="45" x14ac:dyDescent="0.25">
      <c r="B26" s="53" t="s">
        <v>125</v>
      </c>
      <c r="C26" s="33" t="s">
        <v>126</v>
      </c>
      <c r="D26" s="108" t="s">
        <v>127</v>
      </c>
      <c r="E26" s="108"/>
      <c r="F26" s="33" t="s">
        <v>128</v>
      </c>
    </row>
    <row r="27" spans="2:6" ht="45" x14ac:dyDescent="0.25">
      <c r="B27" s="53" t="s">
        <v>129</v>
      </c>
      <c r="C27" s="33" t="s">
        <v>130</v>
      </c>
      <c r="D27" s="108" t="s">
        <v>131</v>
      </c>
      <c r="E27" s="108"/>
      <c r="F27" s="33" t="s">
        <v>132</v>
      </c>
    </row>
    <row r="28" spans="2:6" ht="30" x14ac:dyDescent="0.25">
      <c r="B28" s="53" t="s">
        <v>133</v>
      </c>
      <c r="C28" s="33" t="s">
        <v>134</v>
      </c>
      <c r="D28" s="108" t="s">
        <v>135</v>
      </c>
      <c r="E28" s="108"/>
      <c r="F28" s="33" t="s">
        <v>136</v>
      </c>
    </row>
    <row r="29" spans="2:6" ht="45" x14ac:dyDescent="0.25">
      <c r="B29" s="53" t="s">
        <v>137</v>
      </c>
      <c r="C29" s="33" t="s">
        <v>138</v>
      </c>
      <c r="D29" s="108" t="s">
        <v>139</v>
      </c>
      <c r="E29" s="108"/>
      <c r="F29" s="33" t="s">
        <v>140</v>
      </c>
    </row>
    <row r="30" spans="2:6" ht="45" x14ac:dyDescent="0.25">
      <c r="B30" s="53" t="s">
        <v>141</v>
      </c>
      <c r="C30" s="33" t="s">
        <v>142</v>
      </c>
      <c r="D30" s="108" t="s">
        <v>143</v>
      </c>
      <c r="E30" s="108"/>
      <c r="F30" s="33" t="s">
        <v>144</v>
      </c>
    </row>
    <row r="31" spans="2:6" ht="45" x14ac:dyDescent="0.25">
      <c r="B31" s="53" t="s">
        <v>145</v>
      </c>
      <c r="C31" s="33" t="s">
        <v>146</v>
      </c>
      <c r="D31" s="108" t="s">
        <v>147</v>
      </c>
      <c r="E31" s="108"/>
      <c r="F31" s="33" t="s">
        <v>148</v>
      </c>
    </row>
    <row r="32" spans="2:6" ht="30" x14ac:dyDescent="0.25">
      <c r="B32" s="53" t="s">
        <v>149</v>
      </c>
      <c r="C32" s="33" t="s">
        <v>150</v>
      </c>
      <c r="D32" s="108" t="s">
        <v>151</v>
      </c>
      <c r="E32" s="108"/>
      <c r="F32" s="33" t="s">
        <v>152</v>
      </c>
    </row>
    <row r="33" spans="2:6" ht="45" x14ac:dyDescent="0.25">
      <c r="B33" s="53" t="s">
        <v>153</v>
      </c>
      <c r="C33" s="33" t="s">
        <v>154</v>
      </c>
      <c r="D33" s="108" t="s">
        <v>155</v>
      </c>
      <c r="E33" s="108"/>
      <c r="F33" s="33" t="s">
        <v>156</v>
      </c>
    </row>
    <row r="34" spans="2:6" ht="30" x14ac:dyDescent="0.25">
      <c r="B34" s="53" t="s">
        <v>157</v>
      </c>
      <c r="C34" s="33" t="s">
        <v>158</v>
      </c>
      <c r="D34" s="108" t="s">
        <v>159</v>
      </c>
      <c r="E34" s="108"/>
      <c r="F34" s="33" t="s">
        <v>160</v>
      </c>
    </row>
    <row r="35" spans="2:6" ht="30" x14ac:dyDescent="0.25">
      <c r="B35" s="53" t="s">
        <v>161</v>
      </c>
      <c r="C35" s="33" t="s">
        <v>162</v>
      </c>
      <c r="D35" s="108" t="s">
        <v>163</v>
      </c>
      <c r="E35" s="108"/>
      <c r="F35" s="33" t="s">
        <v>164</v>
      </c>
    </row>
    <row r="36" spans="2:6" x14ac:dyDescent="0.25">
      <c r="B36" s="53" t="s">
        <v>165</v>
      </c>
      <c r="C36" s="33" t="s">
        <v>166</v>
      </c>
      <c r="D36" s="108" t="s">
        <v>167</v>
      </c>
      <c r="E36" s="108"/>
      <c r="F36" s="33" t="s">
        <v>160</v>
      </c>
    </row>
    <row r="37" spans="2:6" ht="30" x14ac:dyDescent="0.25">
      <c r="B37" s="53" t="s">
        <v>168</v>
      </c>
      <c r="C37" s="33" t="s">
        <v>169</v>
      </c>
      <c r="D37" s="108" t="s">
        <v>170</v>
      </c>
      <c r="E37" s="108"/>
      <c r="F37" s="33" t="s">
        <v>160</v>
      </c>
    </row>
    <row r="38" spans="2:6" ht="45" x14ac:dyDescent="0.25">
      <c r="B38" s="53" t="s">
        <v>171</v>
      </c>
      <c r="C38" s="33" t="s">
        <v>172</v>
      </c>
      <c r="D38" s="108" t="s">
        <v>173</v>
      </c>
      <c r="E38" s="108"/>
      <c r="F38" s="33" t="s">
        <v>174</v>
      </c>
    </row>
    <row r="39" spans="2:6" ht="30" x14ac:dyDescent="0.25">
      <c r="B39" s="53" t="s">
        <v>175</v>
      </c>
      <c r="C39" s="33" t="s">
        <v>176</v>
      </c>
      <c r="D39" s="108" t="s">
        <v>177</v>
      </c>
      <c r="E39" s="108"/>
      <c r="F39" s="33" t="s">
        <v>178</v>
      </c>
    </row>
  </sheetData>
  <mergeCells count="18">
    <mergeCell ref="D39:E39"/>
    <mergeCell ref="D28:E28"/>
    <mergeCell ref="D29:E29"/>
    <mergeCell ref="D30:E30"/>
    <mergeCell ref="D31:E31"/>
    <mergeCell ref="D32:E32"/>
    <mergeCell ref="D33:E33"/>
    <mergeCell ref="D34:E34"/>
    <mergeCell ref="D35:E35"/>
    <mergeCell ref="D36:E36"/>
    <mergeCell ref="D37:E37"/>
    <mergeCell ref="D38:E38"/>
    <mergeCell ref="D27:E27"/>
    <mergeCell ref="D22:E22"/>
    <mergeCell ref="D23:E23"/>
    <mergeCell ref="D24:E24"/>
    <mergeCell ref="B25:F25"/>
    <mergeCell ref="D26:E26"/>
  </mergeCells>
  <conditionalFormatting sqref="D6">
    <cfRule type="expression" dxfId="7" priority="9">
      <formula>IF(SUM($D$7:$D$11)&gt;0,1,0)</formula>
    </cfRule>
  </conditionalFormatting>
  <conditionalFormatting sqref="D7">
    <cfRule type="expression" dxfId="6" priority="8">
      <formula>IF(SUM($D$6,$D$8:$D$11)&gt;0,1,0)</formula>
    </cfRule>
  </conditionalFormatting>
  <conditionalFormatting sqref="D8">
    <cfRule type="expression" dxfId="5" priority="7">
      <formula>IF(SUM($D$6:$D$7,$D$9:$D$11)&gt;0,1,0)</formula>
    </cfRule>
  </conditionalFormatting>
  <conditionalFormatting sqref="D9">
    <cfRule type="expression" dxfId="4" priority="6">
      <formula>IF(SUM($D$6:$D$8,$D$10:$D$11)&gt;0,1,0)</formula>
    </cfRule>
  </conditionalFormatting>
  <conditionalFormatting sqref="D10">
    <cfRule type="expression" dxfId="3" priority="5">
      <formula>IF(SUM($D$6:$D$9,$D$11)&gt;0,1,0)</formula>
    </cfRule>
  </conditionalFormatting>
  <conditionalFormatting sqref="D11">
    <cfRule type="expression" dxfId="2" priority="4">
      <formula>IF(SUM($D$6:$D$10)&gt;0,1,0)</formula>
    </cfRule>
  </conditionalFormatting>
  <conditionalFormatting sqref="F8">
    <cfRule type="expression" dxfId="1" priority="3">
      <formula>IF($D$8&gt;0,1,0)</formula>
    </cfRule>
  </conditionalFormatting>
  <conditionalFormatting sqref="G8">
    <cfRule type="expression" dxfId="0" priority="2">
      <formula>IF($D$8&gt;0,1,0)</formula>
    </cfRule>
  </conditionalFormatting>
  <dataValidations count="1">
    <dataValidation type="list" allowBlank="1" showInputMessage="1" showErrorMessage="1" sqref="G8" xr:uid="{8E05AF15-7F7A-44A7-85CD-7A123147D7BF}">
      <formula1>"Sí,No"</formula1>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F4995-9BAD-42EA-8CF7-B2371C9E1786}">
  <dimension ref="B2:I78"/>
  <sheetViews>
    <sheetView showGridLines="0" zoomScale="120" zoomScaleNormal="120" workbookViewId="0">
      <selection activeCell="E5" sqref="E5"/>
    </sheetView>
  </sheetViews>
  <sheetFormatPr baseColWidth="10" defaultRowHeight="15" x14ac:dyDescent="0.25"/>
  <cols>
    <col min="1" max="1" width="3.140625" customWidth="1"/>
    <col min="2" max="2" width="21.85546875" customWidth="1"/>
    <col min="3" max="3" width="70.5703125" customWidth="1"/>
    <col min="4" max="4" width="16" customWidth="1"/>
    <col min="7" max="7" width="16.7109375" customWidth="1"/>
    <col min="8" max="8" width="15.42578125" customWidth="1"/>
  </cols>
  <sheetData>
    <row r="2" spans="2:8" x14ac:dyDescent="0.25">
      <c r="C2" s="54" t="s">
        <v>180</v>
      </c>
      <c r="D2" s="13"/>
    </row>
    <row r="3" spans="2:8" ht="15.75" thickBot="1" x14ac:dyDescent="0.3">
      <c r="B3" s="1"/>
    </row>
    <row r="4" spans="2:8" x14ac:dyDescent="0.25">
      <c r="B4" s="55" t="s">
        <v>181</v>
      </c>
      <c r="C4" s="56" t="s">
        <v>103</v>
      </c>
      <c r="D4" s="57" t="s">
        <v>182</v>
      </c>
      <c r="E4" s="58" t="s">
        <v>28</v>
      </c>
      <c r="F4" s="59" t="s">
        <v>29</v>
      </c>
      <c r="G4" s="60" t="s">
        <v>183</v>
      </c>
      <c r="H4" s="61" t="s">
        <v>184</v>
      </c>
    </row>
    <row r="5" spans="2:8" x14ac:dyDescent="0.25">
      <c r="B5" s="62">
        <v>1</v>
      </c>
      <c r="C5" s="63" t="s">
        <v>185</v>
      </c>
      <c r="D5" s="83">
        <v>2</v>
      </c>
      <c r="E5" s="12">
        <v>250000</v>
      </c>
      <c r="F5" s="85"/>
      <c r="G5" s="8" t="s">
        <v>179</v>
      </c>
      <c r="H5" s="8" t="s">
        <v>186</v>
      </c>
    </row>
    <row r="6" spans="2:8" x14ac:dyDescent="0.25">
      <c r="B6" s="62">
        <v>2</v>
      </c>
      <c r="C6" s="63" t="s">
        <v>187</v>
      </c>
      <c r="D6" s="83">
        <v>2</v>
      </c>
      <c r="E6" s="12">
        <v>5000</v>
      </c>
      <c r="F6" s="12">
        <f>113.14*30</f>
        <v>3394.2</v>
      </c>
      <c r="G6" s="8" t="s">
        <v>179</v>
      </c>
      <c r="H6" s="8" t="s">
        <v>186</v>
      </c>
    </row>
    <row r="7" spans="2:8" x14ac:dyDescent="0.25">
      <c r="B7" s="64">
        <v>3</v>
      </c>
      <c r="C7" s="65" t="s">
        <v>188</v>
      </c>
      <c r="D7" s="83">
        <v>2</v>
      </c>
      <c r="E7" s="12"/>
      <c r="F7" s="12"/>
      <c r="G7" s="8" t="s">
        <v>179</v>
      </c>
      <c r="H7" s="8" t="s">
        <v>186</v>
      </c>
    </row>
    <row r="8" spans="2:8" x14ac:dyDescent="0.25">
      <c r="B8" s="62">
        <v>4</v>
      </c>
      <c r="C8" s="63" t="s">
        <v>189</v>
      </c>
      <c r="D8" s="83">
        <v>2</v>
      </c>
      <c r="E8" s="12"/>
      <c r="F8" s="12"/>
      <c r="G8" s="8" t="s">
        <v>190</v>
      </c>
      <c r="H8" s="8" t="s">
        <v>179</v>
      </c>
    </row>
    <row r="9" spans="2:8" x14ac:dyDescent="0.25">
      <c r="B9" s="62">
        <v>5</v>
      </c>
      <c r="C9" s="63" t="s">
        <v>191</v>
      </c>
      <c r="D9" s="83">
        <v>2</v>
      </c>
      <c r="E9" s="12"/>
      <c r="F9" s="12">
        <f>E5*0.13</f>
        <v>32500</v>
      </c>
      <c r="G9" s="8" t="s">
        <v>190</v>
      </c>
      <c r="H9" s="8" t="s">
        <v>179</v>
      </c>
    </row>
    <row r="10" spans="2:8" x14ac:dyDescent="0.25">
      <c r="B10" s="62">
        <v>6</v>
      </c>
      <c r="C10" s="63" t="s">
        <v>192</v>
      </c>
      <c r="D10" s="83">
        <v>2</v>
      </c>
      <c r="E10" s="12"/>
      <c r="F10" s="12"/>
      <c r="G10" s="8" t="s">
        <v>190</v>
      </c>
      <c r="H10" s="8" t="s">
        <v>190</v>
      </c>
    </row>
    <row r="11" spans="2:8" x14ac:dyDescent="0.25">
      <c r="B11" s="62">
        <v>9</v>
      </c>
      <c r="C11" s="63" t="s">
        <v>193</v>
      </c>
      <c r="D11" s="83">
        <v>2</v>
      </c>
      <c r="E11" s="12"/>
      <c r="F11" s="85"/>
      <c r="G11" s="8" t="s">
        <v>179</v>
      </c>
      <c r="H11" s="8" t="s">
        <v>186</v>
      </c>
    </row>
    <row r="12" spans="2:8" x14ac:dyDescent="0.25">
      <c r="B12" s="62">
        <v>10</v>
      </c>
      <c r="C12" s="63" t="s">
        <v>194</v>
      </c>
      <c r="D12" s="83">
        <v>2</v>
      </c>
      <c r="E12" s="12">
        <v>18000</v>
      </c>
      <c r="F12" s="85"/>
      <c r="G12" s="8" t="s">
        <v>179</v>
      </c>
      <c r="H12" s="8" t="s">
        <v>186</v>
      </c>
    </row>
    <row r="13" spans="2:8" x14ac:dyDescent="0.25">
      <c r="B13" s="62">
        <v>11</v>
      </c>
      <c r="C13" s="63" t="s">
        <v>195</v>
      </c>
      <c r="D13" s="83">
        <v>2</v>
      </c>
      <c r="E13" s="12"/>
      <c r="F13" s="12"/>
      <c r="G13" s="8" t="s">
        <v>190</v>
      </c>
      <c r="H13" s="8" t="s">
        <v>179</v>
      </c>
    </row>
    <row r="14" spans="2:8" x14ac:dyDescent="0.25">
      <c r="B14" s="62">
        <v>12</v>
      </c>
      <c r="C14" s="63" t="s">
        <v>196</v>
      </c>
      <c r="D14" s="83">
        <v>2</v>
      </c>
      <c r="E14" s="12"/>
      <c r="F14" s="12"/>
      <c r="G14" s="8" t="s">
        <v>190</v>
      </c>
      <c r="H14" s="8" t="s">
        <v>179</v>
      </c>
    </row>
    <row r="15" spans="2:8" x14ac:dyDescent="0.25">
      <c r="B15" s="62">
        <v>13</v>
      </c>
      <c r="C15" s="63" t="s">
        <v>197</v>
      </c>
      <c r="D15" s="83">
        <v>2</v>
      </c>
      <c r="E15" s="12"/>
      <c r="F15" s="12"/>
      <c r="G15" s="8" t="s">
        <v>179</v>
      </c>
      <c r="H15" s="8" t="s">
        <v>179</v>
      </c>
    </row>
    <row r="16" spans="2:8" x14ac:dyDescent="0.25">
      <c r="B16" s="62">
        <v>14</v>
      </c>
      <c r="C16" s="63" t="s">
        <v>198</v>
      </c>
      <c r="D16" s="83">
        <v>2</v>
      </c>
      <c r="E16" s="12"/>
      <c r="F16" s="12"/>
      <c r="G16" s="8" t="s">
        <v>190</v>
      </c>
      <c r="H16" s="8" t="s">
        <v>190</v>
      </c>
    </row>
    <row r="17" spans="2:8" x14ac:dyDescent="0.25">
      <c r="B17" s="62">
        <v>15</v>
      </c>
      <c r="C17" s="63" t="s">
        <v>199</v>
      </c>
      <c r="D17" s="83">
        <v>2</v>
      </c>
      <c r="E17" s="12"/>
      <c r="F17" s="12"/>
      <c r="G17" s="8" t="s">
        <v>190</v>
      </c>
      <c r="H17" s="8" t="s">
        <v>190</v>
      </c>
    </row>
    <row r="18" spans="2:8" x14ac:dyDescent="0.25">
      <c r="B18" s="62">
        <v>19</v>
      </c>
      <c r="C18" s="63" t="s">
        <v>200</v>
      </c>
      <c r="D18" s="84">
        <v>2</v>
      </c>
      <c r="E18" s="12"/>
      <c r="F18" s="12"/>
      <c r="G18" s="8" t="s">
        <v>179</v>
      </c>
      <c r="H18" s="8" t="s">
        <v>186</v>
      </c>
    </row>
    <row r="19" spans="2:8" x14ac:dyDescent="0.25">
      <c r="B19" s="64">
        <v>20</v>
      </c>
      <c r="C19" s="65" t="s">
        <v>33</v>
      </c>
      <c r="D19" s="83">
        <v>2</v>
      </c>
      <c r="E19" s="12"/>
      <c r="F19" s="12"/>
      <c r="G19" s="8" t="s">
        <v>179</v>
      </c>
      <c r="H19" s="8" t="s">
        <v>186</v>
      </c>
    </row>
    <row r="20" spans="2:8" x14ac:dyDescent="0.25">
      <c r="B20" s="62">
        <v>21</v>
      </c>
      <c r="C20" s="63" t="s">
        <v>34</v>
      </c>
      <c r="D20" s="83">
        <v>2</v>
      </c>
      <c r="E20" s="12"/>
      <c r="F20" s="12"/>
      <c r="G20" s="8" t="s">
        <v>179</v>
      </c>
      <c r="H20" s="8" t="s">
        <v>186</v>
      </c>
    </row>
    <row r="21" spans="2:8" x14ac:dyDescent="0.25">
      <c r="B21" s="62">
        <v>24</v>
      </c>
      <c r="C21" s="63" t="s">
        <v>201</v>
      </c>
      <c r="D21" s="83">
        <v>2</v>
      </c>
      <c r="E21" s="12"/>
      <c r="F21" s="12"/>
      <c r="G21" s="8" t="s">
        <v>190</v>
      </c>
      <c r="H21" s="8" t="s">
        <v>190</v>
      </c>
    </row>
    <row r="22" spans="2:8" x14ac:dyDescent="0.25">
      <c r="B22" s="62">
        <v>26</v>
      </c>
      <c r="C22" s="63" t="s">
        <v>202</v>
      </c>
      <c r="D22" s="83">
        <v>2</v>
      </c>
      <c r="E22" s="12"/>
      <c r="F22" s="12"/>
      <c r="G22" s="8" t="s">
        <v>190</v>
      </c>
      <c r="H22" s="8" t="s">
        <v>179</v>
      </c>
    </row>
    <row r="23" spans="2:8" x14ac:dyDescent="0.25">
      <c r="B23" s="62">
        <v>27</v>
      </c>
      <c r="C23" s="63" t="s">
        <v>203</v>
      </c>
      <c r="D23" s="83">
        <v>2</v>
      </c>
      <c r="E23" s="85"/>
      <c r="F23" s="12"/>
      <c r="G23" s="8" t="s">
        <v>179</v>
      </c>
      <c r="H23" s="8" t="s">
        <v>186</v>
      </c>
    </row>
    <row r="24" spans="2:8" x14ac:dyDescent="0.25">
      <c r="B24" s="62">
        <v>28</v>
      </c>
      <c r="C24" s="63" t="s">
        <v>204</v>
      </c>
      <c r="D24" s="83">
        <v>2</v>
      </c>
      <c r="E24" s="12"/>
      <c r="F24" s="85"/>
      <c r="G24" s="8" t="s">
        <v>179</v>
      </c>
      <c r="H24" s="8" t="s">
        <v>186</v>
      </c>
    </row>
    <row r="25" spans="2:8" x14ac:dyDescent="0.25">
      <c r="B25" s="62">
        <v>29</v>
      </c>
      <c r="C25" s="63" t="s">
        <v>205</v>
      </c>
      <c r="D25" s="83">
        <v>2</v>
      </c>
      <c r="E25" s="12"/>
      <c r="F25" s="12">
        <v>50000</v>
      </c>
      <c r="G25" s="8" t="s">
        <v>190</v>
      </c>
      <c r="H25" s="8" t="s">
        <v>190</v>
      </c>
    </row>
    <row r="26" spans="2:8" x14ac:dyDescent="0.25">
      <c r="B26" s="62">
        <v>30</v>
      </c>
      <c r="C26" s="63" t="s">
        <v>206</v>
      </c>
      <c r="D26" s="83">
        <v>2</v>
      </c>
      <c r="E26" s="12"/>
      <c r="F26" s="12">
        <v>28000</v>
      </c>
      <c r="G26" s="8" t="s">
        <v>190</v>
      </c>
      <c r="H26" s="8" t="s">
        <v>190</v>
      </c>
    </row>
    <row r="27" spans="2:8" x14ac:dyDescent="0.25">
      <c r="B27" s="62">
        <v>31</v>
      </c>
      <c r="C27" s="63" t="s">
        <v>207</v>
      </c>
      <c r="D27" s="83">
        <v>2</v>
      </c>
      <c r="E27" s="12"/>
      <c r="F27" s="12"/>
      <c r="G27" s="8" t="s">
        <v>190</v>
      </c>
      <c r="H27" s="8" t="s">
        <v>190</v>
      </c>
    </row>
    <row r="28" spans="2:8" x14ac:dyDescent="0.25">
      <c r="B28" s="62">
        <v>32</v>
      </c>
      <c r="C28" s="63" t="s">
        <v>208</v>
      </c>
      <c r="D28" s="83">
        <v>2</v>
      </c>
      <c r="E28" s="12"/>
      <c r="F28" s="12"/>
      <c r="G28" s="8" t="s">
        <v>190</v>
      </c>
      <c r="H28" s="8" t="s">
        <v>190</v>
      </c>
    </row>
    <row r="29" spans="2:8" x14ac:dyDescent="0.25">
      <c r="B29" s="62">
        <v>33</v>
      </c>
      <c r="C29" s="63" t="s">
        <v>209</v>
      </c>
      <c r="D29" s="83">
        <v>2</v>
      </c>
      <c r="E29" s="12"/>
      <c r="F29" s="12"/>
      <c r="G29" s="8" t="s">
        <v>190</v>
      </c>
      <c r="H29" s="8" t="s">
        <v>190</v>
      </c>
    </row>
    <row r="30" spans="2:8" x14ac:dyDescent="0.25">
      <c r="B30" s="62">
        <v>34</v>
      </c>
      <c r="C30" s="63" t="s">
        <v>210</v>
      </c>
      <c r="D30" s="83">
        <v>2</v>
      </c>
      <c r="E30" s="12"/>
      <c r="F30" s="12"/>
      <c r="G30" s="8" t="s">
        <v>190</v>
      </c>
      <c r="H30" s="8" t="s">
        <v>190</v>
      </c>
    </row>
    <row r="31" spans="2:8" x14ac:dyDescent="0.25">
      <c r="B31" s="62">
        <v>35</v>
      </c>
      <c r="C31" s="63" t="s">
        <v>211</v>
      </c>
      <c r="D31" s="83">
        <v>2</v>
      </c>
      <c r="E31" s="12"/>
      <c r="F31" s="12"/>
      <c r="G31" s="8" t="s">
        <v>190</v>
      </c>
      <c r="H31" s="8" t="s">
        <v>190</v>
      </c>
    </row>
    <row r="32" spans="2:8" x14ac:dyDescent="0.25">
      <c r="B32" s="62">
        <v>36</v>
      </c>
      <c r="C32" s="63" t="s">
        <v>212</v>
      </c>
      <c r="D32" s="83">
        <v>2</v>
      </c>
      <c r="E32" s="12"/>
      <c r="F32" s="12"/>
      <c r="G32" s="8" t="s">
        <v>190</v>
      </c>
      <c r="H32" s="8" t="s">
        <v>190</v>
      </c>
    </row>
    <row r="33" spans="2:9" x14ac:dyDescent="0.25">
      <c r="B33" s="62">
        <v>37</v>
      </c>
      <c r="C33" s="63" t="s">
        <v>213</v>
      </c>
      <c r="D33" s="83">
        <v>2</v>
      </c>
      <c r="E33" s="12"/>
      <c r="F33" s="12"/>
      <c r="G33" s="8" t="s">
        <v>190</v>
      </c>
      <c r="H33" s="8" t="s">
        <v>190</v>
      </c>
    </row>
    <row r="34" spans="2:9" x14ac:dyDescent="0.25">
      <c r="B34" s="62">
        <v>38</v>
      </c>
      <c r="C34" s="63" t="s">
        <v>214</v>
      </c>
      <c r="D34" s="83">
        <v>2</v>
      </c>
      <c r="E34" s="12"/>
      <c r="F34" s="85"/>
      <c r="G34" s="8" t="s">
        <v>179</v>
      </c>
      <c r="H34" s="8" t="s">
        <v>186</v>
      </c>
      <c r="I34" s="66"/>
    </row>
    <row r="35" spans="2:9" ht="31.5" customHeight="1" x14ac:dyDescent="0.25">
      <c r="B35" s="62" t="s">
        <v>215</v>
      </c>
      <c r="C35" s="67" t="s">
        <v>216</v>
      </c>
      <c r="D35" s="83">
        <v>2</v>
      </c>
      <c r="E35" s="12"/>
      <c r="F35" s="12"/>
      <c r="G35" s="8" t="s">
        <v>190</v>
      </c>
      <c r="H35" s="8" t="s">
        <v>190</v>
      </c>
    </row>
    <row r="36" spans="2:9" x14ac:dyDescent="0.25">
      <c r="B36" s="62">
        <v>48</v>
      </c>
      <c r="C36" s="67" t="s">
        <v>217</v>
      </c>
      <c r="D36" s="83">
        <v>2</v>
      </c>
      <c r="E36" s="12"/>
      <c r="F36" s="12"/>
      <c r="G36" s="8" t="s">
        <v>190</v>
      </c>
      <c r="H36" s="8" t="s">
        <v>190</v>
      </c>
    </row>
    <row r="37" spans="2:9" x14ac:dyDescent="0.25">
      <c r="B37" s="62">
        <v>49</v>
      </c>
      <c r="C37" s="67" t="s">
        <v>218</v>
      </c>
      <c r="D37" s="83">
        <v>2</v>
      </c>
      <c r="E37" s="12"/>
      <c r="F37" s="85"/>
      <c r="G37" s="8" t="s">
        <v>179</v>
      </c>
      <c r="H37" s="8" t="s">
        <v>186</v>
      </c>
    </row>
    <row r="38" spans="2:9" x14ac:dyDescent="0.25">
      <c r="B38" s="62">
        <v>50</v>
      </c>
      <c r="C38" s="67" t="s">
        <v>219</v>
      </c>
      <c r="D38" s="83">
        <v>2</v>
      </c>
      <c r="E38" s="12"/>
      <c r="F38" s="12"/>
      <c r="G38" s="8"/>
      <c r="H38" s="8"/>
    </row>
    <row r="39" spans="2:9" x14ac:dyDescent="0.25">
      <c r="B39" s="62">
        <v>54</v>
      </c>
      <c r="C39" s="81" t="s">
        <v>251</v>
      </c>
      <c r="D39" s="83">
        <v>2</v>
      </c>
      <c r="E39" s="12"/>
      <c r="F39" s="12"/>
      <c r="G39" s="8"/>
      <c r="H39" s="8"/>
    </row>
    <row r="40" spans="2:9" x14ac:dyDescent="0.25">
      <c r="B40" s="62">
        <v>55</v>
      </c>
      <c r="C40" s="82" t="s">
        <v>252</v>
      </c>
      <c r="D40" s="83">
        <v>2</v>
      </c>
      <c r="E40" s="12"/>
      <c r="F40" s="12"/>
      <c r="G40" s="8"/>
      <c r="H40" s="8"/>
    </row>
    <row r="41" spans="2:9" x14ac:dyDescent="0.25">
      <c r="B41" s="62">
        <v>56</v>
      </c>
      <c r="C41" s="82" t="s">
        <v>253</v>
      </c>
      <c r="D41" s="83">
        <v>2</v>
      </c>
      <c r="E41" s="12"/>
      <c r="F41" s="12"/>
      <c r="G41" s="8" t="s">
        <v>179</v>
      </c>
      <c r="H41" s="8" t="s">
        <v>186</v>
      </c>
    </row>
    <row r="42" spans="2:9" x14ac:dyDescent="0.25">
      <c r="D42" s="4" t="s">
        <v>220</v>
      </c>
      <c r="E42" s="14">
        <f>SUM(E5:E41)</f>
        <v>273000</v>
      </c>
      <c r="F42" s="14">
        <f>SUM(F5:F41)</f>
        <v>113894.2</v>
      </c>
    </row>
    <row r="44" spans="2:9" ht="132.75" customHeight="1" x14ac:dyDescent="0.25">
      <c r="B44" s="108" t="s">
        <v>221</v>
      </c>
      <c r="C44" s="113"/>
      <c r="D44" s="113"/>
      <c r="E44" s="113"/>
      <c r="F44" s="113"/>
    </row>
    <row r="46" spans="2:9" x14ac:dyDescent="0.25">
      <c r="C46" s="68" t="s">
        <v>16</v>
      </c>
      <c r="D46" s="13">
        <v>113.14</v>
      </c>
    </row>
    <row r="47" spans="2:9" x14ac:dyDescent="0.25">
      <c r="C47" s="68" t="s">
        <v>222</v>
      </c>
      <c r="D47" s="2">
        <f>IFERROR(ROUND(D46*7*365,2),"")</f>
        <v>289072.7</v>
      </c>
      <c r="E47" s="69" t="s">
        <v>223</v>
      </c>
    </row>
    <row r="48" spans="2:9" x14ac:dyDescent="0.25">
      <c r="C48" s="68" t="s">
        <v>224</v>
      </c>
      <c r="D48" s="2">
        <f>IFERROR(ROUND(D46*365,2),"")</f>
        <v>41296.1</v>
      </c>
      <c r="E48" s="69" t="s">
        <v>225</v>
      </c>
    </row>
    <row r="49" spans="2:8" ht="84" customHeight="1" x14ac:dyDescent="0.25">
      <c r="B49" s="108" t="s">
        <v>226</v>
      </c>
      <c r="C49" s="113"/>
    </row>
    <row r="50" spans="2:8" x14ac:dyDescent="0.25">
      <c r="C50" s="70" t="s">
        <v>227</v>
      </c>
      <c r="D50" s="2">
        <f>IFERROR(E42,"")</f>
        <v>273000</v>
      </c>
    </row>
    <row r="51" spans="2:8" x14ac:dyDescent="0.25">
      <c r="C51" s="70" t="s">
        <v>228</v>
      </c>
      <c r="D51" s="2">
        <f>SUMIFS(F5:F41,G5:G41,"Sí",H5:H41,"Sí")</f>
        <v>78000</v>
      </c>
    </row>
    <row r="52" spans="2:8" x14ac:dyDescent="0.25">
      <c r="C52" s="70" t="s">
        <v>229</v>
      </c>
      <c r="D52" s="2">
        <f>SUM(D50:D51)</f>
        <v>351000</v>
      </c>
      <c r="E52" s="69" t="s">
        <v>230</v>
      </c>
    </row>
    <row r="53" spans="2:8" x14ac:dyDescent="0.25">
      <c r="C53" s="71" t="s">
        <v>231</v>
      </c>
      <c r="D53" s="2">
        <f>D47</f>
        <v>289072.7</v>
      </c>
      <c r="E53" s="69" t="s">
        <v>223</v>
      </c>
    </row>
    <row r="55" spans="2:8" x14ac:dyDescent="0.25">
      <c r="B55" s="114" t="s">
        <v>232</v>
      </c>
      <c r="C55" s="114"/>
      <c r="D55" s="2">
        <f>D48</f>
        <v>41296.1</v>
      </c>
      <c r="E55" s="69" t="s">
        <v>225</v>
      </c>
    </row>
    <row r="57" spans="2:8" ht="34.5" customHeight="1" x14ac:dyDescent="0.25">
      <c r="B57" s="115" t="s">
        <v>233</v>
      </c>
      <c r="C57" s="115"/>
    </row>
    <row r="58" spans="2:8" x14ac:dyDescent="0.25">
      <c r="C58" s="70" t="s">
        <v>227</v>
      </c>
      <c r="D58" s="2">
        <f>IF(D52&gt;D53,D50,"")</f>
        <v>273000</v>
      </c>
    </row>
    <row r="59" spans="2:8" x14ac:dyDescent="0.25">
      <c r="C59" s="70" t="s">
        <v>234</v>
      </c>
      <c r="D59" s="2">
        <f>IF(D52&gt;D53,IF(D51&gt;=D55,D55,D51),"")</f>
        <v>41296.1</v>
      </c>
    </row>
    <row r="60" spans="2:8" x14ac:dyDescent="0.25">
      <c r="C60" s="70" t="s">
        <v>235</v>
      </c>
      <c r="D60" s="2">
        <f>IF(D52&gt;D53,SUM(D58:D59),"")</f>
        <v>314296.09999999998</v>
      </c>
      <c r="E60" s="69" t="s">
        <v>236</v>
      </c>
      <c r="F60" s="2"/>
    </row>
    <row r="61" spans="2:8" x14ac:dyDescent="0.25">
      <c r="F61" s="2"/>
      <c r="H61" s="2"/>
    </row>
    <row r="62" spans="2:8" x14ac:dyDescent="0.25">
      <c r="C62" s="72" t="s">
        <v>237</v>
      </c>
      <c r="F62" s="2"/>
    </row>
    <row r="64" spans="2:8" x14ac:dyDescent="0.25">
      <c r="C64" s="73" t="s">
        <v>238</v>
      </c>
      <c r="D64" s="2">
        <f>SUMIFS(F5:F41,G5:G41,"Sí",H5:H41,"No")</f>
        <v>32500</v>
      </c>
    </row>
    <row r="65" spans="2:8" x14ac:dyDescent="0.25">
      <c r="C65" s="73" t="s">
        <v>239</v>
      </c>
      <c r="D65" s="2">
        <f>IFERROR(IF(D51&gt;=D66,D51-D66,0),0)</f>
        <v>36703.9</v>
      </c>
    </row>
    <row r="66" spans="2:8" x14ac:dyDescent="0.25">
      <c r="C66" s="73" t="s">
        <v>240</v>
      </c>
      <c r="D66" s="2">
        <f>IF(D60="",D51,IF(D60&gt;=D53,D59,IF(D60&lt;D53,D53-D58,"")))</f>
        <v>41296.1</v>
      </c>
      <c r="F66" s="2"/>
    </row>
    <row r="67" spans="2:8" x14ac:dyDescent="0.25">
      <c r="C67" s="70" t="s">
        <v>241</v>
      </c>
      <c r="D67" s="74">
        <f>SUM(D64:D66)</f>
        <v>110500</v>
      </c>
    </row>
    <row r="70" spans="2:8" x14ac:dyDescent="0.25">
      <c r="B70" s="1" t="s">
        <v>242</v>
      </c>
      <c r="C70" t="s">
        <v>243</v>
      </c>
    </row>
    <row r="71" spans="2:8" ht="15.75" thickBot="1" x14ac:dyDescent="0.3">
      <c r="B71" t="s">
        <v>244</v>
      </c>
    </row>
    <row r="72" spans="2:8" x14ac:dyDescent="0.25">
      <c r="B72" s="75" t="s">
        <v>181</v>
      </c>
      <c r="C72" s="76" t="s">
        <v>103</v>
      </c>
      <c r="D72" s="57" t="s">
        <v>28</v>
      </c>
      <c r="E72" s="57" t="s">
        <v>29</v>
      </c>
      <c r="G72" s="76" t="s">
        <v>103</v>
      </c>
      <c r="H72" s="77" t="s">
        <v>63</v>
      </c>
    </row>
    <row r="73" spans="2:8" x14ac:dyDescent="0.25">
      <c r="B73" s="62">
        <v>1</v>
      </c>
      <c r="C73" s="63" t="s">
        <v>185</v>
      </c>
      <c r="D73" s="9">
        <v>3500</v>
      </c>
      <c r="E73" s="9"/>
      <c r="G73" s="63" t="s">
        <v>245</v>
      </c>
      <c r="H73" s="9">
        <v>120</v>
      </c>
    </row>
    <row r="74" spans="2:8" x14ac:dyDescent="0.25">
      <c r="B74" s="62">
        <v>30</v>
      </c>
      <c r="C74" s="63" t="s">
        <v>206</v>
      </c>
      <c r="D74" s="9">
        <f>D65</f>
        <v>36703.9</v>
      </c>
      <c r="E74" s="9"/>
      <c r="G74" s="63" t="s">
        <v>246</v>
      </c>
      <c r="H74" s="9">
        <v>650</v>
      </c>
    </row>
    <row r="75" spans="2:8" ht="43.5" thickBot="1" x14ac:dyDescent="0.3">
      <c r="G75" s="78" t="s">
        <v>247</v>
      </c>
      <c r="H75" s="79">
        <f>D74</f>
        <v>36703.9</v>
      </c>
    </row>
    <row r="76" spans="2:8" x14ac:dyDescent="0.25">
      <c r="B76" s="80" t="s">
        <v>248</v>
      </c>
      <c r="C76" s="76" t="s">
        <v>103</v>
      </c>
      <c r="D76" s="17" t="s">
        <v>63</v>
      </c>
    </row>
    <row r="77" spans="2:8" x14ac:dyDescent="0.25">
      <c r="B77" s="62">
        <v>2</v>
      </c>
      <c r="C77" s="63" t="s">
        <v>249</v>
      </c>
      <c r="D77" s="79">
        <v>0</v>
      </c>
    </row>
    <row r="78" spans="2:8" x14ac:dyDescent="0.25">
      <c r="C78" t="s">
        <v>250</v>
      </c>
      <c r="D78" s="2">
        <v>0</v>
      </c>
    </row>
  </sheetData>
  <sheetProtection formatCells="0" formatColumns="0" formatRows="0" selectLockedCells="1" sort="0"/>
  <mergeCells count="4">
    <mergeCell ref="B44:F44"/>
    <mergeCell ref="B49:C49"/>
    <mergeCell ref="B55:C55"/>
    <mergeCell ref="B57:C57"/>
  </mergeCells>
  <dataValidations count="2">
    <dataValidation type="list" allowBlank="1" showInputMessage="1" showErrorMessage="1" sqref="G5:G41" xr:uid="{D76DE64B-A2BC-4756-8008-2FE63ECFBF24}">
      <formula1>"Sí,No"</formula1>
    </dataValidation>
    <dataValidation type="list" allowBlank="1" showInputMessage="1" showErrorMessage="1" sqref="H5:H41" xr:uid="{87B17FCA-AFF2-4F89-A8AF-F78D84A4B283}">
      <formula1>"Sí,No,No aplica"</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5</vt:i4>
      </vt:variant>
    </vt:vector>
  </HeadingPairs>
  <TitlesOfParts>
    <vt:vector size="15" baseType="lpstr">
      <vt:lpstr>PORTADA</vt:lpstr>
      <vt:lpstr>MENU</vt:lpstr>
      <vt:lpstr>174</vt:lpstr>
      <vt:lpstr>175</vt:lpstr>
      <vt:lpstr>176</vt:lpstr>
      <vt:lpstr>177</vt:lpstr>
      <vt:lpstr>96</vt:lpstr>
      <vt:lpstr>ASIMILADOS</vt:lpstr>
      <vt:lpstr>PREVISION</vt:lpstr>
      <vt:lpstr>TARIFAS</vt:lpstr>
      <vt:lpstr>MESES</vt:lpstr>
      <vt:lpstr>TDECENAL</vt:lpstr>
      <vt:lpstr>TMENSUAL</vt:lpstr>
      <vt:lpstr>TQUINCENAL</vt:lpstr>
      <vt:lpstr>TSEMANAL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Alberto Monroy</dc:creator>
  <cp:lastModifiedBy>Alberto Monroy</cp:lastModifiedBy>
  <dcterms:created xsi:type="dcterms:W3CDTF">2026-01-30T21:25:30Z</dcterms:created>
  <dcterms:modified xsi:type="dcterms:W3CDTF">2026-02-03T14:54:53Z</dcterms:modified>
</cp:coreProperties>
</file>