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Cofide cursos\Ajuste anual salarios\Ajuste Anual Salarios _nov24 y ene 25\"/>
    </mc:Choice>
  </mc:AlternateContent>
  <xr:revisionPtr revIDLastSave="0" documentId="13_ncr:1_{EBF486D4-566F-4148-A2A8-13389FA7172C}" xr6:coauthVersionLast="47" xr6:coauthVersionMax="47" xr10:uidLastSave="{00000000-0000-0000-0000-000000000000}"/>
  <bookViews>
    <workbookView xWindow="-110" yWindow="-110" windowWidth="19420" windowHeight="10420" firstSheet="2" activeTab="4" xr2:uid="{00000000-000D-0000-FFFF-FFFF00000000}"/>
  </bookViews>
  <sheets>
    <sheet name="Sueldos x mes 2024 TA" sheetId="6" r:id="rId1"/>
    <sheet name="Tarifa Art 96 2024 TA" sheetId="12" r:id="rId2"/>
    <sheet name="Sueldos resumen anual 2024 TA" sheetId="3" r:id="rId3"/>
    <sheet name="Ajuste anual 2024 resumen" sheetId="13" r:id="rId4"/>
    <sheet name="Tarifa Art 152 2024" sheetId="2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" i="13" l="1"/>
  <c r="F7" i="13"/>
  <c r="F9" i="13" s="1"/>
  <c r="F11" i="13" s="1"/>
  <c r="F16" i="13" s="1"/>
  <c r="E7" i="13"/>
  <c r="E9" i="13" s="1"/>
  <c r="E11" i="13" s="1"/>
  <c r="F15" i="13" s="1"/>
  <c r="P6" i="2"/>
  <c r="P9" i="2" s="1"/>
  <c r="O6" i="2"/>
  <c r="O7" i="2" s="1"/>
  <c r="O8" i="2" s="1"/>
  <c r="O10" i="2" s="1"/>
  <c r="N6" i="2"/>
  <c r="N11" i="2" s="1"/>
  <c r="O9" i="2"/>
  <c r="G11" i="13"/>
  <c r="F17" i="13" s="1"/>
  <c r="D10" i="13"/>
  <c r="D7" i="13"/>
  <c r="D9" i="13" s="1"/>
  <c r="D11" i="13" s="1"/>
  <c r="G5" i="13"/>
  <c r="F5" i="13"/>
  <c r="E5" i="13"/>
  <c r="D5" i="13"/>
  <c r="D3" i="13"/>
  <c r="N7" i="2" l="1"/>
  <c r="N8" i="2" s="1"/>
  <c r="N9" i="2"/>
  <c r="P11" i="2"/>
  <c r="P7" i="2"/>
  <c r="P8" i="2" s="1"/>
  <c r="P10" i="2" s="1"/>
  <c r="P12" i="2" s="1"/>
  <c r="O11" i="2"/>
  <c r="O12" i="2" s="1"/>
  <c r="F14" i="13"/>
  <c r="F18" i="13" s="1"/>
  <c r="H11" i="13"/>
  <c r="N10" i="2" l="1"/>
  <c r="N12" i="2" s="1"/>
  <c r="D22" i="12" l="1"/>
  <c r="D16" i="12"/>
  <c r="D15" i="12"/>
  <c r="C15" i="12"/>
  <c r="B16" i="12" s="1"/>
  <c r="D14" i="12"/>
  <c r="C14" i="12"/>
  <c r="B15" i="12" s="1"/>
  <c r="D13" i="12"/>
  <c r="C13" i="12"/>
  <c r="B14" i="12" s="1"/>
  <c r="D12" i="12"/>
  <c r="C12" i="12"/>
  <c r="B13" i="12" s="1"/>
  <c r="B12" i="12"/>
  <c r="D11" i="12"/>
  <c r="C11" i="12"/>
  <c r="B11" i="12"/>
  <c r="D10" i="12"/>
  <c r="C10" i="12"/>
  <c r="D9" i="12"/>
  <c r="C9" i="12"/>
  <c r="B10" i="12" s="1"/>
  <c r="D8" i="12"/>
  <c r="C8" i="12"/>
  <c r="B9" i="12" s="1"/>
  <c r="B8" i="12"/>
  <c r="D7" i="12"/>
  <c r="C7" i="12"/>
  <c r="B7" i="12"/>
  <c r="D6" i="12"/>
  <c r="C6" i="12"/>
  <c r="L7" i="6"/>
  <c r="N6" i="12" s="1"/>
  <c r="N7" i="12" s="1"/>
  <c r="N8" i="12" s="1"/>
  <c r="L9" i="6"/>
  <c r="P6" i="12" s="1"/>
  <c r="P9" i="12" s="1"/>
  <c r="L12" i="6"/>
  <c r="S6" i="12" s="1"/>
  <c r="L13" i="6"/>
  <c r="T6" i="12" s="1"/>
  <c r="T9" i="12" s="1"/>
  <c r="L14" i="6"/>
  <c r="U6" i="12" s="1"/>
  <c r="U11" i="12" s="1"/>
  <c r="L15" i="6"/>
  <c r="V6" i="12" s="1"/>
  <c r="V7" i="12" s="1"/>
  <c r="V8" i="12" s="1"/>
  <c r="L16" i="6"/>
  <c r="W6" i="12" s="1"/>
  <c r="L6" i="6"/>
  <c r="M6" i="12" s="1"/>
  <c r="K7" i="6"/>
  <c r="M7" i="6" s="1"/>
  <c r="K8" i="6"/>
  <c r="K9" i="6"/>
  <c r="M9" i="6" s="1"/>
  <c r="K10" i="6"/>
  <c r="K11" i="6"/>
  <c r="M11" i="6" s="1"/>
  <c r="K12" i="6"/>
  <c r="M12" i="6" s="1"/>
  <c r="K13" i="6"/>
  <c r="M13" i="6" s="1"/>
  <c r="K14" i="6"/>
  <c r="M14" i="6" s="1"/>
  <c r="K15" i="6"/>
  <c r="M15" i="6" s="1"/>
  <c r="K16" i="6"/>
  <c r="M16" i="6" s="1"/>
  <c r="K17" i="6"/>
  <c r="K6" i="6"/>
  <c r="J11" i="6"/>
  <c r="J18" i="6" s="1"/>
  <c r="H10" i="6"/>
  <c r="H18" i="6" s="1"/>
  <c r="I10" i="6"/>
  <c r="I18" i="6" s="1"/>
  <c r="G17" i="6"/>
  <c r="F17" i="6"/>
  <c r="F18" i="6" s="1"/>
  <c r="E8" i="6"/>
  <c r="E18" i="6" s="1"/>
  <c r="D8" i="6"/>
  <c r="D18" i="6" s="1"/>
  <c r="C18" i="6"/>
  <c r="M17" i="6" l="1"/>
  <c r="L8" i="6"/>
  <c r="O6" i="12" s="1"/>
  <c r="O7" i="12" s="1"/>
  <c r="O8" i="12" s="1"/>
  <c r="G18" i="6"/>
  <c r="K18" i="6"/>
  <c r="O9" i="12"/>
  <c r="S7" i="12"/>
  <c r="S8" i="12" s="1"/>
  <c r="S9" i="12"/>
  <c r="S11" i="12"/>
  <c r="M11" i="12"/>
  <c r="W11" i="12"/>
  <c r="W9" i="12"/>
  <c r="L10" i="6"/>
  <c r="Q6" i="12" s="1"/>
  <c r="M6" i="6"/>
  <c r="M10" i="6"/>
  <c r="L17" i="6"/>
  <c r="X6" i="12" s="1"/>
  <c r="X9" i="12" s="1"/>
  <c r="N9" i="12"/>
  <c r="N10" i="12" s="1"/>
  <c r="M8" i="6"/>
  <c r="L11" i="6"/>
  <c r="R6" i="12" s="1"/>
  <c r="R9" i="12" s="1"/>
  <c r="S10" i="12"/>
  <c r="S12" i="12" s="1"/>
  <c r="N12" i="6" s="1"/>
  <c r="W7" i="12"/>
  <c r="W8" i="12" s="1"/>
  <c r="V9" i="12"/>
  <c r="V10" i="12" s="1"/>
  <c r="V11" i="12"/>
  <c r="U9" i="12"/>
  <c r="U7" i="12"/>
  <c r="U8" i="12" s="1"/>
  <c r="T7" i="12"/>
  <c r="T8" i="12" s="1"/>
  <c r="T10" i="12" s="1"/>
  <c r="T11" i="12"/>
  <c r="Q9" i="12"/>
  <c r="P7" i="12"/>
  <c r="P8" i="12" s="1"/>
  <c r="P10" i="12" s="1"/>
  <c r="P11" i="12"/>
  <c r="O11" i="12"/>
  <c r="N11" i="12"/>
  <c r="M7" i="12"/>
  <c r="M8" i="12" s="1"/>
  <c r="M9" i="12"/>
  <c r="E23" i="3"/>
  <c r="W10" i="12" l="1"/>
  <c r="X7" i="12"/>
  <c r="X8" i="12" s="1"/>
  <c r="X10" i="12" s="1"/>
  <c r="Y6" i="12"/>
  <c r="N12" i="12"/>
  <c r="N7" i="6" s="1"/>
  <c r="P12" i="12"/>
  <c r="N9" i="6" s="1"/>
  <c r="W12" i="12"/>
  <c r="N16" i="6" s="1"/>
  <c r="L18" i="6"/>
  <c r="M18" i="6"/>
  <c r="X11" i="12"/>
  <c r="X12" i="12" s="1"/>
  <c r="N17" i="6" s="1"/>
  <c r="Q7" i="12"/>
  <c r="Q8" i="12" s="1"/>
  <c r="Q10" i="12" s="1"/>
  <c r="Q11" i="12"/>
  <c r="R7" i="12"/>
  <c r="R8" i="12" s="1"/>
  <c r="R10" i="12" s="1"/>
  <c r="R11" i="12"/>
  <c r="O10" i="12"/>
  <c r="O12" i="12" s="1"/>
  <c r="N8" i="6" s="1"/>
  <c r="T12" i="12"/>
  <c r="N13" i="6" s="1"/>
  <c r="V12" i="12"/>
  <c r="N15" i="6" s="1"/>
  <c r="U10" i="12"/>
  <c r="U12" i="12" s="1"/>
  <c r="N14" i="6" s="1"/>
  <c r="M10" i="12"/>
  <c r="M12" i="12" s="1"/>
  <c r="F23" i="3"/>
  <c r="F20" i="3"/>
  <c r="F19" i="3"/>
  <c r="E22" i="3"/>
  <c r="E21" i="3"/>
  <c r="E20" i="3"/>
  <c r="E19" i="3"/>
  <c r="E18" i="3"/>
  <c r="D7" i="2"/>
  <c r="D8" i="2"/>
  <c r="D9" i="2"/>
  <c r="D10" i="2"/>
  <c r="D11" i="2"/>
  <c r="D12" i="2"/>
  <c r="D13" i="2"/>
  <c r="D14" i="2"/>
  <c r="D15" i="2"/>
  <c r="D16" i="2"/>
  <c r="D6" i="2"/>
  <c r="C7" i="2"/>
  <c r="B8" i="2" s="1"/>
  <c r="C8" i="2"/>
  <c r="B9" i="2" s="1"/>
  <c r="C9" i="2"/>
  <c r="B10" i="2" s="1"/>
  <c r="C10" i="2"/>
  <c r="B11" i="2" s="1"/>
  <c r="C11" i="2"/>
  <c r="B12" i="2" s="1"/>
  <c r="C12" i="2"/>
  <c r="B13" i="2" s="1"/>
  <c r="C13" i="2"/>
  <c r="C14" i="2"/>
  <c r="B15" i="2" s="1"/>
  <c r="C15" i="2"/>
  <c r="B16" i="2" s="1"/>
  <c r="C6" i="2"/>
  <c r="B7" i="2" s="1"/>
  <c r="D22" i="2"/>
  <c r="B14" i="2"/>
  <c r="Q12" i="12" l="1"/>
  <c r="N10" i="6" s="1"/>
  <c r="R12" i="12"/>
  <c r="N11" i="6" s="1"/>
  <c r="N6" i="6"/>
  <c r="G22" i="3"/>
  <c r="G23" i="3"/>
  <c r="G18" i="3"/>
  <c r="G19" i="3"/>
  <c r="G20" i="3"/>
  <c r="E24" i="3"/>
  <c r="F21" i="3"/>
  <c r="N18" i="6" l="1"/>
  <c r="Y12" i="12"/>
  <c r="F30" i="3" s="1"/>
  <c r="G21" i="3"/>
  <c r="G24" i="3" s="1"/>
  <c r="F28" i="3" s="1"/>
  <c r="M6" i="2"/>
  <c r="M9" i="2" s="1"/>
  <c r="F24" i="3"/>
  <c r="M7" i="2" l="1"/>
  <c r="M8" i="2" s="1"/>
  <c r="M10" i="2" s="1"/>
  <c r="M11" i="2"/>
  <c r="M12" i="2" l="1"/>
  <c r="F29" i="3" s="1"/>
  <c r="F31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Usuario</author>
  </authors>
  <commentList>
    <comment ref="F8" authorId="0" shapeId="0" xr:uid="{1FDE13BD-F0BC-44D2-8CD5-C0D68346EB80}">
      <text>
        <r>
          <rPr>
            <b/>
            <sz val="9"/>
            <color indexed="81"/>
            <rFont val="Tahoma"/>
            <charset val="1"/>
          </rPr>
          <t>Usuario:</t>
        </r>
        <r>
          <rPr>
            <sz val="9"/>
            <color indexed="81"/>
            <rFont val="Tahoma"/>
            <charset val="1"/>
          </rPr>
          <t xml:space="preserve">
dato supuesto</t>
        </r>
      </text>
    </comment>
    <comment ref="G8" authorId="0" shapeId="0" xr:uid="{F80A7539-222A-4A22-A5CF-F07315389066}">
      <text>
        <r>
          <rPr>
            <b/>
            <sz val="9"/>
            <color indexed="81"/>
            <rFont val="Tahoma"/>
            <charset val="1"/>
          </rPr>
          <t>Usuario:</t>
        </r>
        <r>
          <rPr>
            <sz val="9"/>
            <color indexed="81"/>
            <rFont val="Tahoma"/>
            <charset val="1"/>
          </rPr>
          <t xml:space="preserve">
Dato supuesto</t>
        </r>
      </text>
    </comment>
    <comment ref="E10" authorId="0" shapeId="0" xr:uid="{004C289D-A95C-4AE8-AC02-18263FF911E0}">
      <text>
        <r>
          <rPr>
            <b/>
            <sz val="9"/>
            <color indexed="81"/>
            <rFont val="Tahoma"/>
            <charset val="1"/>
          </rPr>
          <t>Usuario:</t>
        </r>
        <r>
          <rPr>
            <sz val="9"/>
            <color indexed="81"/>
            <rFont val="Tahoma"/>
            <charset val="1"/>
          </rPr>
          <t xml:space="preserve">
Dato supuesto</t>
        </r>
      </text>
    </comment>
    <comment ref="F10" authorId="0" shapeId="0" xr:uid="{CF7EBFE4-35FE-46CF-BB2D-8FB773C20D9F}">
      <text>
        <r>
          <rPr>
            <b/>
            <sz val="9"/>
            <color indexed="81"/>
            <rFont val="Tahoma"/>
            <charset val="1"/>
          </rPr>
          <t>Usuario:</t>
        </r>
        <r>
          <rPr>
            <sz val="9"/>
            <color indexed="81"/>
            <rFont val="Tahoma"/>
            <charset val="1"/>
          </rPr>
          <t xml:space="preserve">
Dato supuesto</t>
        </r>
      </text>
    </comment>
    <comment ref="G10" authorId="0" shapeId="0" xr:uid="{FB5AA83F-80CD-4FC3-B924-856C0858CC33}">
      <text>
        <r>
          <rPr>
            <b/>
            <sz val="9"/>
            <color indexed="81"/>
            <rFont val="Tahoma"/>
            <charset val="1"/>
          </rPr>
          <t>Usuario:</t>
        </r>
        <r>
          <rPr>
            <sz val="9"/>
            <color indexed="81"/>
            <rFont val="Tahoma"/>
            <charset val="1"/>
          </rPr>
          <t xml:space="preserve">
Dato supuesto</t>
        </r>
      </text>
    </comment>
  </commentList>
</comments>
</file>

<file path=xl/sharedStrings.xml><?xml version="1.0" encoding="utf-8"?>
<sst xmlns="http://schemas.openxmlformats.org/spreadsheetml/2006/main" count="137" uniqueCount="81">
  <si>
    <t>Límite Inferior</t>
  </si>
  <si>
    <t>Límite Superior</t>
  </si>
  <si>
    <t>Cuota Fija</t>
  </si>
  <si>
    <t>% a aplicar sobre excedente del límite inferior</t>
  </si>
  <si>
    <t>Base:</t>
  </si>
  <si>
    <t>- Limite inferior:</t>
  </si>
  <si>
    <t>= Excedente:</t>
  </si>
  <si>
    <t>x % aplicable:</t>
  </si>
  <si>
    <t>= Impto. Marginal:</t>
  </si>
  <si>
    <t>+ Cuota Fija:</t>
  </si>
  <si>
    <t>= ISR:</t>
  </si>
  <si>
    <t>en adelante</t>
  </si>
  <si>
    <t>INPC dic 13</t>
  </si>
  <si>
    <t>INPC nov 17</t>
  </si>
  <si>
    <t>Factor:</t>
  </si>
  <si>
    <t>Tabla de Subsidio</t>
  </si>
  <si>
    <t>Monto de ingresos que sirven de base para calcular el impuesto</t>
  </si>
  <si>
    <t>Para Ingresos de</t>
  </si>
  <si>
    <t>Hasta Ingresos de</t>
  </si>
  <si>
    <t>Cantidad de subsidio para el empleo mensual</t>
  </si>
  <si>
    <t>En adelante</t>
  </si>
  <si>
    <t>Tarifa art 152 (2014-2017)</t>
  </si>
  <si>
    <t>Contribuyente:</t>
  </si>
  <si>
    <t>Sueldos</t>
  </si>
  <si>
    <t>Prima Vacacional</t>
  </si>
  <si>
    <t>Aguinaldo</t>
  </si>
  <si>
    <t>Previsión Social</t>
  </si>
  <si>
    <t>Bono anual</t>
  </si>
  <si>
    <t>PTU cobrada</t>
  </si>
  <si>
    <t>Totales</t>
  </si>
  <si>
    <t>Dias de vacaciones:</t>
  </si>
  <si>
    <t>Prima vacacional:</t>
  </si>
  <si>
    <t>Aguinaldo:</t>
  </si>
  <si>
    <t>15 dias</t>
  </si>
  <si>
    <t>30 dias</t>
  </si>
  <si>
    <t>Exentos</t>
  </si>
  <si>
    <t>Bono por resultados:</t>
  </si>
  <si>
    <t>Sueldo mensual:</t>
  </si>
  <si>
    <t>Gravados</t>
  </si>
  <si>
    <t>Base Gravable</t>
  </si>
  <si>
    <t>ISR Art 152</t>
  </si>
  <si>
    <t>ISR retenido al trabajador ajuste anual</t>
  </si>
  <si>
    <t>Sumas</t>
  </si>
  <si>
    <t>-</t>
  </si>
  <si>
    <t>=</t>
  </si>
  <si>
    <t>Prestación vales de despensa:</t>
  </si>
  <si>
    <t>UMA 2024 diaria:</t>
  </si>
  <si>
    <t>Tarifa art 152 (2024)</t>
  </si>
  <si>
    <t>Vales despensa</t>
  </si>
  <si>
    <t>Bono resultados</t>
  </si>
  <si>
    <t>PTU</t>
  </si>
  <si>
    <t>Total Gravado</t>
  </si>
  <si>
    <t>Total Exento</t>
  </si>
  <si>
    <t>ISR retenido</t>
  </si>
  <si>
    <t>Gravada</t>
  </si>
  <si>
    <t>Exenta</t>
  </si>
  <si>
    <t>Gravado</t>
  </si>
  <si>
    <t>Exento</t>
  </si>
  <si>
    <t>Sueldo Gravado</t>
  </si>
  <si>
    <t>ISR de retenciones mensuales</t>
  </si>
  <si>
    <t>1. Datos de sueldos y salarios generales</t>
  </si>
  <si>
    <t>2. Vaciado mensual de percepciones e ISR retenido</t>
  </si>
  <si>
    <t>Tarifa art 96 (2024)</t>
  </si>
  <si>
    <t>3. Determinación de exentos y gravados</t>
  </si>
  <si>
    <t>4. Cálculo anual hecho por el patrón</t>
  </si>
  <si>
    <t>Trabajador A</t>
  </si>
  <si>
    <t>Trabajador B</t>
  </si>
  <si>
    <t>Trabajador C</t>
  </si>
  <si>
    <t>Trabajador D</t>
  </si>
  <si>
    <t>NETO</t>
  </si>
  <si>
    <t>Ingresos gravados totales del trabajador en el año</t>
  </si>
  <si>
    <t>Impuesto local a los ingresos por salarios y en general por la prestación de un servicio personal subordinado que hubieran retenido en el año de calendario (siempre que la tasa &lt; 5%)</t>
  </si>
  <si>
    <t>Base de cálculo</t>
  </si>
  <si>
    <t>x</t>
  </si>
  <si>
    <t>Aplicación de Tarifa del Art. 152 LISR (Tarifa anual)</t>
  </si>
  <si>
    <t>ISR del ejercicio</t>
  </si>
  <si>
    <t>Suma de SE mensual que le correspondió al trabajador</t>
  </si>
  <si>
    <t>a) Si ISR &gt; Suma de SE mensuales, ISR a cargo del ejercicio                b) Si ISR &lt; Suma de SE mensuales, no hay ISR a cargo ni entrega adicional de SE</t>
  </si>
  <si>
    <t>Pagos provisionales (retenciones) efectuados en los términos del Art. 96 LISR</t>
  </si>
  <si>
    <t>Diferencia a cargo (diferencia a favor)</t>
  </si>
  <si>
    <t>NETO: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</si>
</sst>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164" formatCode="0.0%"/>
    <numFmt numFmtId="165" formatCode="0.000"/>
    <numFmt numFmtId="166" formatCode="_-&quot;$&quot;* #,##0.0000_-;\-&quot;$&quot;* #,##0.0000_-;_-&quot;$&quot;* &quot;-&quot;??_-;_-@_-"/>
    <numFmt numFmtId="167" formatCode="0.00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Calibri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9">
    <xf numFmtId="0" fontId="0" fillId="0" borderId="0" xfId="0"/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44" fontId="0" fillId="0" borderId="1" xfId="1" applyFont="1" applyBorder="1"/>
    <xf numFmtId="10" fontId="0" fillId="0" borderId="1" xfId="2" applyNumberFormat="1" applyFont="1" applyBorder="1"/>
    <xf numFmtId="0" fontId="0" fillId="3" borderId="1" xfId="0" applyFill="1" applyBorder="1"/>
    <xf numFmtId="0" fontId="0" fillId="0" borderId="1" xfId="0" quotePrefix="1" applyBorder="1"/>
    <xf numFmtId="44" fontId="0" fillId="0" borderId="1" xfId="0" applyNumberFormat="1" applyBorder="1"/>
    <xf numFmtId="0" fontId="0" fillId="0" borderId="1" xfId="0" applyBorder="1"/>
    <xf numFmtId="10" fontId="0" fillId="0" borderId="1" xfId="0" applyNumberFormat="1" applyBorder="1"/>
    <xf numFmtId="44" fontId="0" fillId="0" borderId="1" xfId="1" applyFont="1" applyFill="1" applyBorder="1"/>
    <xf numFmtId="10" fontId="0" fillId="0" borderId="1" xfId="2" applyNumberFormat="1" applyFont="1" applyFill="1" applyBorder="1"/>
    <xf numFmtId="0" fontId="0" fillId="3" borderId="1" xfId="0" quotePrefix="1" applyFill="1" applyBorder="1"/>
    <xf numFmtId="44" fontId="0" fillId="3" borderId="1" xfId="0" applyNumberFormat="1" applyFill="1" applyBorder="1"/>
    <xf numFmtId="44" fontId="0" fillId="0" borderId="0" xfId="0" applyNumberFormat="1"/>
    <xf numFmtId="164" fontId="0" fillId="0" borderId="0" xfId="2" applyNumberFormat="1" applyFont="1"/>
    <xf numFmtId="165" fontId="0" fillId="0" borderId="0" xfId="0" applyNumberFormat="1"/>
    <xf numFmtId="166" fontId="0" fillId="0" borderId="0" xfId="0" applyNumberFormat="1"/>
    <xf numFmtId="167" fontId="0" fillId="0" borderId="0" xfId="0" applyNumberFormat="1"/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right" vertical="top"/>
    </xf>
    <xf numFmtId="4" fontId="4" fillId="0" borderId="1" xfId="0" applyNumberFormat="1" applyFont="1" applyBorder="1" applyAlignment="1">
      <alignment horizontal="right" vertical="top"/>
    </xf>
    <xf numFmtId="44" fontId="0" fillId="3" borderId="1" xfId="1" applyFont="1" applyFill="1" applyBorder="1"/>
    <xf numFmtId="44" fontId="0" fillId="0" borderId="0" xfId="1" applyFont="1"/>
    <xf numFmtId="0" fontId="2" fillId="0" borderId="0" xfId="0" applyFont="1"/>
    <xf numFmtId="9" fontId="0" fillId="0" borderId="1" xfId="0" applyNumberFormat="1" applyBorder="1" applyAlignment="1">
      <alignment horizontal="center"/>
    </xf>
    <xf numFmtId="0" fontId="2" fillId="0" borderId="0" xfId="0" applyFont="1" applyAlignment="1">
      <alignment horizontal="center"/>
    </xf>
    <xf numFmtId="44" fontId="2" fillId="0" borderId="5" xfId="0" applyNumberFormat="1" applyFont="1" applyBorder="1"/>
    <xf numFmtId="9" fontId="0" fillId="0" borderId="0" xfId="2" applyFont="1" applyFill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44" fontId="5" fillId="0" borderId="1" xfId="1" applyFont="1" applyFill="1" applyBorder="1"/>
    <xf numFmtId="10" fontId="5" fillId="0" borderId="1" xfId="2" applyNumberFormat="1" applyFont="1" applyFill="1" applyBorder="1"/>
    <xf numFmtId="44" fontId="5" fillId="3" borderId="1" xfId="1" applyFont="1" applyFill="1" applyBorder="1"/>
    <xf numFmtId="10" fontId="5" fillId="3" borderId="1" xfId="2" applyNumberFormat="1" applyFont="1" applyFill="1" applyBorder="1"/>
    <xf numFmtId="17" fontId="0" fillId="0" borderId="0" xfId="0" applyNumberFormat="1"/>
    <xf numFmtId="0" fontId="2" fillId="0" borderId="6" xfId="0" applyFont="1" applyBorder="1" applyAlignment="1">
      <alignment horizontal="center" wrapText="1"/>
    </xf>
    <xf numFmtId="44" fontId="2" fillId="0" borderId="1" xfId="1" applyFont="1" applyBorder="1"/>
    <xf numFmtId="17" fontId="0" fillId="0" borderId="1" xfId="0" applyNumberFormat="1" applyBorder="1" applyAlignment="1">
      <alignment horizontal="center"/>
    </xf>
    <xf numFmtId="17" fontId="2" fillId="0" borderId="1" xfId="0" applyNumberFormat="1" applyFont="1" applyBorder="1" applyAlignment="1">
      <alignment horizontal="center"/>
    </xf>
    <xf numFmtId="17" fontId="2" fillId="0" borderId="1" xfId="0" quotePrefix="1" applyNumberFormat="1" applyFont="1" applyBorder="1" applyAlignment="1">
      <alignment horizontal="center"/>
    </xf>
    <xf numFmtId="17" fontId="2" fillId="2" borderId="1" xfId="0" applyNumberFormat="1" applyFont="1" applyFill="1" applyBorder="1" applyAlignment="1">
      <alignment horizontal="center"/>
    </xf>
    <xf numFmtId="17" fontId="2" fillId="2" borderId="1" xfId="0" quotePrefix="1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wrapText="1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wrapText="1"/>
    </xf>
    <xf numFmtId="44" fontId="0" fillId="4" borderId="1" xfId="1" applyFont="1" applyFill="1" applyBorder="1"/>
    <xf numFmtId="0" fontId="0" fillId="0" borderId="1" xfId="0" applyBorder="1" applyAlignment="1">
      <alignment horizontal="center" vertical="center"/>
    </xf>
    <xf numFmtId="44" fontId="7" fillId="0" borderId="1" xfId="1" applyFont="1" applyBorder="1"/>
    <xf numFmtId="44" fontId="6" fillId="0" borderId="1" xfId="1" applyFont="1" applyBorder="1"/>
    <xf numFmtId="0" fontId="0" fillId="0" borderId="0" xfId="0" applyAlignment="1">
      <alignment wrapText="1"/>
    </xf>
    <xf numFmtId="0" fontId="2" fillId="0" borderId="2" xfId="0" applyFont="1" applyBorder="1"/>
    <xf numFmtId="0" fontId="0" fillId="0" borderId="1" xfId="0" applyFill="1" applyBorder="1" applyAlignment="1">
      <alignment horizontal="center" wrapText="1"/>
    </xf>
  </cellXfs>
  <cellStyles count="3">
    <cellStyle name="Moneda" xfId="1" builtinId="4"/>
    <cellStyle name="Normal" xfId="0" builtinId="0"/>
    <cellStyle name="Porcentaje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2:N18"/>
  <sheetViews>
    <sheetView showGridLines="0" workbookViewId="0">
      <selection activeCell="B2" sqref="B2:N18"/>
    </sheetView>
  </sheetViews>
  <sheetFormatPr baseColWidth="10" defaultRowHeight="14.5" x14ac:dyDescent="0.35"/>
  <cols>
    <col min="3" max="3" width="12.08984375" bestFit="1" customWidth="1"/>
    <col min="4" max="11" width="11" bestFit="1" customWidth="1"/>
    <col min="12" max="12" width="12.08984375" bestFit="1" customWidth="1"/>
    <col min="13" max="14" width="11" bestFit="1" customWidth="1"/>
  </cols>
  <sheetData>
    <row r="2" spans="2:14" x14ac:dyDescent="0.35">
      <c r="B2" s="25" t="s">
        <v>61</v>
      </c>
    </row>
    <row r="4" spans="2:14" ht="29" x14ac:dyDescent="0.35">
      <c r="C4" s="25"/>
      <c r="D4" s="47" t="s">
        <v>24</v>
      </c>
      <c r="E4" s="47"/>
      <c r="F4" s="47" t="s">
        <v>25</v>
      </c>
      <c r="G4" s="47"/>
      <c r="H4" s="47" t="s">
        <v>50</v>
      </c>
      <c r="I4" s="47"/>
      <c r="J4" s="30" t="s">
        <v>49</v>
      </c>
      <c r="K4" s="30" t="s">
        <v>48</v>
      </c>
      <c r="L4" s="25"/>
      <c r="M4" s="25"/>
      <c r="N4" s="25"/>
    </row>
    <row r="5" spans="2:14" ht="29" x14ac:dyDescent="0.35">
      <c r="C5" s="30" t="s">
        <v>58</v>
      </c>
      <c r="D5" s="36" t="s">
        <v>54</v>
      </c>
      <c r="E5" s="36" t="s">
        <v>55</v>
      </c>
      <c r="F5" s="36" t="s">
        <v>56</v>
      </c>
      <c r="G5" s="36" t="s">
        <v>57</v>
      </c>
      <c r="H5" s="36" t="s">
        <v>54</v>
      </c>
      <c r="I5" s="36" t="s">
        <v>55</v>
      </c>
      <c r="J5" s="36" t="s">
        <v>56</v>
      </c>
      <c r="K5" s="36" t="s">
        <v>57</v>
      </c>
      <c r="L5" s="30" t="s">
        <v>51</v>
      </c>
      <c r="M5" s="30" t="s">
        <v>52</v>
      </c>
      <c r="N5" s="30" t="s">
        <v>53</v>
      </c>
    </row>
    <row r="6" spans="2:14" x14ac:dyDescent="0.35">
      <c r="B6" s="35">
        <v>45292</v>
      </c>
      <c r="C6" s="3">
        <v>20000</v>
      </c>
      <c r="D6" s="3"/>
      <c r="E6" s="3"/>
      <c r="F6" s="3"/>
      <c r="G6" s="3"/>
      <c r="H6" s="3"/>
      <c r="I6" s="3"/>
      <c r="J6" s="3"/>
      <c r="K6" s="3">
        <f>+C6*0.05</f>
        <v>1000</v>
      </c>
      <c r="L6" s="7">
        <f>+C6+D6+F6+H6+J6</f>
        <v>20000</v>
      </c>
      <c r="M6" s="7">
        <f>+E6+G6+I6+K6</f>
        <v>1000</v>
      </c>
      <c r="N6" s="7">
        <f>+'Tarifa Art 96 2024 TA'!M12</f>
        <v>2603.9930080000004</v>
      </c>
    </row>
    <row r="7" spans="2:14" x14ac:dyDescent="0.35">
      <c r="B7" s="35">
        <v>45323</v>
      </c>
      <c r="C7" s="3">
        <v>20000</v>
      </c>
      <c r="D7" s="3"/>
      <c r="E7" s="3"/>
      <c r="F7" s="3"/>
      <c r="G7" s="3"/>
      <c r="H7" s="3"/>
      <c r="I7" s="3"/>
      <c r="J7" s="3"/>
      <c r="K7" s="3">
        <f t="shared" ref="K7:K17" si="0">+C7*0.05</f>
        <v>1000</v>
      </c>
      <c r="L7" s="7">
        <f t="shared" ref="L7:L17" si="1">+C7+D7+F7+H7+J7</f>
        <v>20000</v>
      </c>
      <c r="M7" s="7">
        <f t="shared" ref="M7:M17" si="2">+E7+G7+I7+K7</f>
        <v>1000</v>
      </c>
      <c r="N7" s="7">
        <f>+'Tarifa Art 96 2024 TA'!N12</f>
        <v>2603.9930080000004</v>
      </c>
    </row>
    <row r="8" spans="2:14" x14ac:dyDescent="0.35">
      <c r="B8" s="35">
        <v>45352</v>
      </c>
      <c r="C8" s="3">
        <v>20000</v>
      </c>
      <c r="D8" s="3">
        <f>+'Sueldos resumen anual 2024 TA'!G19</f>
        <v>1038.1166666666666</v>
      </c>
      <c r="E8" s="3">
        <f>+'Sueldos resumen anual 2024 TA'!F19</f>
        <v>1628.55</v>
      </c>
      <c r="F8" s="3"/>
      <c r="G8" s="3"/>
      <c r="H8" s="3"/>
      <c r="I8" s="3"/>
      <c r="J8" s="3"/>
      <c r="K8" s="3">
        <f t="shared" si="0"/>
        <v>1000</v>
      </c>
      <c r="L8" s="7">
        <f t="shared" si="1"/>
        <v>21038.116666666665</v>
      </c>
      <c r="M8" s="7">
        <f t="shared" si="2"/>
        <v>2628.55</v>
      </c>
      <c r="N8" s="7">
        <f>+'Tarifa Art 96 2024 TA'!O12</f>
        <v>2825.7347279999999</v>
      </c>
    </row>
    <row r="9" spans="2:14" x14ac:dyDescent="0.35">
      <c r="B9" s="35">
        <v>45383</v>
      </c>
      <c r="C9" s="3">
        <v>20000</v>
      </c>
      <c r="D9" s="3"/>
      <c r="E9" s="3"/>
      <c r="F9" s="3"/>
      <c r="G9" s="3"/>
      <c r="H9" s="3"/>
      <c r="I9" s="3"/>
      <c r="J9" s="3"/>
      <c r="K9" s="3">
        <f t="shared" si="0"/>
        <v>1000</v>
      </c>
      <c r="L9" s="7">
        <f t="shared" si="1"/>
        <v>20000</v>
      </c>
      <c r="M9" s="7">
        <f t="shared" si="2"/>
        <v>1000</v>
      </c>
      <c r="N9" s="7">
        <f>+'Tarifa Art 96 2024 TA'!P12</f>
        <v>2603.9930080000004</v>
      </c>
    </row>
    <row r="10" spans="2:14" x14ac:dyDescent="0.35">
      <c r="B10" s="35">
        <v>45413</v>
      </c>
      <c r="C10" s="3">
        <v>20000</v>
      </c>
      <c r="D10" s="3"/>
      <c r="E10" s="3"/>
      <c r="F10" s="3"/>
      <c r="G10" s="3"/>
      <c r="H10" s="3">
        <f>+'Sueldos resumen anual 2024 TA'!G23</f>
        <v>6371.45</v>
      </c>
      <c r="I10" s="3">
        <f>+'Sueldos resumen anual 2024 TA'!F23</f>
        <v>1628.55</v>
      </c>
      <c r="J10" s="3"/>
      <c r="K10" s="3">
        <f t="shared" si="0"/>
        <v>1000</v>
      </c>
      <c r="L10" s="7">
        <f t="shared" si="1"/>
        <v>26371.45</v>
      </c>
      <c r="M10" s="7">
        <f t="shared" si="2"/>
        <v>2628.55</v>
      </c>
      <c r="N10" s="7">
        <f>+'Tarifa Art 96 2024 TA'!Q12</f>
        <v>3964.9347280000006</v>
      </c>
    </row>
    <row r="11" spans="2:14" x14ac:dyDescent="0.35">
      <c r="B11" s="35">
        <v>45444</v>
      </c>
      <c r="C11" s="3">
        <v>20000</v>
      </c>
      <c r="D11" s="3"/>
      <c r="E11" s="3"/>
      <c r="F11" s="3"/>
      <c r="G11" s="3"/>
      <c r="H11" s="3"/>
      <c r="I11" s="3"/>
      <c r="J11" s="3">
        <f>+'Sueldos resumen anual 2024 TA'!G22</f>
        <v>20000</v>
      </c>
      <c r="K11" s="3">
        <f t="shared" si="0"/>
        <v>1000</v>
      </c>
      <c r="L11" s="7">
        <f t="shared" si="1"/>
        <v>40000</v>
      </c>
      <c r="M11" s="7">
        <f t="shared" si="2"/>
        <v>1000</v>
      </c>
      <c r="N11" s="7">
        <f>+'Tarifa Art 96 2024 TA'!R12</f>
        <v>7065.2952000000005</v>
      </c>
    </row>
    <row r="12" spans="2:14" x14ac:dyDescent="0.35">
      <c r="B12" s="35">
        <v>45474</v>
      </c>
      <c r="C12" s="3">
        <v>20000</v>
      </c>
      <c r="D12" s="3"/>
      <c r="E12" s="3"/>
      <c r="F12" s="3"/>
      <c r="G12" s="3"/>
      <c r="H12" s="3"/>
      <c r="I12" s="3"/>
      <c r="J12" s="3"/>
      <c r="K12" s="3">
        <f t="shared" si="0"/>
        <v>1000</v>
      </c>
      <c r="L12" s="7">
        <f t="shared" si="1"/>
        <v>20000</v>
      </c>
      <c r="M12" s="7">
        <f t="shared" si="2"/>
        <v>1000</v>
      </c>
      <c r="N12" s="7">
        <f>+'Tarifa Art 96 2024 TA'!S12</f>
        <v>2603.9930080000004</v>
      </c>
    </row>
    <row r="13" spans="2:14" x14ac:dyDescent="0.35">
      <c r="B13" s="35">
        <v>45505</v>
      </c>
      <c r="C13" s="3">
        <v>20000</v>
      </c>
      <c r="D13" s="3"/>
      <c r="E13" s="3"/>
      <c r="F13" s="3"/>
      <c r="G13" s="3"/>
      <c r="H13" s="3"/>
      <c r="I13" s="3"/>
      <c r="J13" s="3"/>
      <c r="K13" s="3">
        <f t="shared" si="0"/>
        <v>1000</v>
      </c>
      <c r="L13" s="7">
        <f t="shared" si="1"/>
        <v>20000</v>
      </c>
      <c r="M13" s="7">
        <f t="shared" si="2"/>
        <v>1000</v>
      </c>
      <c r="N13" s="7">
        <f>+'Tarifa Art 96 2024 TA'!T12</f>
        <v>2603.9930080000004</v>
      </c>
    </row>
    <row r="14" spans="2:14" x14ac:dyDescent="0.35">
      <c r="B14" s="35">
        <v>45536</v>
      </c>
      <c r="C14" s="3">
        <v>20000</v>
      </c>
      <c r="D14" s="3"/>
      <c r="E14" s="3"/>
      <c r="F14" s="3"/>
      <c r="G14" s="3"/>
      <c r="H14" s="3"/>
      <c r="I14" s="3"/>
      <c r="J14" s="3"/>
      <c r="K14" s="3">
        <f t="shared" si="0"/>
        <v>1000</v>
      </c>
      <c r="L14" s="7">
        <f t="shared" si="1"/>
        <v>20000</v>
      </c>
      <c r="M14" s="7">
        <f t="shared" si="2"/>
        <v>1000</v>
      </c>
      <c r="N14" s="7">
        <f>+'Tarifa Art 96 2024 TA'!U12</f>
        <v>2603.9930080000004</v>
      </c>
    </row>
    <row r="15" spans="2:14" x14ac:dyDescent="0.35">
      <c r="B15" s="35">
        <v>45566</v>
      </c>
      <c r="C15" s="3">
        <v>20000</v>
      </c>
      <c r="D15" s="3"/>
      <c r="E15" s="3"/>
      <c r="F15" s="3"/>
      <c r="G15" s="3"/>
      <c r="H15" s="3"/>
      <c r="I15" s="3"/>
      <c r="J15" s="3"/>
      <c r="K15" s="3">
        <f t="shared" si="0"/>
        <v>1000</v>
      </c>
      <c r="L15" s="7">
        <f t="shared" si="1"/>
        <v>20000</v>
      </c>
      <c r="M15" s="7">
        <f t="shared" si="2"/>
        <v>1000</v>
      </c>
      <c r="N15" s="7">
        <f>+'Tarifa Art 96 2024 TA'!V12</f>
        <v>2603.9930080000004</v>
      </c>
    </row>
    <row r="16" spans="2:14" x14ac:dyDescent="0.35">
      <c r="B16" s="35">
        <v>45597</v>
      </c>
      <c r="C16" s="3">
        <v>20000</v>
      </c>
      <c r="D16" s="3"/>
      <c r="E16" s="3"/>
      <c r="F16" s="3"/>
      <c r="G16" s="3"/>
      <c r="H16" s="3"/>
      <c r="I16" s="3"/>
      <c r="J16" s="3"/>
      <c r="K16" s="3">
        <f t="shared" si="0"/>
        <v>1000</v>
      </c>
      <c r="L16" s="7">
        <f t="shared" si="1"/>
        <v>20000</v>
      </c>
      <c r="M16" s="7">
        <f t="shared" si="2"/>
        <v>1000</v>
      </c>
      <c r="N16" s="7">
        <f>+'Tarifa Art 96 2024 TA'!W12</f>
        <v>2603.9930080000004</v>
      </c>
    </row>
    <row r="17" spans="2:14" x14ac:dyDescent="0.35">
      <c r="B17" s="35">
        <v>45627</v>
      </c>
      <c r="C17" s="3">
        <v>20000</v>
      </c>
      <c r="D17" s="3"/>
      <c r="E17" s="3"/>
      <c r="F17" s="3">
        <f>+'Sueldos resumen anual 2024 TA'!G20</f>
        <v>6742.9</v>
      </c>
      <c r="G17" s="3">
        <f>+'Sueldos resumen anual 2024 TA'!F20</f>
        <v>3257.1</v>
      </c>
      <c r="H17" s="3"/>
      <c r="I17" s="3"/>
      <c r="J17" s="3"/>
      <c r="K17" s="3">
        <f t="shared" si="0"/>
        <v>1000</v>
      </c>
      <c r="L17" s="7">
        <f t="shared" si="1"/>
        <v>26742.9</v>
      </c>
      <c r="M17" s="7">
        <f t="shared" si="2"/>
        <v>4257.1000000000004</v>
      </c>
      <c r="N17" s="7">
        <f>+'Tarifa Art 96 2024 TA'!X12</f>
        <v>4044.2764480000005</v>
      </c>
    </row>
    <row r="18" spans="2:14" s="25" customFormat="1" x14ac:dyDescent="0.35">
      <c r="B18" s="25" t="s">
        <v>42</v>
      </c>
      <c r="C18" s="37">
        <f>SUM(C6:C17)</f>
        <v>240000</v>
      </c>
      <c r="D18" s="37">
        <f t="shared" ref="D18:N18" si="3">SUM(D6:D17)</f>
        <v>1038.1166666666666</v>
      </c>
      <c r="E18" s="37">
        <f t="shared" si="3"/>
        <v>1628.55</v>
      </c>
      <c r="F18" s="37">
        <f t="shared" si="3"/>
        <v>6742.9</v>
      </c>
      <c r="G18" s="37">
        <f t="shared" si="3"/>
        <v>3257.1</v>
      </c>
      <c r="H18" s="37">
        <f t="shared" si="3"/>
        <v>6371.45</v>
      </c>
      <c r="I18" s="37">
        <f t="shared" si="3"/>
        <v>1628.55</v>
      </c>
      <c r="J18" s="37">
        <f t="shared" si="3"/>
        <v>20000</v>
      </c>
      <c r="K18" s="37">
        <f t="shared" si="3"/>
        <v>12000</v>
      </c>
      <c r="L18" s="37">
        <f t="shared" si="3"/>
        <v>274152.46666666667</v>
      </c>
      <c r="M18" s="37">
        <f t="shared" si="3"/>
        <v>18514.2</v>
      </c>
      <c r="N18" s="37">
        <f t="shared" si="3"/>
        <v>38732.185168000011</v>
      </c>
    </row>
  </sheetData>
  <mergeCells count="3">
    <mergeCell ref="D4:E4"/>
    <mergeCell ref="F4:G4"/>
    <mergeCell ref="H4:I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BF0FDC-9D54-45AF-9C1A-C39B83DB98B2}">
  <dimension ref="B4:Y47"/>
  <sheetViews>
    <sheetView showGridLines="0" zoomScale="90" zoomScaleNormal="90" workbookViewId="0">
      <selection activeCell="N5" sqref="N5"/>
    </sheetView>
  </sheetViews>
  <sheetFormatPr baseColWidth="10" defaultRowHeight="14.5" outlineLevelCol="1" x14ac:dyDescent="0.35"/>
  <cols>
    <col min="1" max="1" width="5.36328125" customWidth="1"/>
    <col min="2" max="2" width="15.36328125" hidden="1" customWidth="1" outlineLevel="1"/>
    <col min="3" max="3" width="15.54296875" hidden="1" customWidth="1" outlineLevel="1"/>
    <col min="4" max="4" width="15.08984375" hidden="1" customWidth="1" outlineLevel="1"/>
    <col min="5" max="5" width="13.6328125" hidden="1" customWidth="1" outlineLevel="1"/>
    <col min="6" max="6" width="2.453125" hidden="1" customWidth="1" outlineLevel="1"/>
    <col min="7" max="7" width="14.90625" customWidth="1" collapsed="1"/>
    <col min="8" max="8" width="15.1796875" customWidth="1"/>
    <col min="9" max="9" width="16.08984375" customWidth="1"/>
    <col min="10" max="10" width="10.6328125" customWidth="1"/>
    <col min="11" max="11" width="4.08984375" customWidth="1"/>
    <col min="12" max="12" width="16.90625" customWidth="1"/>
    <col min="13" max="24" width="11.1796875" bestFit="1" customWidth="1"/>
    <col min="25" max="25" width="12.1796875" bestFit="1" customWidth="1"/>
  </cols>
  <sheetData>
    <row r="4" spans="2:25" x14ac:dyDescent="0.35">
      <c r="B4" s="39" t="s">
        <v>21</v>
      </c>
      <c r="C4" s="40"/>
      <c r="D4" s="40"/>
      <c r="E4" s="40"/>
      <c r="G4" s="41" t="s">
        <v>62</v>
      </c>
      <c r="H4" s="42"/>
      <c r="I4" s="42"/>
      <c r="J4" s="42"/>
    </row>
    <row r="5" spans="2:25" ht="72.5" x14ac:dyDescent="0.35">
      <c r="B5" s="1" t="s">
        <v>0</v>
      </c>
      <c r="C5" s="1" t="s">
        <v>1</v>
      </c>
      <c r="D5" s="1" t="s">
        <v>2</v>
      </c>
      <c r="E5" s="1" t="s">
        <v>3</v>
      </c>
      <c r="G5" s="1" t="s">
        <v>0</v>
      </c>
      <c r="H5" s="1" t="s">
        <v>1</v>
      </c>
      <c r="I5" s="1" t="s">
        <v>2</v>
      </c>
      <c r="J5" s="1" t="s">
        <v>3</v>
      </c>
      <c r="M5" s="38">
        <v>45292</v>
      </c>
      <c r="N5" s="38">
        <v>45323</v>
      </c>
      <c r="O5" s="38">
        <v>45352</v>
      </c>
      <c r="P5" s="38">
        <v>45383</v>
      </c>
      <c r="Q5" s="38">
        <v>45413</v>
      </c>
      <c r="R5" s="38">
        <v>45444</v>
      </c>
      <c r="S5" s="38">
        <v>45474</v>
      </c>
      <c r="T5" s="38">
        <v>45505</v>
      </c>
      <c r="U5" s="38">
        <v>45536</v>
      </c>
      <c r="V5" s="38">
        <v>45566</v>
      </c>
      <c r="W5" s="38">
        <v>45597</v>
      </c>
      <c r="X5" s="38">
        <v>45627</v>
      </c>
      <c r="Y5" s="38" t="s">
        <v>42</v>
      </c>
    </row>
    <row r="6" spans="2:25" x14ac:dyDescent="0.35">
      <c r="B6" s="3">
        <v>0.01</v>
      </c>
      <c r="C6" s="3" t="e">
        <f>+#REF!*12</f>
        <v>#REF!</v>
      </c>
      <c r="D6" s="3" t="e">
        <f>+#REF!*12</f>
        <v>#REF!</v>
      </c>
      <c r="E6" s="4">
        <v>1.9199999999999998E-2</v>
      </c>
      <c r="G6" s="31">
        <v>0.01</v>
      </c>
      <c r="H6" s="31">
        <v>746.04</v>
      </c>
      <c r="I6" s="31">
        <v>0</v>
      </c>
      <c r="J6" s="32">
        <v>1.9199999999999998E-2</v>
      </c>
      <c r="L6" s="5" t="s">
        <v>4</v>
      </c>
      <c r="M6" s="23">
        <f>+'Sueldos x mes 2024 TA'!L6</f>
        <v>20000</v>
      </c>
      <c r="N6" s="23">
        <f>+'Sueldos x mes 2024 TA'!L7</f>
        <v>20000</v>
      </c>
      <c r="O6" s="23">
        <f>+'Sueldos x mes 2024 TA'!L8</f>
        <v>21038.116666666665</v>
      </c>
      <c r="P6" s="23">
        <f>+'Sueldos x mes 2024 TA'!L9</f>
        <v>20000</v>
      </c>
      <c r="Q6" s="23">
        <f>+'Sueldos x mes 2024 TA'!L10</f>
        <v>26371.45</v>
      </c>
      <c r="R6" s="23">
        <f>+'Sueldos x mes 2024 TA'!L11</f>
        <v>40000</v>
      </c>
      <c r="S6" s="23">
        <f>+'Sueldos x mes 2024 TA'!L12</f>
        <v>20000</v>
      </c>
      <c r="T6" s="23">
        <f>+'Sueldos x mes 2024 TA'!L13</f>
        <v>20000</v>
      </c>
      <c r="U6" s="23">
        <f>+'Sueldos x mes 2024 TA'!L14</f>
        <v>20000</v>
      </c>
      <c r="V6" s="23">
        <f>+'Sueldos x mes 2024 TA'!L15</f>
        <v>20000</v>
      </c>
      <c r="W6" s="23">
        <f>+'Sueldos x mes 2024 TA'!L16</f>
        <v>20000</v>
      </c>
      <c r="X6" s="23">
        <f>+'Sueldos x mes 2024 TA'!L17</f>
        <v>26742.9</v>
      </c>
      <c r="Y6" s="13">
        <f>SUM(M6:X6)</f>
        <v>274152.46666666667</v>
      </c>
    </row>
    <row r="7" spans="2:25" x14ac:dyDescent="0.35">
      <c r="B7" s="3" t="e">
        <f>+C6+0.01</f>
        <v>#REF!</v>
      </c>
      <c r="C7" s="3" t="e">
        <f>+#REF!*12</f>
        <v>#REF!</v>
      </c>
      <c r="D7" s="3" t="e">
        <f>+#REF!*12</f>
        <v>#REF!</v>
      </c>
      <c r="E7" s="4">
        <v>6.4000000000000001E-2</v>
      </c>
      <c r="G7" s="31">
        <v>746.05</v>
      </c>
      <c r="H7" s="31">
        <v>6332.05</v>
      </c>
      <c r="I7" s="31">
        <v>14.32</v>
      </c>
      <c r="J7" s="32">
        <v>6.4000000000000001E-2</v>
      </c>
      <c r="L7" s="6" t="s">
        <v>5</v>
      </c>
      <c r="M7" s="7">
        <f>LOOKUP(M6,$G$6:$H$16,$G$6:$G$16)</f>
        <v>15487.72</v>
      </c>
      <c r="N7" s="7">
        <f t="shared" ref="N7:X7" si="0">LOOKUP(N6,$G$6:$H$16,$G$6:$G$16)</f>
        <v>15487.72</v>
      </c>
      <c r="O7" s="7">
        <f t="shared" si="0"/>
        <v>15487.72</v>
      </c>
      <c r="P7" s="7">
        <f t="shared" si="0"/>
        <v>15487.72</v>
      </c>
      <c r="Q7" s="7">
        <f t="shared" si="0"/>
        <v>15487.72</v>
      </c>
      <c r="R7" s="7">
        <f t="shared" si="0"/>
        <v>31236.5</v>
      </c>
      <c r="S7" s="7">
        <f t="shared" si="0"/>
        <v>15487.72</v>
      </c>
      <c r="T7" s="7">
        <f t="shared" si="0"/>
        <v>15487.72</v>
      </c>
      <c r="U7" s="7">
        <f t="shared" si="0"/>
        <v>15487.72</v>
      </c>
      <c r="V7" s="7">
        <f t="shared" si="0"/>
        <v>15487.72</v>
      </c>
      <c r="W7" s="7">
        <f t="shared" si="0"/>
        <v>15487.72</v>
      </c>
      <c r="X7" s="7">
        <f t="shared" si="0"/>
        <v>15487.72</v>
      </c>
    </row>
    <row r="8" spans="2:25" x14ac:dyDescent="0.35">
      <c r="B8" s="3" t="e">
        <f t="shared" ref="B8:B16" si="1">+C7+0.01</f>
        <v>#REF!</v>
      </c>
      <c r="C8" s="3" t="e">
        <f>+#REF!*12</f>
        <v>#REF!</v>
      </c>
      <c r="D8" s="3" t="e">
        <f>+#REF!*12</f>
        <v>#REF!</v>
      </c>
      <c r="E8" s="4">
        <v>0.10879999999999999</v>
      </c>
      <c r="G8" s="31">
        <v>6332.06</v>
      </c>
      <c r="H8" s="31">
        <v>11128.01</v>
      </c>
      <c r="I8" s="31">
        <v>371.83</v>
      </c>
      <c r="J8" s="32">
        <v>0.10879999999999999</v>
      </c>
      <c r="L8" s="6" t="s">
        <v>6</v>
      </c>
      <c r="M8" s="7">
        <f>M6-M7</f>
        <v>4512.2800000000007</v>
      </c>
      <c r="N8" s="7">
        <f t="shared" ref="N8:X8" si="2">N6-N7</f>
        <v>4512.2800000000007</v>
      </c>
      <c r="O8" s="7">
        <f t="shared" si="2"/>
        <v>5550.3966666666656</v>
      </c>
      <c r="P8" s="7">
        <f t="shared" si="2"/>
        <v>4512.2800000000007</v>
      </c>
      <c r="Q8" s="7">
        <f t="shared" si="2"/>
        <v>10883.730000000001</v>
      </c>
      <c r="R8" s="7">
        <f t="shared" si="2"/>
        <v>8763.5</v>
      </c>
      <c r="S8" s="7">
        <f t="shared" si="2"/>
        <v>4512.2800000000007</v>
      </c>
      <c r="T8" s="7">
        <f t="shared" si="2"/>
        <v>4512.2800000000007</v>
      </c>
      <c r="U8" s="7">
        <f t="shared" si="2"/>
        <v>4512.2800000000007</v>
      </c>
      <c r="V8" s="7">
        <f t="shared" si="2"/>
        <v>4512.2800000000007</v>
      </c>
      <c r="W8" s="7">
        <f t="shared" si="2"/>
        <v>4512.2800000000007</v>
      </c>
      <c r="X8" s="7">
        <f t="shared" si="2"/>
        <v>11255.180000000002</v>
      </c>
    </row>
    <row r="9" spans="2:25" x14ac:dyDescent="0.35">
      <c r="B9" s="3" t="e">
        <f t="shared" si="1"/>
        <v>#REF!</v>
      </c>
      <c r="C9" s="3" t="e">
        <f>+#REF!*12</f>
        <v>#REF!</v>
      </c>
      <c r="D9" s="3" t="e">
        <f>+#REF!*12</f>
        <v>#REF!</v>
      </c>
      <c r="E9" s="4">
        <v>0.16</v>
      </c>
      <c r="G9" s="31">
        <v>11128.02</v>
      </c>
      <c r="H9" s="31">
        <v>12935.82</v>
      </c>
      <c r="I9" s="31">
        <v>893.63</v>
      </c>
      <c r="J9" s="32">
        <v>0.16</v>
      </c>
      <c r="L9" s="8" t="s">
        <v>7</v>
      </c>
      <c r="M9" s="9">
        <f>LOOKUP(M6,$G$6:$H$16,$J$6:$J$16)</f>
        <v>0.21360000000000001</v>
      </c>
      <c r="N9" s="9">
        <f t="shared" ref="N9:X9" si="3">LOOKUP(N6,$G$6:$H$16,$J$6:$J$16)</f>
        <v>0.21360000000000001</v>
      </c>
      <c r="O9" s="9">
        <f t="shared" si="3"/>
        <v>0.21360000000000001</v>
      </c>
      <c r="P9" s="9">
        <f t="shared" si="3"/>
        <v>0.21360000000000001</v>
      </c>
      <c r="Q9" s="9">
        <f t="shared" si="3"/>
        <v>0.21360000000000001</v>
      </c>
      <c r="R9" s="9">
        <f t="shared" si="3"/>
        <v>0.23519999999999999</v>
      </c>
      <c r="S9" s="9">
        <f t="shared" si="3"/>
        <v>0.21360000000000001</v>
      </c>
      <c r="T9" s="9">
        <f t="shared" si="3"/>
        <v>0.21360000000000001</v>
      </c>
      <c r="U9" s="9">
        <f t="shared" si="3"/>
        <v>0.21360000000000001</v>
      </c>
      <c r="V9" s="9">
        <f t="shared" si="3"/>
        <v>0.21360000000000001</v>
      </c>
      <c r="W9" s="9">
        <f t="shared" si="3"/>
        <v>0.21360000000000001</v>
      </c>
      <c r="X9" s="9">
        <f t="shared" si="3"/>
        <v>0.21360000000000001</v>
      </c>
    </row>
    <row r="10" spans="2:25" x14ac:dyDescent="0.35">
      <c r="B10" s="10" t="e">
        <f t="shared" si="1"/>
        <v>#REF!</v>
      </c>
      <c r="C10" s="3" t="e">
        <f>+#REF!*12</f>
        <v>#REF!</v>
      </c>
      <c r="D10" s="3" t="e">
        <f>+#REF!*12</f>
        <v>#REF!</v>
      </c>
      <c r="E10" s="11">
        <v>0.1792</v>
      </c>
      <c r="G10" s="31">
        <v>12935.83</v>
      </c>
      <c r="H10" s="31">
        <v>15487.71</v>
      </c>
      <c r="I10" s="31">
        <v>1182.8800000000001</v>
      </c>
      <c r="J10" s="32">
        <v>0.1792</v>
      </c>
      <c r="L10" s="6" t="s">
        <v>8</v>
      </c>
      <c r="M10" s="7">
        <f>M8*M9</f>
        <v>963.82300800000019</v>
      </c>
      <c r="N10" s="7">
        <f t="shared" ref="N10:X10" si="4">N8*N9</f>
        <v>963.82300800000019</v>
      </c>
      <c r="O10" s="7">
        <f t="shared" si="4"/>
        <v>1185.5647279999998</v>
      </c>
      <c r="P10" s="7">
        <f t="shared" si="4"/>
        <v>963.82300800000019</v>
      </c>
      <c r="Q10" s="7">
        <f t="shared" si="4"/>
        <v>2324.7647280000006</v>
      </c>
      <c r="R10" s="7">
        <f t="shared" si="4"/>
        <v>2061.1752000000001</v>
      </c>
      <c r="S10" s="7">
        <f t="shared" si="4"/>
        <v>963.82300800000019</v>
      </c>
      <c r="T10" s="7">
        <f t="shared" si="4"/>
        <v>963.82300800000019</v>
      </c>
      <c r="U10" s="7">
        <f t="shared" si="4"/>
        <v>963.82300800000019</v>
      </c>
      <c r="V10" s="7">
        <f t="shared" si="4"/>
        <v>963.82300800000019</v>
      </c>
      <c r="W10" s="7">
        <f t="shared" si="4"/>
        <v>963.82300800000019</v>
      </c>
      <c r="X10" s="7">
        <f t="shared" si="4"/>
        <v>2404.1064480000005</v>
      </c>
    </row>
    <row r="11" spans="2:25" x14ac:dyDescent="0.35">
      <c r="B11" s="10" t="e">
        <f t="shared" si="1"/>
        <v>#REF!</v>
      </c>
      <c r="C11" s="3" t="e">
        <f>+#REF!*12</f>
        <v>#REF!</v>
      </c>
      <c r="D11" s="3" t="e">
        <f>+#REF!*12</f>
        <v>#REF!</v>
      </c>
      <c r="E11" s="11">
        <v>0.21360000000000001</v>
      </c>
      <c r="G11" s="31">
        <v>15487.72</v>
      </c>
      <c r="H11" s="31">
        <v>31236.49</v>
      </c>
      <c r="I11" s="31">
        <v>1640.17</v>
      </c>
      <c r="J11" s="32">
        <v>0.21360000000000001</v>
      </c>
      <c r="L11" s="6" t="s">
        <v>9</v>
      </c>
      <c r="M11" s="7">
        <f>LOOKUP(M6,$G$6:$H$16,$I$6:$I$16)</f>
        <v>1640.17</v>
      </c>
      <c r="N11" s="7">
        <f t="shared" ref="N11:X11" si="5">LOOKUP(N6,$G$6:$H$16,$I$6:$I$16)</f>
        <v>1640.17</v>
      </c>
      <c r="O11" s="7">
        <f t="shared" si="5"/>
        <v>1640.17</v>
      </c>
      <c r="P11" s="7">
        <f t="shared" si="5"/>
        <v>1640.17</v>
      </c>
      <c r="Q11" s="7">
        <f t="shared" si="5"/>
        <v>1640.17</v>
      </c>
      <c r="R11" s="7">
        <f t="shared" si="5"/>
        <v>5004.12</v>
      </c>
      <c r="S11" s="7">
        <f t="shared" si="5"/>
        <v>1640.17</v>
      </c>
      <c r="T11" s="7">
        <f t="shared" si="5"/>
        <v>1640.17</v>
      </c>
      <c r="U11" s="7">
        <f t="shared" si="5"/>
        <v>1640.17</v>
      </c>
      <c r="V11" s="7">
        <f t="shared" si="5"/>
        <v>1640.17</v>
      </c>
      <c r="W11" s="7">
        <f t="shared" si="5"/>
        <v>1640.17</v>
      </c>
      <c r="X11" s="7">
        <f t="shared" si="5"/>
        <v>1640.17</v>
      </c>
    </row>
    <row r="12" spans="2:25" x14ac:dyDescent="0.35">
      <c r="B12" s="10" t="e">
        <f t="shared" si="1"/>
        <v>#REF!</v>
      </c>
      <c r="C12" s="3" t="e">
        <f>+#REF!*12</f>
        <v>#REF!</v>
      </c>
      <c r="D12" s="3" t="e">
        <f>+#REF!*12</f>
        <v>#REF!</v>
      </c>
      <c r="E12" s="11">
        <v>0.23519999999999999</v>
      </c>
      <c r="G12" s="31">
        <v>31236.5</v>
      </c>
      <c r="H12" s="31">
        <v>49233</v>
      </c>
      <c r="I12" s="31">
        <v>5004.12</v>
      </c>
      <c r="J12" s="32">
        <v>0.23519999999999999</v>
      </c>
      <c r="L12" s="12" t="s">
        <v>10</v>
      </c>
      <c r="M12" s="13">
        <f>+M10+M11</f>
        <v>2603.9930080000004</v>
      </c>
      <c r="N12" s="13">
        <f t="shared" ref="N12:X12" si="6">+N10+N11</f>
        <v>2603.9930080000004</v>
      </c>
      <c r="O12" s="13">
        <f t="shared" si="6"/>
        <v>2825.7347279999999</v>
      </c>
      <c r="P12" s="13">
        <f t="shared" si="6"/>
        <v>2603.9930080000004</v>
      </c>
      <c r="Q12" s="13">
        <f t="shared" si="6"/>
        <v>3964.9347280000006</v>
      </c>
      <c r="R12" s="13">
        <f t="shared" si="6"/>
        <v>7065.2952000000005</v>
      </c>
      <c r="S12" s="13">
        <f t="shared" si="6"/>
        <v>2603.9930080000004</v>
      </c>
      <c r="T12" s="13">
        <f t="shared" si="6"/>
        <v>2603.9930080000004</v>
      </c>
      <c r="U12" s="13">
        <f t="shared" si="6"/>
        <v>2603.9930080000004</v>
      </c>
      <c r="V12" s="13">
        <f t="shared" si="6"/>
        <v>2603.9930080000004</v>
      </c>
      <c r="W12" s="13">
        <f t="shared" si="6"/>
        <v>2603.9930080000004</v>
      </c>
      <c r="X12" s="13">
        <f t="shared" si="6"/>
        <v>4044.2764480000005</v>
      </c>
      <c r="Y12" s="13">
        <f>SUM(M12:X12)</f>
        <v>38732.185168000011</v>
      </c>
    </row>
    <row r="13" spans="2:25" x14ac:dyDescent="0.35">
      <c r="B13" s="10" t="e">
        <f t="shared" si="1"/>
        <v>#REF!</v>
      </c>
      <c r="C13" s="3" t="e">
        <f>+#REF!*12</f>
        <v>#REF!</v>
      </c>
      <c r="D13" s="3" t="e">
        <f>+#REF!*12</f>
        <v>#REF!</v>
      </c>
      <c r="E13" s="11">
        <v>0.3</v>
      </c>
      <c r="G13" s="31">
        <v>49233.01</v>
      </c>
      <c r="H13" s="31">
        <v>93993.89999999998</v>
      </c>
      <c r="I13" s="31">
        <v>9236.89</v>
      </c>
      <c r="J13" s="32">
        <v>0.3</v>
      </c>
      <c r="M13" s="29"/>
    </row>
    <row r="14" spans="2:25" x14ac:dyDescent="0.35">
      <c r="B14" s="3" t="e">
        <f t="shared" si="1"/>
        <v>#REF!</v>
      </c>
      <c r="C14" s="3" t="e">
        <f>+#REF!*12</f>
        <v>#REF!</v>
      </c>
      <c r="D14" s="3" t="e">
        <f>+#REF!*12</f>
        <v>#REF!</v>
      </c>
      <c r="E14" s="4">
        <v>0.32</v>
      </c>
      <c r="G14" s="31">
        <v>93993.909999999974</v>
      </c>
      <c r="H14" s="31">
        <v>125325.2</v>
      </c>
      <c r="I14" s="31">
        <v>22665.17</v>
      </c>
      <c r="J14" s="32">
        <v>0.32</v>
      </c>
      <c r="M14" s="14"/>
    </row>
    <row r="15" spans="2:25" x14ac:dyDescent="0.35">
      <c r="B15" s="3" t="e">
        <f t="shared" si="1"/>
        <v>#REF!</v>
      </c>
      <c r="C15" s="3" t="e">
        <f>+#REF!*12</f>
        <v>#REF!</v>
      </c>
      <c r="D15" s="3" t="e">
        <f>+#REF!*12</f>
        <v>#REF!</v>
      </c>
      <c r="E15" s="4">
        <v>0.34</v>
      </c>
      <c r="G15" s="31">
        <v>125325.20999999999</v>
      </c>
      <c r="H15" s="31">
        <v>375975.61000000004</v>
      </c>
      <c r="I15" s="31">
        <v>32691.180000000004</v>
      </c>
      <c r="J15" s="32">
        <v>0.34</v>
      </c>
      <c r="M15" s="15"/>
    </row>
    <row r="16" spans="2:25" x14ac:dyDescent="0.35">
      <c r="B16" s="3" t="e">
        <f t="shared" si="1"/>
        <v>#REF!</v>
      </c>
      <c r="C16" s="3" t="s">
        <v>11</v>
      </c>
      <c r="D16" s="3" t="e">
        <f>+#REF!*12</f>
        <v>#REF!</v>
      </c>
      <c r="E16" s="4">
        <v>0.35</v>
      </c>
      <c r="G16" s="31">
        <v>375975.62000000005</v>
      </c>
      <c r="H16" s="31" t="s">
        <v>11</v>
      </c>
      <c r="I16" s="31">
        <v>117912.32000000001</v>
      </c>
      <c r="J16" s="32">
        <v>0.35</v>
      </c>
    </row>
    <row r="17" spans="2:13" x14ac:dyDescent="0.35">
      <c r="M17" s="14"/>
    </row>
    <row r="19" spans="2:13" x14ac:dyDescent="0.35">
      <c r="B19" t="s">
        <v>12</v>
      </c>
      <c r="D19">
        <v>111.508</v>
      </c>
    </row>
    <row r="20" spans="2:13" x14ac:dyDescent="0.35">
      <c r="B20" t="s">
        <v>13</v>
      </c>
      <c r="D20" s="16">
        <v>130.04400000000001</v>
      </c>
      <c r="H20" s="17"/>
    </row>
    <row r="22" spans="2:13" x14ac:dyDescent="0.35">
      <c r="B22" t="s">
        <v>14</v>
      </c>
      <c r="D22" s="18">
        <f>TRUNC(D20/D19,4)</f>
        <v>1.1661999999999999</v>
      </c>
    </row>
    <row r="34" spans="2:4" x14ac:dyDescent="0.35">
      <c r="B34" s="43" t="s">
        <v>15</v>
      </c>
      <c r="C34" s="43"/>
      <c r="D34" s="43"/>
    </row>
    <row r="35" spans="2:4" ht="31.5" customHeight="1" x14ac:dyDescent="0.35">
      <c r="B35" s="44" t="s">
        <v>16</v>
      </c>
      <c r="C35" s="45"/>
      <c r="D35" s="46"/>
    </row>
    <row r="36" spans="2:4" ht="43.5" x14ac:dyDescent="0.35">
      <c r="B36" s="19" t="s">
        <v>17</v>
      </c>
      <c r="C36" s="19" t="s">
        <v>18</v>
      </c>
      <c r="D36" s="20" t="s">
        <v>19</v>
      </c>
    </row>
    <row r="37" spans="2:4" x14ac:dyDescent="0.35">
      <c r="B37" s="21">
        <v>0.01</v>
      </c>
      <c r="C37" s="22">
        <v>1768.96</v>
      </c>
      <c r="D37" s="21">
        <v>407.02</v>
      </c>
    </row>
    <row r="38" spans="2:4" x14ac:dyDescent="0.35">
      <c r="B38" s="22">
        <v>1768.97</v>
      </c>
      <c r="C38" s="22">
        <v>2653.38</v>
      </c>
      <c r="D38" s="21">
        <v>406.83</v>
      </c>
    </row>
    <row r="39" spans="2:4" x14ac:dyDescent="0.35">
      <c r="B39" s="22">
        <v>2653.39</v>
      </c>
      <c r="C39" s="22">
        <v>3472.84</v>
      </c>
      <c r="D39" s="21">
        <v>406.62</v>
      </c>
    </row>
    <row r="40" spans="2:4" x14ac:dyDescent="0.35">
      <c r="B40" s="22">
        <v>3472.85</v>
      </c>
      <c r="C40" s="22">
        <v>3537.87</v>
      </c>
      <c r="D40" s="21">
        <v>392.77</v>
      </c>
    </row>
    <row r="41" spans="2:4" x14ac:dyDescent="0.35">
      <c r="B41" s="22">
        <v>3537.88</v>
      </c>
      <c r="C41" s="22">
        <v>4446.1499999999996</v>
      </c>
      <c r="D41" s="21">
        <v>382.46</v>
      </c>
    </row>
    <row r="42" spans="2:4" x14ac:dyDescent="0.35">
      <c r="B42" s="22">
        <v>4446.16</v>
      </c>
      <c r="C42" s="22">
        <v>4717.18</v>
      </c>
      <c r="D42" s="21">
        <v>354.23</v>
      </c>
    </row>
    <row r="43" spans="2:4" x14ac:dyDescent="0.35">
      <c r="B43" s="22">
        <v>4717.1899999999996</v>
      </c>
      <c r="C43" s="22">
        <v>5335.42</v>
      </c>
      <c r="D43" s="21">
        <v>324.87</v>
      </c>
    </row>
    <row r="44" spans="2:4" x14ac:dyDescent="0.35">
      <c r="B44" s="22">
        <v>5335.43</v>
      </c>
      <c r="C44" s="22">
        <v>6224.67</v>
      </c>
      <c r="D44" s="21">
        <v>294.63</v>
      </c>
    </row>
    <row r="45" spans="2:4" x14ac:dyDescent="0.35">
      <c r="B45" s="22">
        <v>6224.68</v>
      </c>
      <c r="C45" s="22">
        <v>7113.9</v>
      </c>
      <c r="D45" s="21">
        <v>253.54</v>
      </c>
    </row>
    <row r="46" spans="2:4" x14ac:dyDescent="0.35">
      <c r="B46" s="22">
        <v>7113.91</v>
      </c>
      <c r="C46" s="22">
        <v>7382.33</v>
      </c>
      <c r="D46" s="21">
        <v>217.61</v>
      </c>
    </row>
    <row r="47" spans="2:4" x14ac:dyDescent="0.35">
      <c r="B47" s="22">
        <v>7382.34</v>
      </c>
      <c r="C47" s="21" t="s">
        <v>20</v>
      </c>
      <c r="D47" s="21">
        <v>0</v>
      </c>
    </row>
  </sheetData>
  <mergeCells count="4">
    <mergeCell ref="B4:E4"/>
    <mergeCell ref="G4:J4"/>
    <mergeCell ref="B34:D34"/>
    <mergeCell ref="B35:D3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G31"/>
  <sheetViews>
    <sheetView showGridLines="0" topLeftCell="A15" workbookViewId="0">
      <selection activeCell="F30" sqref="F30"/>
    </sheetView>
  </sheetViews>
  <sheetFormatPr baseColWidth="10" defaultRowHeight="14.5" x14ac:dyDescent="0.35"/>
  <cols>
    <col min="2" max="2" width="4.36328125" style="25" customWidth="1"/>
    <col min="3" max="3" width="3.08984375" customWidth="1"/>
    <col min="4" max="4" width="22" customWidth="1"/>
    <col min="5" max="5" width="12.453125" customWidth="1"/>
    <col min="6" max="7" width="12.54296875" bestFit="1" customWidth="1"/>
    <col min="8" max="8" width="11.1796875" bestFit="1" customWidth="1"/>
  </cols>
  <sheetData>
    <row r="2" spans="2:5" x14ac:dyDescent="0.35">
      <c r="B2" s="25" t="s">
        <v>22</v>
      </c>
    </row>
    <row r="4" spans="2:5" x14ac:dyDescent="0.35">
      <c r="B4" s="25" t="s">
        <v>60</v>
      </c>
    </row>
    <row r="6" spans="2:5" x14ac:dyDescent="0.35">
      <c r="C6" t="s">
        <v>37</v>
      </c>
      <c r="E6" s="3">
        <v>20000</v>
      </c>
    </row>
    <row r="7" spans="2:5" x14ac:dyDescent="0.35">
      <c r="C7" t="s">
        <v>30</v>
      </c>
      <c r="E7" s="2">
        <v>16</v>
      </c>
    </row>
    <row r="8" spans="2:5" x14ac:dyDescent="0.35">
      <c r="C8" t="s">
        <v>31</v>
      </c>
      <c r="E8" s="26">
        <v>0.25</v>
      </c>
    </row>
    <row r="9" spans="2:5" x14ac:dyDescent="0.35">
      <c r="C9" t="s">
        <v>32</v>
      </c>
      <c r="E9" s="2" t="s">
        <v>33</v>
      </c>
    </row>
    <row r="10" spans="2:5" x14ac:dyDescent="0.35">
      <c r="C10" t="s">
        <v>45</v>
      </c>
      <c r="E10" s="26">
        <v>0.05</v>
      </c>
    </row>
    <row r="11" spans="2:5" x14ac:dyDescent="0.35">
      <c r="C11" t="s">
        <v>36</v>
      </c>
      <c r="E11" s="2" t="s">
        <v>34</v>
      </c>
    </row>
    <row r="12" spans="2:5" x14ac:dyDescent="0.35">
      <c r="C12" t="s">
        <v>28</v>
      </c>
      <c r="E12" s="3">
        <v>8000</v>
      </c>
    </row>
    <row r="13" spans="2:5" x14ac:dyDescent="0.35">
      <c r="C13" t="s">
        <v>46</v>
      </c>
      <c r="E13" s="3">
        <v>108.57</v>
      </c>
    </row>
    <row r="14" spans="2:5" x14ac:dyDescent="0.35">
      <c r="E14" s="24"/>
    </row>
    <row r="15" spans="2:5" x14ac:dyDescent="0.35">
      <c r="B15" s="25" t="s">
        <v>63</v>
      </c>
    </row>
    <row r="17" spans="2:7" x14ac:dyDescent="0.35">
      <c r="E17" s="27" t="s">
        <v>29</v>
      </c>
      <c r="F17" s="27" t="s">
        <v>35</v>
      </c>
      <c r="G17" s="27" t="s">
        <v>38</v>
      </c>
    </row>
    <row r="18" spans="2:7" x14ac:dyDescent="0.35">
      <c r="C18" t="s">
        <v>23</v>
      </c>
      <c r="E18" s="3">
        <f>E6*12</f>
        <v>240000</v>
      </c>
      <c r="F18" s="3">
        <v>0</v>
      </c>
      <c r="G18" s="3">
        <f>+E18-F18</f>
        <v>240000</v>
      </c>
    </row>
    <row r="19" spans="2:7" x14ac:dyDescent="0.35">
      <c r="C19" t="s">
        <v>24</v>
      </c>
      <c r="E19" s="3">
        <f>+E6*E7/30*E8</f>
        <v>2666.6666666666665</v>
      </c>
      <c r="F19" s="3">
        <f>E13*15</f>
        <v>1628.55</v>
      </c>
      <c r="G19" s="3">
        <f t="shared" ref="G19:G23" si="0">+E19-F19</f>
        <v>1038.1166666666666</v>
      </c>
    </row>
    <row r="20" spans="2:7" x14ac:dyDescent="0.35">
      <c r="C20" t="s">
        <v>25</v>
      </c>
      <c r="E20" s="3">
        <f>+E6/2</f>
        <v>10000</v>
      </c>
      <c r="F20" s="3">
        <f>+E13*30</f>
        <v>3257.1</v>
      </c>
      <c r="G20" s="3">
        <f t="shared" si="0"/>
        <v>6742.9</v>
      </c>
    </row>
    <row r="21" spans="2:7" x14ac:dyDescent="0.35">
      <c r="C21" t="s">
        <v>26</v>
      </c>
      <c r="E21" s="3">
        <f>+E6*E10*12</f>
        <v>12000</v>
      </c>
      <c r="F21" s="3">
        <f>+E21</f>
        <v>12000</v>
      </c>
      <c r="G21" s="3">
        <f t="shared" si="0"/>
        <v>0</v>
      </c>
    </row>
    <row r="22" spans="2:7" x14ac:dyDescent="0.35">
      <c r="C22" t="s">
        <v>27</v>
      </c>
      <c r="E22" s="3">
        <f>+E6</f>
        <v>20000</v>
      </c>
      <c r="F22" s="3">
        <v>0</v>
      </c>
      <c r="G22" s="3">
        <f t="shared" si="0"/>
        <v>20000</v>
      </c>
    </row>
    <row r="23" spans="2:7" x14ac:dyDescent="0.35">
      <c r="C23" t="s">
        <v>28</v>
      </c>
      <c r="E23" s="3">
        <f>+E12</f>
        <v>8000</v>
      </c>
      <c r="F23" s="3">
        <f>+E13*15</f>
        <v>1628.55</v>
      </c>
      <c r="G23" s="3">
        <f t="shared" si="0"/>
        <v>6371.45</v>
      </c>
    </row>
    <row r="24" spans="2:7" ht="15" thickBot="1" x14ac:dyDescent="0.4">
      <c r="C24" s="25" t="s">
        <v>42</v>
      </c>
      <c r="E24" s="28">
        <f>SUM(E18:E23)</f>
        <v>292666.66666666663</v>
      </c>
      <c r="F24" s="28">
        <f>SUM(F18:F23)</f>
        <v>18514.2</v>
      </c>
      <c r="G24" s="28">
        <f>SUM(G18:G23)</f>
        <v>274152.46666666667</v>
      </c>
    </row>
    <row r="25" spans="2:7" ht="15" thickTop="1" x14ac:dyDescent="0.35"/>
    <row r="26" spans="2:7" x14ac:dyDescent="0.35">
      <c r="B26" s="25" t="s">
        <v>64</v>
      </c>
    </row>
    <row r="28" spans="2:7" x14ac:dyDescent="0.35">
      <c r="C28" t="s">
        <v>39</v>
      </c>
      <c r="F28" s="7">
        <f>+G24</f>
        <v>274152.46666666667</v>
      </c>
    </row>
    <row r="29" spans="2:7" x14ac:dyDescent="0.35">
      <c r="C29" t="s">
        <v>40</v>
      </c>
      <c r="F29" s="7">
        <f>+'Tarifa Art 152 2024'!M12</f>
        <v>38542.906472000002</v>
      </c>
    </row>
    <row r="30" spans="2:7" x14ac:dyDescent="0.35">
      <c r="B30" s="27" t="s">
        <v>43</v>
      </c>
      <c r="C30" t="s">
        <v>59</v>
      </c>
      <c r="F30" s="7">
        <f>+'Tarifa Art 96 2024 TA'!Y12</f>
        <v>38732.185168000011</v>
      </c>
    </row>
    <row r="31" spans="2:7" x14ac:dyDescent="0.35">
      <c r="B31" s="27" t="s">
        <v>44</v>
      </c>
      <c r="C31" t="s">
        <v>41</v>
      </c>
      <c r="F31" s="7">
        <f>+F29-F30</f>
        <v>-189.27869600000849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295E43-9438-4882-91D3-ABC8C0CAFFCE}">
  <dimension ref="B1:H18"/>
  <sheetViews>
    <sheetView showGridLines="0" workbookViewId="0">
      <selection activeCell="I8" sqref="I8"/>
    </sheetView>
  </sheetViews>
  <sheetFormatPr baseColWidth="10" defaultRowHeight="14.5" x14ac:dyDescent="0.35"/>
  <cols>
    <col min="2" max="2" width="5.08984375" style="48" customWidth="1"/>
    <col min="3" max="3" width="48.36328125" customWidth="1"/>
    <col min="4" max="5" width="12.36328125" bestFit="1" customWidth="1"/>
    <col min="6" max="6" width="11.453125" bestFit="1" customWidth="1"/>
    <col min="7" max="7" width="11.54296875" bestFit="1" customWidth="1"/>
    <col min="8" max="8" width="8.90625" bestFit="1" customWidth="1"/>
  </cols>
  <sheetData>
    <row r="1" spans="2:8" x14ac:dyDescent="0.35">
      <c r="C1" s="27"/>
    </row>
    <row r="2" spans="2:8" ht="29" x14ac:dyDescent="0.35">
      <c r="D2" s="1" t="s">
        <v>65</v>
      </c>
      <c r="E2" s="1" t="s">
        <v>66</v>
      </c>
      <c r="F2" s="1" t="s">
        <v>67</v>
      </c>
      <c r="G2" s="1" t="s">
        <v>68</v>
      </c>
      <c r="H2" s="30" t="s">
        <v>69</v>
      </c>
    </row>
    <row r="3" spans="2:8" x14ac:dyDescent="0.35">
      <c r="C3" s="49" t="s">
        <v>70</v>
      </c>
      <c r="D3" s="3">
        <f>+'Sueldos resumen anual 2024 TA'!$G$24</f>
        <v>274152.46666666667</v>
      </c>
      <c r="E3" s="3">
        <v>250000</v>
      </c>
      <c r="F3" s="3">
        <v>62500</v>
      </c>
      <c r="G3" s="3">
        <v>50000</v>
      </c>
    </row>
    <row r="4" spans="2:8" ht="58" x14ac:dyDescent="0.35">
      <c r="B4" s="50" t="s">
        <v>43</v>
      </c>
      <c r="C4" s="51" t="s">
        <v>71</v>
      </c>
      <c r="D4" s="52">
        <v>0</v>
      </c>
      <c r="E4" s="52">
        <v>0</v>
      </c>
      <c r="F4" s="52">
        <v>0</v>
      </c>
      <c r="G4" s="52">
        <v>0</v>
      </c>
    </row>
    <row r="5" spans="2:8" x14ac:dyDescent="0.35">
      <c r="B5" s="53" t="s">
        <v>44</v>
      </c>
      <c r="C5" s="49" t="s">
        <v>72</v>
      </c>
      <c r="D5" s="3">
        <f>D3-D4</f>
        <v>274152.46666666667</v>
      </c>
      <c r="E5" s="3">
        <f>E3-E4</f>
        <v>250000</v>
      </c>
      <c r="F5" s="3">
        <f>F3-F4</f>
        <v>62500</v>
      </c>
      <c r="G5" s="3">
        <f>G3-G4</f>
        <v>50000</v>
      </c>
    </row>
    <row r="6" spans="2:8" x14ac:dyDescent="0.35">
      <c r="B6" s="53" t="s">
        <v>73</v>
      </c>
      <c r="C6" s="49" t="s">
        <v>74</v>
      </c>
      <c r="D6" s="3"/>
      <c r="E6" s="3"/>
      <c r="F6" s="3"/>
      <c r="G6" s="3"/>
    </row>
    <row r="7" spans="2:8" x14ac:dyDescent="0.35">
      <c r="B7" s="53" t="s">
        <v>44</v>
      </c>
      <c r="C7" s="49" t="s">
        <v>75</v>
      </c>
      <c r="D7" s="3">
        <f>+'Tarifa Art 152 2024'!$M$12</f>
        <v>38542.906472000002</v>
      </c>
      <c r="E7" s="3">
        <f>+'Tarifa Art 152 2024'!N12</f>
        <v>33383.939592000002</v>
      </c>
      <c r="F7" s="3">
        <f>+'Tarifa Art 152 2024'!O12</f>
        <v>3598.8806400000003</v>
      </c>
      <c r="G7" s="3">
        <f>+'Tarifa Art 152 2024'!P12</f>
        <v>2798.8806400000003</v>
      </c>
    </row>
    <row r="8" spans="2:8" x14ac:dyDescent="0.35">
      <c r="B8" s="53" t="s">
        <v>43</v>
      </c>
      <c r="C8" s="49" t="s">
        <v>76</v>
      </c>
      <c r="D8" s="3">
        <v>0</v>
      </c>
      <c r="E8" s="3">
        <v>0</v>
      </c>
      <c r="F8" s="3">
        <v>3300</v>
      </c>
      <c r="G8" s="3">
        <v>4590</v>
      </c>
    </row>
    <row r="9" spans="2:8" ht="43.5" x14ac:dyDescent="0.35">
      <c r="B9" s="53" t="s">
        <v>44</v>
      </c>
      <c r="C9" s="49" t="s">
        <v>77</v>
      </c>
      <c r="D9" s="3">
        <f>D7</f>
        <v>38542.906472000002</v>
      </c>
      <c r="E9" s="3">
        <f>E7</f>
        <v>33383.939592000002</v>
      </c>
      <c r="F9" s="3">
        <f>F7-F8</f>
        <v>298.88064000000031</v>
      </c>
      <c r="G9" s="54">
        <v>0</v>
      </c>
    </row>
    <row r="10" spans="2:8" ht="29" x14ac:dyDescent="0.35">
      <c r="B10" s="53" t="s">
        <v>43</v>
      </c>
      <c r="C10" s="49" t="s">
        <v>78</v>
      </c>
      <c r="D10" s="3">
        <f>+'Sueldos x mes 2024 TA'!$N$18</f>
        <v>38732.185168000011</v>
      </c>
      <c r="E10" s="3">
        <v>33000</v>
      </c>
      <c r="F10" s="3">
        <v>100</v>
      </c>
      <c r="G10" s="3">
        <v>50</v>
      </c>
    </row>
    <row r="11" spans="2:8" x14ac:dyDescent="0.35">
      <c r="B11" s="53" t="s">
        <v>44</v>
      </c>
      <c r="C11" s="49" t="s">
        <v>79</v>
      </c>
      <c r="D11" s="55">
        <f>D9-D10</f>
        <v>-189.27869600000849</v>
      </c>
      <c r="E11" s="3">
        <f>E9-E10</f>
        <v>383.93959200000245</v>
      </c>
      <c r="F11" s="3">
        <f>F9-F10</f>
        <v>198.88064000000031</v>
      </c>
      <c r="G11" s="55">
        <f>G9-G10</f>
        <v>-50</v>
      </c>
      <c r="H11" s="37">
        <f>SUM(D11:G11)</f>
        <v>343.54153599999427</v>
      </c>
    </row>
    <row r="12" spans="2:8" x14ac:dyDescent="0.35">
      <c r="C12" s="56"/>
    </row>
    <row r="13" spans="2:8" x14ac:dyDescent="0.35">
      <c r="C13" s="56"/>
    </row>
    <row r="14" spans="2:8" x14ac:dyDescent="0.35">
      <c r="C14" s="56"/>
      <c r="E14" s="8" t="s">
        <v>65</v>
      </c>
      <c r="F14" s="55">
        <f>+D11</f>
        <v>-189.27869600000849</v>
      </c>
    </row>
    <row r="15" spans="2:8" x14ac:dyDescent="0.35">
      <c r="C15" s="56"/>
      <c r="E15" s="8" t="s">
        <v>66</v>
      </c>
      <c r="F15" s="3">
        <f>+E11</f>
        <v>383.93959200000245</v>
      </c>
    </row>
    <row r="16" spans="2:8" x14ac:dyDescent="0.35">
      <c r="C16" s="56"/>
      <c r="E16" s="8" t="s">
        <v>67</v>
      </c>
      <c r="F16" s="3">
        <f>+F11</f>
        <v>198.88064000000031</v>
      </c>
    </row>
    <row r="17" spans="5:6" x14ac:dyDescent="0.35">
      <c r="E17" s="8" t="s">
        <v>68</v>
      </c>
      <c r="F17" s="55">
        <f>+G11</f>
        <v>-50</v>
      </c>
    </row>
    <row r="18" spans="5:6" x14ac:dyDescent="0.35">
      <c r="E18" s="57" t="s">
        <v>80</v>
      </c>
      <c r="F18" s="37">
        <f>SUM(F14:F17)</f>
        <v>343.54153599999427</v>
      </c>
    </row>
  </sheetData>
  <pageMargins left="0.7" right="0.7" top="0.75" bottom="0.75" header="0.3" footer="0.3"/>
  <pageSetup paperSize="9" orientation="portrait" horizontalDpi="0" verticalDpi="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4:P59"/>
  <sheetViews>
    <sheetView showGridLines="0" tabSelected="1" zoomScale="90" zoomScaleNormal="90" workbookViewId="0">
      <selection activeCell="P7" sqref="P7"/>
    </sheetView>
  </sheetViews>
  <sheetFormatPr baseColWidth="10" defaultRowHeight="14.5" outlineLevelCol="1" x14ac:dyDescent="0.35"/>
  <cols>
    <col min="1" max="1" width="5.36328125" customWidth="1"/>
    <col min="2" max="2" width="15.36328125" hidden="1" customWidth="1" outlineLevel="1"/>
    <col min="3" max="3" width="15.54296875" hidden="1" customWidth="1" outlineLevel="1"/>
    <col min="4" max="4" width="15.08984375" hidden="1" customWidth="1" outlineLevel="1"/>
    <col min="5" max="5" width="13.6328125" hidden="1" customWidth="1" outlineLevel="1"/>
    <col min="6" max="6" width="2.453125" hidden="1" customWidth="1" outlineLevel="1"/>
    <col min="7" max="7" width="14.90625" customWidth="1" collapsed="1"/>
    <col min="8" max="8" width="15.1796875" customWidth="1"/>
    <col min="9" max="9" width="16.08984375" customWidth="1"/>
    <col min="10" max="10" width="10.6328125" customWidth="1"/>
    <col min="11" max="11" width="4.08984375" customWidth="1"/>
    <col min="12" max="12" width="16.90625" customWidth="1"/>
    <col min="13" max="13" width="14.36328125" customWidth="1"/>
    <col min="14" max="14" width="14.08984375" customWidth="1"/>
    <col min="15" max="15" width="15.08984375" customWidth="1"/>
    <col min="16" max="16" width="14.81640625" customWidth="1"/>
  </cols>
  <sheetData>
    <row r="4" spans="2:16" x14ac:dyDescent="0.35">
      <c r="B4" s="39" t="s">
        <v>21</v>
      </c>
      <c r="C4" s="40"/>
      <c r="D4" s="40"/>
      <c r="E4" s="40"/>
      <c r="G4" s="41" t="s">
        <v>47</v>
      </c>
      <c r="H4" s="42"/>
      <c r="I4" s="42"/>
      <c r="J4" s="42"/>
    </row>
    <row r="5" spans="2:16" ht="72.5" x14ac:dyDescent="0.35">
      <c r="B5" s="1" t="s">
        <v>0</v>
      </c>
      <c r="C5" s="1" t="s">
        <v>1</v>
      </c>
      <c r="D5" s="1" t="s">
        <v>2</v>
      </c>
      <c r="E5" s="1" t="s">
        <v>3</v>
      </c>
      <c r="G5" s="1" t="s">
        <v>0</v>
      </c>
      <c r="H5" s="1" t="s">
        <v>1</v>
      </c>
      <c r="I5" s="1" t="s">
        <v>2</v>
      </c>
      <c r="J5" s="1" t="s">
        <v>3</v>
      </c>
      <c r="M5" s="58" t="s">
        <v>65</v>
      </c>
      <c r="N5" s="58" t="s">
        <v>66</v>
      </c>
      <c r="O5" s="58" t="s">
        <v>67</v>
      </c>
      <c r="P5" s="58" t="s">
        <v>68</v>
      </c>
    </row>
    <row r="6" spans="2:16" x14ac:dyDescent="0.35">
      <c r="B6" s="3">
        <v>0.01</v>
      </c>
      <c r="C6" s="3" t="e">
        <f>+#REF!*12</f>
        <v>#REF!</v>
      </c>
      <c r="D6" s="3" t="e">
        <f>+#REF!*12</f>
        <v>#REF!</v>
      </c>
      <c r="E6" s="4">
        <v>1.9199999999999998E-2</v>
      </c>
      <c r="G6" s="31">
        <v>0.01</v>
      </c>
      <c r="H6" s="31">
        <v>8952.48</v>
      </c>
      <c r="I6" s="31">
        <v>0</v>
      </c>
      <c r="J6" s="32">
        <v>1.9199999999999998E-2</v>
      </c>
      <c r="L6" s="5" t="s">
        <v>4</v>
      </c>
      <c r="M6" s="23">
        <f>+'Sueldos resumen anual 2024 TA'!F28</f>
        <v>274152.46666666667</v>
      </c>
      <c r="N6" s="23">
        <f>+'Ajuste anual 2024 resumen'!E5</f>
        <v>250000</v>
      </c>
      <c r="O6" s="23">
        <f>+'Ajuste anual 2024 resumen'!F5</f>
        <v>62500</v>
      </c>
      <c r="P6" s="23">
        <f>+'Ajuste anual 2024 resumen'!G5</f>
        <v>50000</v>
      </c>
    </row>
    <row r="7" spans="2:16" x14ac:dyDescent="0.35">
      <c r="B7" s="3" t="e">
        <f>+C6+0.01</f>
        <v>#REF!</v>
      </c>
      <c r="C7" s="3" t="e">
        <f>+#REF!*12</f>
        <v>#REF!</v>
      </c>
      <c r="D7" s="3" t="e">
        <f>+#REF!*12</f>
        <v>#REF!</v>
      </c>
      <c r="E7" s="4">
        <v>6.4000000000000001E-2</v>
      </c>
      <c r="G7" s="31">
        <v>8952.49</v>
      </c>
      <c r="H7" s="31">
        <v>75984.600000000006</v>
      </c>
      <c r="I7" s="31">
        <v>171.84</v>
      </c>
      <c r="J7" s="32">
        <v>6.4000000000000001E-2</v>
      </c>
      <c r="L7" s="6" t="s">
        <v>5</v>
      </c>
      <c r="M7" s="7">
        <f>LOOKUP(M6,$G$6:$H$16,$G$6:$G$16)</f>
        <v>185852.53</v>
      </c>
      <c r="N7" s="7">
        <f t="shared" ref="N7:P7" si="0">LOOKUP(N6,$G$6:$H$16,$G$6:$G$16)</f>
        <v>185852.53</v>
      </c>
      <c r="O7" s="7">
        <f t="shared" si="0"/>
        <v>8952.49</v>
      </c>
      <c r="P7" s="7">
        <f t="shared" si="0"/>
        <v>8952.49</v>
      </c>
    </row>
    <row r="8" spans="2:16" x14ac:dyDescent="0.35">
      <c r="B8" s="3" t="e">
        <f t="shared" ref="B8:B16" si="1">+C7+0.01</f>
        <v>#REF!</v>
      </c>
      <c r="C8" s="3" t="e">
        <f>+#REF!*12</f>
        <v>#REF!</v>
      </c>
      <c r="D8" s="3" t="e">
        <f>+#REF!*12</f>
        <v>#REF!</v>
      </c>
      <c r="E8" s="4">
        <v>0.10879999999999999</v>
      </c>
      <c r="G8" s="31">
        <v>75984.61</v>
      </c>
      <c r="H8" s="31">
        <v>133536.12</v>
      </c>
      <c r="I8" s="31">
        <v>4461.96</v>
      </c>
      <c r="J8" s="32">
        <v>0.10879999999999999</v>
      </c>
      <c r="L8" s="6" t="s">
        <v>6</v>
      </c>
      <c r="M8" s="7">
        <f>M6-M7</f>
        <v>88299.936666666676</v>
      </c>
      <c r="N8" s="7">
        <f t="shared" ref="N8:P8" si="2">N6-N7</f>
        <v>64147.47</v>
      </c>
      <c r="O8" s="7">
        <f t="shared" si="2"/>
        <v>53547.51</v>
      </c>
      <c r="P8" s="7">
        <f t="shared" si="2"/>
        <v>41047.51</v>
      </c>
    </row>
    <row r="9" spans="2:16" x14ac:dyDescent="0.35">
      <c r="B9" s="3" t="e">
        <f t="shared" si="1"/>
        <v>#REF!</v>
      </c>
      <c r="C9" s="3" t="e">
        <f>+#REF!*12</f>
        <v>#REF!</v>
      </c>
      <c r="D9" s="3" t="e">
        <f>+#REF!*12</f>
        <v>#REF!</v>
      </c>
      <c r="E9" s="4">
        <v>0.16</v>
      </c>
      <c r="G9" s="31">
        <v>133536.13</v>
      </c>
      <c r="H9" s="31">
        <v>155229.84</v>
      </c>
      <c r="I9" s="31">
        <v>10723.56</v>
      </c>
      <c r="J9" s="32">
        <v>0.16</v>
      </c>
      <c r="L9" s="8" t="s">
        <v>7</v>
      </c>
      <c r="M9" s="9">
        <f>LOOKUP(M6,$G$6:$H$16,$J$6:$J$16)</f>
        <v>0.21360000000000001</v>
      </c>
      <c r="N9" s="9">
        <f t="shared" ref="N9:P9" si="3">LOOKUP(N6,$G$6:$H$16,$J$6:$J$16)</f>
        <v>0.21360000000000001</v>
      </c>
      <c r="O9" s="9">
        <f t="shared" si="3"/>
        <v>6.4000000000000001E-2</v>
      </c>
      <c r="P9" s="9">
        <f t="shared" si="3"/>
        <v>6.4000000000000001E-2</v>
      </c>
    </row>
    <row r="10" spans="2:16" x14ac:dyDescent="0.35">
      <c r="B10" s="10" t="e">
        <f t="shared" si="1"/>
        <v>#REF!</v>
      </c>
      <c r="C10" s="3" t="e">
        <f>+#REF!*12</f>
        <v>#REF!</v>
      </c>
      <c r="D10" s="3" t="e">
        <f>+#REF!*12</f>
        <v>#REF!</v>
      </c>
      <c r="E10" s="11">
        <v>0.1792</v>
      </c>
      <c r="G10" s="31">
        <v>155229.85</v>
      </c>
      <c r="H10" s="31">
        <v>185852.52</v>
      </c>
      <c r="I10" s="31">
        <v>14194.560000000001</v>
      </c>
      <c r="J10" s="32">
        <v>0.1792</v>
      </c>
      <c r="L10" s="6" t="s">
        <v>8</v>
      </c>
      <c r="M10" s="7">
        <f>M8*M9</f>
        <v>18860.866472000002</v>
      </c>
      <c r="N10" s="7">
        <f t="shared" ref="N10:P10" si="4">N8*N9</f>
        <v>13701.899592000002</v>
      </c>
      <c r="O10" s="7">
        <f t="shared" si="4"/>
        <v>3427.0406400000002</v>
      </c>
      <c r="P10" s="7">
        <f t="shared" si="4"/>
        <v>2627.0406400000002</v>
      </c>
    </row>
    <row r="11" spans="2:16" x14ac:dyDescent="0.35">
      <c r="B11" s="10" t="e">
        <f t="shared" si="1"/>
        <v>#REF!</v>
      </c>
      <c r="C11" s="3" t="e">
        <f>+#REF!*12</f>
        <v>#REF!</v>
      </c>
      <c r="D11" s="3" t="e">
        <f>+#REF!*12</f>
        <v>#REF!</v>
      </c>
      <c r="E11" s="11">
        <v>0.21360000000000001</v>
      </c>
      <c r="G11" s="33">
        <v>185852.53</v>
      </c>
      <c r="H11" s="33">
        <v>374837.88</v>
      </c>
      <c r="I11" s="33">
        <v>19682.04</v>
      </c>
      <c r="J11" s="34">
        <v>0.21360000000000001</v>
      </c>
      <c r="L11" s="6" t="s">
        <v>9</v>
      </c>
      <c r="M11" s="7">
        <f>LOOKUP(M6,$G$6:$H$16,$I$6:$I$16)</f>
        <v>19682.04</v>
      </c>
      <c r="N11" s="7">
        <f t="shared" ref="N11:P11" si="5">LOOKUP(N6,$G$6:$H$16,$I$6:$I$16)</f>
        <v>19682.04</v>
      </c>
      <c r="O11" s="7">
        <f t="shared" si="5"/>
        <v>171.84</v>
      </c>
      <c r="P11" s="7">
        <f t="shared" si="5"/>
        <v>171.84</v>
      </c>
    </row>
    <row r="12" spans="2:16" x14ac:dyDescent="0.35">
      <c r="B12" s="10" t="e">
        <f t="shared" si="1"/>
        <v>#REF!</v>
      </c>
      <c r="C12" s="3" t="e">
        <f>+#REF!*12</f>
        <v>#REF!</v>
      </c>
      <c r="D12" s="3" t="e">
        <f>+#REF!*12</f>
        <v>#REF!</v>
      </c>
      <c r="E12" s="11">
        <v>0.23519999999999999</v>
      </c>
      <c r="G12" s="31">
        <v>374837.89</v>
      </c>
      <c r="H12" s="31">
        <v>590796</v>
      </c>
      <c r="I12" s="31">
        <v>60049.440000000002</v>
      </c>
      <c r="J12" s="32">
        <v>0.23519999999999999</v>
      </c>
      <c r="L12" s="12" t="s">
        <v>10</v>
      </c>
      <c r="M12" s="13">
        <f>+M10+M11</f>
        <v>38542.906472000002</v>
      </c>
      <c r="N12" s="13">
        <f t="shared" ref="N12:P12" si="6">+N10+N11</f>
        <v>33383.939592000002</v>
      </c>
      <c r="O12" s="13">
        <f t="shared" si="6"/>
        <v>3598.8806400000003</v>
      </c>
      <c r="P12" s="13">
        <f t="shared" si="6"/>
        <v>2798.8806400000003</v>
      </c>
    </row>
    <row r="13" spans="2:16" x14ac:dyDescent="0.35">
      <c r="B13" s="10" t="e">
        <f t="shared" si="1"/>
        <v>#REF!</v>
      </c>
      <c r="C13" s="3" t="e">
        <f>+#REF!*12</f>
        <v>#REF!</v>
      </c>
      <c r="D13" s="3" t="e">
        <f>+#REF!*12</f>
        <v>#REF!</v>
      </c>
      <c r="E13" s="11">
        <v>0.3</v>
      </c>
      <c r="G13" s="31">
        <v>590796.01</v>
      </c>
      <c r="H13" s="31">
        <v>1127926.7999999998</v>
      </c>
      <c r="I13" s="31">
        <v>110842.68</v>
      </c>
      <c r="J13" s="32">
        <v>0.3</v>
      </c>
      <c r="M13" s="29"/>
    </row>
    <row r="14" spans="2:16" x14ac:dyDescent="0.35">
      <c r="B14" s="3" t="e">
        <f t="shared" si="1"/>
        <v>#REF!</v>
      </c>
      <c r="C14" s="3" t="e">
        <f>+#REF!*12</f>
        <v>#REF!</v>
      </c>
      <c r="D14" s="3" t="e">
        <f>+#REF!*12</f>
        <v>#REF!</v>
      </c>
      <c r="E14" s="4">
        <v>0.32</v>
      </c>
      <c r="G14" s="31">
        <v>1127926.8099999998</v>
      </c>
      <c r="H14" s="31">
        <v>1503902.4</v>
      </c>
      <c r="I14" s="31">
        <v>271982.03999999998</v>
      </c>
      <c r="J14" s="32">
        <v>0.32</v>
      </c>
      <c r="M14" s="14"/>
    </row>
    <row r="15" spans="2:16" x14ac:dyDescent="0.35">
      <c r="B15" s="3" t="e">
        <f t="shared" si="1"/>
        <v>#REF!</v>
      </c>
      <c r="C15" s="3" t="e">
        <f>+#REF!*12</f>
        <v>#REF!</v>
      </c>
      <c r="D15" s="3" t="e">
        <f>+#REF!*12</f>
        <v>#REF!</v>
      </c>
      <c r="E15" s="4">
        <v>0.34</v>
      </c>
      <c r="G15" s="31">
        <v>1503902.41</v>
      </c>
      <c r="H15" s="31">
        <v>4511707.32</v>
      </c>
      <c r="I15" s="31">
        <v>392294.16000000003</v>
      </c>
      <c r="J15" s="32">
        <v>0.34</v>
      </c>
      <c r="M15" s="15"/>
    </row>
    <row r="16" spans="2:16" x14ac:dyDescent="0.35">
      <c r="B16" s="3" t="e">
        <f t="shared" si="1"/>
        <v>#REF!</v>
      </c>
      <c r="C16" s="3" t="s">
        <v>11</v>
      </c>
      <c r="D16" s="3" t="e">
        <f>+#REF!*12</f>
        <v>#REF!</v>
      </c>
      <c r="E16" s="4">
        <v>0.35</v>
      </c>
      <c r="G16" s="31">
        <v>4511707.33</v>
      </c>
      <c r="H16" s="31" t="s">
        <v>11</v>
      </c>
      <c r="I16" s="31">
        <v>1414947.8400000001</v>
      </c>
      <c r="J16" s="32">
        <v>0.35</v>
      </c>
    </row>
    <row r="17" spans="2:13" x14ac:dyDescent="0.35">
      <c r="M17" s="14"/>
    </row>
    <row r="19" spans="2:13" x14ac:dyDescent="0.35">
      <c r="B19" t="s">
        <v>12</v>
      </c>
      <c r="D19">
        <v>111.508</v>
      </c>
    </row>
    <row r="20" spans="2:13" x14ac:dyDescent="0.35">
      <c r="B20" t="s">
        <v>13</v>
      </c>
      <c r="D20" s="16">
        <v>130.04400000000001</v>
      </c>
      <c r="H20" s="17"/>
    </row>
    <row r="22" spans="2:13" x14ac:dyDescent="0.35">
      <c r="B22" t="s">
        <v>14</v>
      </c>
      <c r="D22" s="18">
        <f>TRUNC(D20/D19,4)</f>
        <v>1.1661999999999999</v>
      </c>
    </row>
    <row r="46" spans="2:4" x14ac:dyDescent="0.35">
      <c r="B46" s="43" t="s">
        <v>15</v>
      </c>
      <c r="C46" s="43"/>
      <c r="D46" s="43"/>
    </row>
    <row r="47" spans="2:4" ht="31.5" customHeight="1" x14ac:dyDescent="0.35">
      <c r="B47" s="44" t="s">
        <v>16</v>
      </c>
      <c r="C47" s="45"/>
      <c r="D47" s="46"/>
    </row>
    <row r="48" spans="2:4" ht="43.5" x14ac:dyDescent="0.35">
      <c r="B48" s="19" t="s">
        <v>17</v>
      </c>
      <c r="C48" s="19" t="s">
        <v>18</v>
      </c>
      <c r="D48" s="20" t="s">
        <v>19</v>
      </c>
    </row>
    <row r="49" spans="2:4" x14ac:dyDescent="0.35">
      <c r="B49" s="21">
        <v>0.01</v>
      </c>
      <c r="C49" s="22">
        <v>1768.96</v>
      </c>
      <c r="D49" s="21">
        <v>407.02</v>
      </c>
    </row>
    <row r="50" spans="2:4" x14ac:dyDescent="0.35">
      <c r="B50" s="22">
        <v>1768.97</v>
      </c>
      <c r="C50" s="22">
        <v>2653.38</v>
      </c>
      <c r="D50" s="21">
        <v>406.83</v>
      </c>
    </row>
    <row r="51" spans="2:4" x14ac:dyDescent="0.35">
      <c r="B51" s="22">
        <v>2653.39</v>
      </c>
      <c r="C51" s="22">
        <v>3472.84</v>
      </c>
      <c r="D51" s="21">
        <v>406.62</v>
      </c>
    </row>
    <row r="52" spans="2:4" x14ac:dyDescent="0.35">
      <c r="B52" s="22">
        <v>3472.85</v>
      </c>
      <c r="C52" s="22">
        <v>3537.87</v>
      </c>
      <c r="D52" s="21">
        <v>392.77</v>
      </c>
    </row>
    <row r="53" spans="2:4" x14ac:dyDescent="0.35">
      <c r="B53" s="22">
        <v>3537.88</v>
      </c>
      <c r="C53" s="22">
        <v>4446.1499999999996</v>
      </c>
      <c r="D53" s="21">
        <v>382.46</v>
      </c>
    </row>
    <row r="54" spans="2:4" x14ac:dyDescent="0.35">
      <c r="B54" s="22">
        <v>4446.16</v>
      </c>
      <c r="C54" s="22">
        <v>4717.18</v>
      </c>
      <c r="D54" s="21">
        <v>354.23</v>
      </c>
    </row>
    <row r="55" spans="2:4" x14ac:dyDescent="0.35">
      <c r="B55" s="22">
        <v>4717.1899999999996</v>
      </c>
      <c r="C55" s="22">
        <v>5335.42</v>
      </c>
      <c r="D55" s="21">
        <v>324.87</v>
      </c>
    </row>
    <row r="56" spans="2:4" x14ac:dyDescent="0.35">
      <c r="B56" s="22">
        <v>5335.43</v>
      </c>
      <c r="C56" s="22">
        <v>6224.67</v>
      </c>
      <c r="D56" s="21">
        <v>294.63</v>
      </c>
    </row>
    <row r="57" spans="2:4" x14ac:dyDescent="0.35">
      <c r="B57" s="22">
        <v>6224.68</v>
      </c>
      <c r="C57" s="22">
        <v>7113.9</v>
      </c>
      <c r="D57" s="21">
        <v>253.54</v>
      </c>
    </row>
    <row r="58" spans="2:4" x14ac:dyDescent="0.35">
      <c r="B58" s="22">
        <v>7113.91</v>
      </c>
      <c r="C58" s="22">
        <v>7382.33</v>
      </c>
      <c r="D58" s="21">
        <v>217.61</v>
      </c>
    </row>
    <row r="59" spans="2:4" x14ac:dyDescent="0.35">
      <c r="B59" s="22">
        <v>7382.34</v>
      </c>
      <c r="C59" s="21" t="s">
        <v>20</v>
      </c>
      <c r="D59" s="21">
        <v>0</v>
      </c>
    </row>
  </sheetData>
  <mergeCells count="4">
    <mergeCell ref="B4:E4"/>
    <mergeCell ref="G4:J4"/>
    <mergeCell ref="B46:D46"/>
    <mergeCell ref="B47:D4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Sueldos x mes 2024 TA</vt:lpstr>
      <vt:lpstr>Tarifa Art 96 2024 TA</vt:lpstr>
      <vt:lpstr>Sueldos resumen anual 2024 TA</vt:lpstr>
      <vt:lpstr>Ajuste anual 2024 resumen</vt:lpstr>
      <vt:lpstr>Tarifa Art 152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evg</dc:creator>
  <cp:lastModifiedBy>VALTIERRA GARCIA  EFREN</cp:lastModifiedBy>
  <dcterms:created xsi:type="dcterms:W3CDTF">2018-05-24T23:18:53Z</dcterms:created>
  <dcterms:modified xsi:type="dcterms:W3CDTF">2025-01-07T15:16:10Z</dcterms:modified>
</cp:coreProperties>
</file>