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pana\Documents\COFIDE\DIPLO COSTOS\MÓDULO II\"/>
    </mc:Choice>
  </mc:AlternateContent>
  <bookViews>
    <workbookView xWindow="0" yWindow="0" windowWidth="20460" windowHeight="7020" tabRatio="824"/>
  </bookViews>
  <sheets>
    <sheet name="LOTE" sheetId="1" r:id="rId1"/>
    <sheet name="EOQ" sheetId="2" r:id="rId2"/>
    <sheet name="EOQ-E" sheetId="3" r:id="rId3"/>
    <sheet name="H-h" sheetId="4" r:id="rId4"/>
    <sheet name="H-Ociosas" sheetId="5" r:id="rId5"/>
    <sheet name="CC" sheetId="13" r:id="rId6"/>
    <sheet name="Cargos Indirectos Costeo ABC" sheetId="7" r:id="rId7"/>
    <sheet name="Estado de costo " sheetId="12" r:id="rId8"/>
    <sheet name="CTO.SUDADERAS" sheetId="11" r:id="rId9"/>
    <sheet name="Gtos Op ABC" sheetId="8" r:id="rId10"/>
    <sheet name="Por Línea de producto" sheetId="9" r:id="rId11"/>
    <sheet name="Por Región" sheetId="10" r:id="rId12"/>
  </sheets>
  <externalReferences>
    <externalReference r:id="rId13"/>
  </externalReferences>
  <definedNames>
    <definedName name="_xlnm.Print_Area" localSheetId="7">'Estado de costo '!$B$1:$N$89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7" l="1"/>
  <c r="H31" i="7"/>
  <c r="K12" i="7"/>
  <c r="H54" i="13"/>
  <c r="H45" i="13"/>
  <c r="H35" i="13"/>
  <c r="H24" i="13"/>
  <c r="H11" i="13"/>
  <c r="E85" i="12"/>
  <c r="E75" i="12"/>
  <c r="E68" i="12"/>
  <c r="E77" i="12" s="1"/>
  <c r="E64" i="12"/>
  <c r="F52" i="12"/>
  <c r="I42" i="12"/>
  <c r="I64" i="12" s="1"/>
  <c r="I40" i="12"/>
  <c r="J40" i="12" s="1"/>
  <c r="F34" i="12"/>
  <c r="I24" i="12"/>
  <c r="I22" i="12"/>
  <c r="I20" i="12"/>
  <c r="I18" i="12"/>
  <c r="I16" i="12"/>
  <c r="I14" i="12"/>
  <c r="I12" i="12"/>
  <c r="I10" i="12"/>
  <c r="I9" i="12"/>
  <c r="I11" i="12" s="1"/>
  <c r="I13" i="12" s="1"/>
  <c r="I15" i="12" s="1"/>
  <c r="I17" i="12" s="1"/>
  <c r="I19" i="12" s="1"/>
  <c r="I21" i="12" s="1"/>
  <c r="I23" i="12" s="1"/>
  <c r="I25" i="12" s="1"/>
  <c r="I38" i="12" s="1"/>
  <c r="F63" i="12" l="1"/>
  <c r="F77" i="12"/>
  <c r="F65" i="12"/>
  <c r="F72" i="12"/>
  <c r="F73" i="12"/>
  <c r="F75" i="12"/>
  <c r="I39" i="12"/>
  <c r="J38" i="12"/>
  <c r="I67" i="12"/>
  <c r="F64" i="12"/>
  <c r="F68" i="12"/>
  <c r="J42" i="12"/>
  <c r="E35" i="11"/>
  <c r="E33" i="11"/>
  <c r="J39" i="12" l="1"/>
  <c r="I41" i="12"/>
  <c r="D15" i="10"/>
  <c r="C15" i="10"/>
  <c r="B15" i="10"/>
  <c r="C14" i="10"/>
  <c r="B14" i="10"/>
  <c r="D14" i="10" s="1"/>
  <c r="D5" i="10"/>
  <c r="C5" i="10"/>
  <c r="B5" i="10"/>
  <c r="C15" i="9"/>
  <c r="B15" i="9"/>
  <c r="C14" i="9"/>
  <c r="B14" i="9"/>
  <c r="C5" i="9"/>
  <c r="B5" i="9"/>
  <c r="B49" i="8"/>
  <c r="B48" i="8"/>
  <c r="B47" i="8"/>
  <c r="B46" i="8"/>
  <c r="B45" i="8"/>
  <c r="B41" i="8"/>
  <c r="B40" i="8"/>
  <c r="B39" i="8"/>
  <c r="B38" i="8"/>
  <c r="B37" i="8"/>
  <c r="B36" i="8"/>
  <c r="A29" i="8"/>
  <c r="A28" i="8"/>
  <c r="A27" i="8"/>
  <c r="A26" i="8"/>
  <c r="A25" i="8"/>
  <c r="A24" i="8"/>
  <c r="A23" i="8"/>
  <c r="A22" i="8"/>
  <c r="A21" i="8"/>
  <c r="C20" i="8"/>
  <c r="B20" i="8"/>
  <c r="F17" i="8"/>
  <c r="F16" i="8"/>
  <c r="F15" i="8"/>
  <c r="F14" i="8"/>
  <c r="F10" i="8"/>
  <c r="F9" i="8"/>
  <c r="F8" i="8"/>
  <c r="F7" i="8"/>
  <c r="F6" i="8"/>
  <c r="I43" i="12" l="1"/>
  <c r="J41" i="12"/>
  <c r="I74" i="12" l="1"/>
  <c r="J43" i="12"/>
  <c r="I46" i="7"/>
  <c r="H50" i="7" s="1"/>
  <c r="J50" i="7" s="1"/>
  <c r="D46" i="7"/>
  <c r="C49" i="7" s="1"/>
  <c r="C44" i="7"/>
  <c r="C43" i="7"/>
  <c r="D42" i="7"/>
  <c r="C42" i="7"/>
  <c r="E42" i="7" s="1"/>
  <c r="H24" i="7" s="1"/>
  <c r="C36" i="7"/>
  <c r="C35" i="7"/>
  <c r="J30" i="7"/>
  <c r="I30" i="7"/>
  <c r="H30" i="7"/>
  <c r="D30" i="7"/>
  <c r="C30" i="7"/>
  <c r="E30" i="7" s="1"/>
  <c r="J22" i="7" s="1"/>
  <c r="J29" i="7"/>
  <c r="I29" i="7"/>
  <c r="H29" i="7"/>
  <c r="D29" i="7"/>
  <c r="C29" i="7"/>
  <c r="E29" i="7" s="1"/>
  <c r="I22" i="7" s="1"/>
  <c r="D28" i="7"/>
  <c r="C28" i="7"/>
  <c r="E28" i="7" s="1"/>
  <c r="H22" i="7" s="1"/>
  <c r="M25" i="7"/>
  <c r="P24" i="7"/>
  <c r="O24" i="7"/>
  <c r="N24" i="7"/>
  <c r="G24" i="7"/>
  <c r="G23" i="7"/>
  <c r="D23" i="7"/>
  <c r="D44" i="7" s="1"/>
  <c r="E44" i="7" s="1"/>
  <c r="J24" i="7" s="1"/>
  <c r="G22" i="7"/>
  <c r="D22" i="7"/>
  <c r="D43" i="7" s="1"/>
  <c r="C22" i="7"/>
  <c r="E22" i="7" s="1"/>
  <c r="I21" i="7" s="1"/>
  <c r="G21" i="7"/>
  <c r="D21" i="7"/>
  <c r="D35" i="7" s="1"/>
  <c r="C21" i="7"/>
  <c r="E21" i="7" s="1"/>
  <c r="H21" i="7" s="1"/>
  <c r="G20" i="7"/>
  <c r="J19" i="7"/>
  <c r="I19" i="7"/>
  <c r="H19" i="7"/>
  <c r="C23" i="7"/>
  <c r="E23" i="7" s="1"/>
  <c r="J21" i="7" s="1"/>
  <c r="F16" i="7"/>
  <c r="F15" i="7"/>
  <c r="M14" i="7"/>
  <c r="O19" i="7" s="1"/>
  <c r="P19" i="7" s="1"/>
  <c r="O7" i="7" s="1"/>
  <c r="F14" i="7"/>
  <c r="F13" i="7"/>
  <c r="F12" i="7"/>
  <c r="D11" i="7"/>
  <c r="P6" i="7"/>
  <c r="O6" i="7"/>
  <c r="N6" i="7"/>
  <c r="P5" i="7"/>
  <c r="O5" i="7"/>
  <c r="N5" i="7"/>
  <c r="O8" i="7" l="1"/>
  <c r="O25" i="7" s="1"/>
  <c r="I75" i="12"/>
  <c r="E36" i="7"/>
  <c r="I23" i="7" s="1"/>
  <c r="E35" i="7"/>
  <c r="H23" i="7" s="1"/>
  <c r="H25" i="7" s="1"/>
  <c r="H32" i="7" s="1"/>
  <c r="N26" i="7" s="1"/>
  <c r="N8" i="7"/>
  <c r="N25" i="7" s="1"/>
  <c r="E43" i="7"/>
  <c r="I24" i="7" s="1"/>
  <c r="C51" i="7"/>
  <c r="J20" i="7" s="1"/>
  <c r="D36" i="7"/>
  <c r="H51" i="7"/>
  <c r="J51" i="7" s="1"/>
  <c r="O18" i="7"/>
  <c r="P18" i="7" s="1"/>
  <c r="N7" i="7" s="1"/>
  <c r="C37" i="7"/>
  <c r="H49" i="7"/>
  <c r="J49" i="7" s="1"/>
  <c r="D37" i="7"/>
  <c r="C50" i="7"/>
  <c r="I20" i="7" s="1"/>
  <c r="O20" i="7"/>
  <c r="P20" i="7" s="1"/>
  <c r="P7" i="7" s="1"/>
  <c r="P8" i="7" s="1"/>
  <c r="P25" i="7" s="1"/>
  <c r="B30" i="5"/>
  <c r="B35" i="5" s="1"/>
  <c r="B25" i="5"/>
  <c r="B15" i="5"/>
  <c r="B17" i="5" s="1"/>
  <c r="B19" i="5" s="1"/>
  <c r="C16" i="4"/>
  <c r="C17" i="4" s="1"/>
  <c r="C18" i="4" s="1"/>
  <c r="C19" i="4" s="1"/>
  <c r="F8" i="4"/>
  <c r="C35" i="3"/>
  <c r="C36" i="3" s="1"/>
  <c r="I28" i="3"/>
  <c r="C22" i="3"/>
  <c r="C23" i="3" s="1"/>
  <c r="C9" i="3"/>
  <c r="C10" i="3" s="1"/>
  <c r="C13" i="3" s="1"/>
  <c r="B65" i="2"/>
  <c r="B72" i="2" s="1"/>
  <c r="C50" i="2"/>
  <c r="D43" i="2"/>
  <c r="B27" i="2"/>
  <c r="E23" i="2"/>
  <c r="C5" i="2"/>
  <c r="D17" i="2" s="1"/>
  <c r="E24" i="2" s="1"/>
  <c r="E3" i="2"/>
  <c r="B46" i="1"/>
  <c r="B39" i="1"/>
  <c r="B38" i="1"/>
  <c r="B25" i="1"/>
  <c r="E21" i="1"/>
  <c r="D15" i="1"/>
  <c r="E22" i="1" s="1"/>
  <c r="E13" i="1"/>
  <c r="E12" i="1"/>
  <c r="I77" i="12" l="1"/>
  <c r="J75" i="12"/>
  <c r="B40" i="1"/>
  <c r="B45" i="1" s="1"/>
  <c r="B47" i="1" s="1"/>
  <c r="J25" i="7"/>
  <c r="J31" i="7" s="1"/>
  <c r="J32" i="7" s="1"/>
  <c r="P26" i="7" s="1"/>
  <c r="I25" i="7"/>
  <c r="I31" i="7" s="1"/>
  <c r="I32" i="7" s="1"/>
  <c r="O26" i="7" s="1"/>
  <c r="E37" i="7"/>
  <c r="J23" i="7" s="1"/>
  <c r="B20" i="5"/>
  <c r="B21" i="5" s="1"/>
  <c r="C52" i="3"/>
  <c r="C39" i="3"/>
  <c r="C48" i="3"/>
  <c r="C49" i="3" s="1"/>
  <c r="C26" i="3"/>
  <c r="E14" i="2"/>
  <c r="D25" i="1"/>
  <c r="J77" i="12" l="1"/>
  <c r="J63" i="12"/>
  <c r="J73" i="12"/>
  <c r="J72" i="12"/>
  <c r="J64" i="12"/>
  <c r="J67" i="12"/>
  <c r="J74" i="12"/>
</calcChain>
</file>

<file path=xl/sharedStrings.xml><?xml version="1.0" encoding="utf-8"?>
<sst xmlns="http://schemas.openxmlformats.org/spreadsheetml/2006/main" count="684" uniqueCount="384">
  <si>
    <t>D</t>
  </si>
  <si>
    <t>UNIDADES</t>
  </si>
  <si>
    <t>CO</t>
  </si>
  <si>
    <t>CM</t>
  </si>
  <si>
    <t>Proporcional al volumen /importe del inventario)</t>
  </si>
  <si>
    <t>LOTE ECONÓMICO =</t>
  </si>
  <si>
    <t>EOQ=</t>
  </si>
  <si>
    <t xml:space="preserve"> =2(2000.- * 20.-)</t>
  </si>
  <si>
    <t>COSTO DE MANTENER</t>
  </si>
  <si>
    <t xml:space="preserve"> =</t>
  </si>
  <si>
    <t>EOQ =</t>
  </si>
  <si>
    <t xml:space="preserve"> UNIDADES</t>
  </si>
  <si>
    <t>NÚMERO DE PEDIDOS</t>
  </si>
  <si>
    <t>DEMANDA</t>
  </si>
  <si>
    <t>EOQ</t>
  </si>
  <si>
    <t>PEDIDOS</t>
  </si>
  <si>
    <t>Consumo diario máximo</t>
  </si>
  <si>
    <t>u</t>
  </si>
  <si>
    <t>Consumo diario promedio</t>
  </si>
  <si>
    <t>Consumo diario mínimo</t>
  </si>
  <si>
    <t>Plazo de entrega</t>
  </si>
  <si>
    <t>días</t>
  </si>
  <si>
    <t>INVENTARIO DE SEGURIDAD</t>
  </si>
  <si>
    <t>unidades</t>
  </si>
  <si>
    <t>(100 CONSUMO DIARIO MÁXIMO - 80 CONSUMO DIARIO PROMEDIO)</t>
  </si>
  <si>
    <t>Unidades de Inventario de Seguridad</t>
  </si>
  <si>
    <t>PUNTO DE REORDEN</t>
  </si>
  <si>
    <t>Inventario de Seguridad</t>
  </si>
  <si>
    <t xml:space="preserve"> +</t>
  </si>
  <si>
    <t>(80u Consumo diario promedio  X 18 días de plazo de entrega)</t>
  </si>
  <si>
    <t>Punto de reorden en unidades</t>
  </si>
  <si>
    <t>UNIDADES POR MES</t>
  </si>
  <si>
    <t>UNIDADES AL AÑO</t>
  </si>
  <si>
    <t>√2(D*CO)/CM</t>
  </si>
  <si>
    <t xml:space="preserve"> =2(108,000 * 5.-)</t>
  </si>
  <si>
    <t>Número de días de suministro de cada orden</t>
  </si>
  <si>
    <t>360 días del año</t>
  </si>
  <si>
    <t>180 ordenes por año</t>
  </si>
  <si>
    <t>Número de días de oferta que permanecen en el inventario</t>
  </si>
  <si>
    <t>300 unidades en inventario</t>
  </si>
  <si>
    <t>600 EOQ</t>
  </si>
  <si>
    <t>día de suministro ( como remanente)</t>
  </si>
  <si>
    <t>O bien</t>
  </si>
  <si>
    <t>108,000 requerimientos anuales</t>
  </si>
  <si>
    <t xml:space="preserve">360 días en el año </t>
  </si>
  <si>
    <t>300 unidades en el inventario</t>
  </si>
  <si>
    <t>300 promedio diario de consumo</t>
  </si>
  <si>
    <t>día de oferta como remanente en el inventario</t>
  </si>
  <si>
    <t>(50 CONSUMO DIARIO MÁXIMO - 40 CONSUMO DIARIO PROMEDIO)</t>
  </si>
  <si>
    <t>(40 u Consumo diario promedio  X 18 días de plazo de entrega)</t>
  </si>
  <si>
    <t>Suponiendo que no se mantiene un inventario de seguridad y que el nivel actual del inventario de estas piezas es de 300 unidades ¿Cuándo debería colocarse el siguiente pedido?</t>
  </si>
  <si>
    <t>x( 2 días de suministro de cada orden) =</t>
  </si>
  <si>
    <t>CANTIDAD ECONÓMICA POR ORDENAR</t>
  </si>
  <si>
    <t xml:space="preserve">EJERCICIO 1 </t>
  </si>
  <si>
    <t xml:space="preserve">DEMANDA </t>
  </si>
  <si>
    <t>COSTO DE ORDENAR,LEVANTAMIENTO O COLOCACIÓN</t>
  </si>
  <si>
    <t xml:space="preserve"> = √</t>
  </si>
  <si>
    <t>CANTIDAD ECONOMICA POR ORDENAR</t>
  </si>
  <si>
    <t>No. de Pedidos=</t>
  </si>
  <si>
    <t>DEMANDA / EOQ</t>
  </si>
  <si>
    <t>pedidos</t>
  </si>
  <si>
    <t>EJERCICIO 2</t>
  </si>
  <si>
    <r>
      <t xml:space="preserve">DEMANDA </t>
    </r>
    <r>
      <rPr>
        <b/>
        <sz val="12"/>
        <color theme="1"/>
        <rFont val="Calibri"/>
        <family val="2"/>
        <scheme val="minor"/>
      </rPr>
      <t>TRIMESTRAL</t>
    </r>
  </si>
  <si>
    <t>DEMANDA ANUAL</t>
  </si>
  <si>
    <t xml:space="preserve">COSTO DE ORDENAR </t>
  </si>
  <si>
    <t>EJERCICIO 3</t>
  </si>
  <si>
    <r>
      <t xml:space="preserve">DEMANDA </t>
    </r>
    <r>
      <rPr>
        <b/>
        <sz val="12"/>
        <color theme="1"/>
        <rFont val="Calibri"/>
        <family val="2"/>
        <scheme val="minor"/>
      </rPr>
      <t>CUATRIMETRAL</t>
    </r>
  </si>
  <si>
    <t>EJERCICIO 4</t>
  </si>
  <si>
    <t xml:space="preserve">DEMANDA BIMESTRAL </t>
  </si>
  <si>
    <t>DÍAS</t>
  </si>
  <si>
    <t>SALARIO DIARIO</t>
  </si>
  <si>
    <t>DIAS DEL AÑO</t>
  </si>
  <si>
    <t>COMEDOR</t>
  </si>
  <si>
    <t>SÁBADOS</t>
  </si>
  <si>
    <t>DESPENSA</t>
  </si>
  <si>
    <t>DOMINGOS</t>
  </si>
  <si>
    <t>PRIMA VACACIONAL</t>
  </si>
  <si>
    <t>DESCANDO</t>
  </si>
  <si>
    <t>AGUINALDO</t>
  </si>
  <si>
    <t>VACACIONES</t>
  </si>
  <si>
    <t>CUOTA PATRONAL SEGURO ENFERMEDAD Y MATERNIDAD</t>
  </si>
  <si>
    <t>ENFERMEDAD Y PERMISO</t>
  </si>
  <si>
    <t>CUOTA PATRONAL SEGURO DE INVALIDEZ Y VIDA</t>
  </si>
  <si>
    <t>TOTAL DÍAS LABORALES</t>
  </si>
  <si>
    <t>CUOTA PATRONAL SEGURO DE CESANTÍA EN EDAD AVANZADA Y VEJEZ</t>
  </si>
  <si>
    <t>CUOTA PATRONAL SEGURO DE RIESGO DE TRABAJO</t>
  </si>
  <si>
    <t>CUOTA PATRONAL SEGURO DE GUARDERIA Y PRESTACIONES SOCIALES</t>
  </si>
  <si>
    <t>CUOTA PATRONAL SEGURO DE RETIRO</t>
  </si>
  <si>
    <t>CUOTA PATRONAL INFONAVIT</t>
  </si>
  <si>
    <t>PRIMA DE ANTIGÜEDAD</t>
  </si>
  <si>
    <t>IMPTO.S/NÓMINA</t>
  </si>
  <si>
    <t>COSTOS DIARIO</t>
  </si>
  <si>
    <t>COSTO ANUAL</t>
  </si>
  <si>
    <t>COSTO POR DIA LABORALES ( 228)</t>
  </si>
  <si>
    <t>COSTO POR HORA HOMBRE ( H-H) EN DÍA LABORABLE</t>
  </si>
  <si>
    <t xml:space="preserve">DATOS </t>
  </si>
  <si>
    <t>HRS. REALES LABORADAS</t>
  </si>
  <si>
    <t>SUELDO MENSUAL DEL TRABAJADOR 8,000.-</t>
  </si>
  <si>
    <t>3.-HPLM</t>
  </si>
  <si>
    <t>DIAS DOMINICALES</t>
  </si>
  <si>
    <t>DIAS FESTIVOS</t>
  </si>
  <si>
    <t>DIAS DE VACACIONES</t>
  </si>
  <si>
    <t>PROMEDIO DE INCAPACIDAD</t>
  </si>
  <si>
    <t>DIAS LABORALES</t>
  </si>
  <si>
    <t>OBTEN:</t>
  </si>
  <si>
    <t>HRS.LAB DIARIAS</t>
  </si>
  <si>
    <t>1.-</t>
  </si>
  <si>
    <t>HPLM</t>
  </si>
  <si>
    <t>HRS. LABORALES EN EL AÑO</t>
  </si>
  <si>
    <t>2.-</t>
  </si>
  <si>
    <t>TOTAL DE HRS. OCIOSAS</t>
  </si>
  <si>
    <t xml:space="preserve"> /12</t>
  </si>
  <si>
    <t>3.-</t>
  </si>
  <si>
    <t>PORCENTAJE DE CAPACIDAD OCIOSA</t>
  </si>
  <si>
    <t>HRS LABORABLES EN EL MES</t>
  </si>
  <si>
    <t>4.-</t>
  </si>
  <si>
    <t>COSTO DE CPACIDAD OCIOSA</t>
  </si>
  <si>
    <t>HRS. INACTIVAS LABORABLES (7%)</t>
  </si>
  <si>
    <t>Total de horas ociosas:</t>
  </si>
  <si>
    <t xml:space="preserve"> =168 hrs. – 160 hrs. = 8 hrs</t>
  </si>
  <si>
    <t>horas</t>
  </si>
  <si>
    <t>Porcentaje de capacidad ociosa:</t>
  </si>
  <si>
    <t xml:space="preserve"> =8 hrs ÷ 168 hrs * 100 </t>
  </si>
  <si>
    <t xml:space="preserve">Costo de la capacidad ociosa: </t>
  </si>
  <si>
    <t xml:space="preserve"> =15, 000.- * 4.76 % </t>
  </si>
  <si>
    <t>SIMULADOR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</si>
  <si>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</si>
  <si>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</si>
  <si>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</si>
  <si>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</si>
  <si>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</si>
  <si>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</si>
  <si>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</si>
  <si>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</si>
  <si>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JUGUETES CONTEMPORÁNEOS, S.A. DE C.V.</t>
  </si>
  <si>
    <t xml:space="preserve">ESTADO DE COSTO DE PRODUCCIÓN Y VENTAS </t>
  </si>
  <si>
    <t>IIMPD</t>
  </si>
  <si>
    <t>(EXPRESADOS EN PESOS)</t>
  </si>
  <si>
    <t>VENTAS</t>
  </si>
  <si>
    <t xml:space="preserve">INVENTARIO INICIAL DE MATERIA PRIMA DIRECTA </t>
  </si>
  <si>
    <t>IFMPD</t>
  </si>
  <si>
    <t>+</t>
  </si>
  <si>
    <t xml:space="preserve">COMPRAS DE MATERIA PRIMA DIRECTA </t>
  </si>
  <si>
    <t>BANCOS</t>
  </si>
  <si>
    <t>=</t>
  </si>
  <si>
    <t xml:space="preserve">MATERIA PRIMA DIRECTA DISPONIBLE </t>
  </si>
  <si>
    <t>GTOS. DE VENTA</t>
  </si>
  <si>
    <t>-</t>
  </si>
  <si>
    <t xml:space="preserve">INVENTARIO FINAL DE MATERIA PRIMA DIRECTA </t>
  </si>
  <si>
    <t>CI</t>
  </si>
  <si>
    <t>MATERIA PRIMA DIRECTA UTILIZADA</t>
  </si>
  <si>
    <t>GTOS. DE ADMON.</t>
  </si>
  <si>
    <t xml:space="preserve">MANO DE OBRA DIRECTA </t>
  </si>
  <si>
    <t>COSTO PRIMO</t>
  </si>
  <si>
    <t>IIPP</t>
  </si>
  <si>
    <t xml:space="preserve">COSTOS INDIRECTOS </t>
  </si>
  <si>
    <t xml:space="preserve">COSTO DE LA PRODUCCIÓN PROCESADA </t>
  </si>
  <si>
    <t>CAPITAL SOCIAL</t>
  </si>
  <si>
    <t xml:space="preserve">INVENTARIO INICIAL DE PRODUCCIÓN EN PROCESO </t>
  </si>
  <si>
    <t>IFPP</t>
  </si>
  <si>
    <t xml:space="preserve">COSTO DE PRODUCCIÓN EN PROCESO DISPONIBLE </t>
  </si>
  <si>
    <t>UTILIDADES ACUMULADAS</t>
  </si>
  <si>
    <t xml:space="preserve">INVENTARIO FINAL DE PRODUCCIÓN EN PROCESO </t>
  </si>
  <si>
    <t>IIAT</t>
  </si>
  <si>
    <t>COSTO DE LA PRODUCCIÓN TERMINADA</t>
  </si>
  <si>
    <t>IMPUESTOS</t>
  </si>
  <si>
    <t xml:space="preserve">INVENTARIO INICIAL DE ARTÍCULOS TERMINADOS </t>
  </si>
  <si>
    <t>IFAT</t>
  </si>
  <si>
    <t xml:space="preserve">PRODUCCIÓN TERMINADA DISPONIBLE </t>
  </si>
  <si>
    <t>COMPRAS DE MPD</t>
  </si>
  <si>
    <t>INVENTARIO FINAL DE ARTÍCULOS TERMINADOS</t>
  </si>
  <si>
    <t>MOD</t>
  </si>
  <si>
    <t xml:space="preserve">COSTO DE VENTAS </t>
  </si>
  <si>
    <t>OTROS ACTIVOS INTANGIBLES</t>
  </si>
  <si>
    <t>ELABORÓ</t>
  </si>
  <si>
    <t>REVISÓ</t>
  </si>
  <si>
    <t>AUTORIZÓ</t>
  </si>
  <si>
    <t>Estado de resultados Integral</t>
  </si>
  <si>
    <t>UTILIDAD BRUTA</t>
  </si>
  <si>
    <t>GATOS DE VENTA</t>
  </si>
  <si>
    <t>GASTOS DE ADMINISTRACIÓN</t>
  </si>
  <si>
    <t>UTILIDAD DE OPERACIÓN</t>
  </si>
  <si>
    <t>UTILIDAD DELEJERCICIO</t>
  </si>
  <si>
    <t>Estado de Situación Financiera</t>
  </si>
  <si>
    <t>ACTIVO</t>
  </si>
  <si>
    <t>PASIVO</t>
  </si>
  <si>
    <t>Corto plazo</t>
  </si>
  <si>
    <t>Corto Plazo</t>
  </si>
  <si>
    <t>Impuestos por pagar</t>
  </si>
  <si>
    <t xml:space="preserve">Suma de Pasivo </t>
  </si>
  <si>
    <t>Total de Activo a corto plazo</t>
  </si>
  <si>
    <t>Largo Plazo</t>
  </si>
  <si>
    <t>CAPITAL CONTABLE</t>
  </si>
  <si>
    <t>Planta de Proceso</t>
  </si>
  <si>
    <t>Capital Social</t>
  </si>
  <si>
    <t>Otros Activos intangibles</t>
  </si>
  <si>
    <t>Utilidades Acumuladas</t>
  </si>
  <si>
    <t>Utilidad del Ejercicio</t>
  </si>
  <si>
    <t>Total de Activo a Largo Plazo</t>
  </si>
  <si>
    <t>Suma de Capital Contable</t>
  </si>
  <si>
    <t>Suma Total de Activo</t>
  </si>
  <si>
    <t>Suma de Pasivo + Capital</t>
  </si>
  <si>
    <t>DATOS</t>
  </si>
  <si>
    <t>Cargos Indirectos Costeo (ABC)</t>
  </si>
  <si>
    <t>Cargos indirectos Costeo (ABC)</t>
  </si>
  <si>
    <t>Concepto</t>
  </si>
  <si>
    <t>Producto X</t>
  </si>
  <si>
    <t>Producto Y</t>
  </si>
  <si>
    <t>Producto Z</t>
  </si>
  <si>
    <t>Determinación de costo unitario</t>
  </si>
  <si>
    <t xml:space="preserve">Producto Y </t>
  </si>
  <si>
    <t>No.</t>
  </si>
  <si>
    <t>$</t>
  </si>
  <si>
    <t>Unidades producidas y/o vendidas</t>
  </si>
  <si>
    <t>Materia prima</t>
  </si>
  <si>
    <t>Depreciación y mantenimiento de las máquinas</t>
  </si>
  <si>
    <t xml:space="preserve">Costo de materiales directos por unidad </t>
  </si>
  <si>
    <t>Mano de obra</t>
  </si>
  <si>
    <t>Costos de recepción</t>
  </si>
  <si>
    <t>Costo de mano de obra directa por unidad</t>
  </si>
  <si>
    <t>Cargos indirectos</t>
  </si>
  <si>
    <t>Costos de ingeniería</t>
  </si>
  <si>
    <t>H/M requeridos por unidad</t>
  </si>
  <si>
    <t>Total</t>
  </si>
  <si>
    <t>Costos de carga de las máquinas</t>
  </si>
  <si>
    <t>Costos de inspección</t>
  </si>
  <si>
    <t>Driver</t>
  </si>
  <si>
    <t>Porducto Y</t>
  </si>
  <si>
    <t>Número por línea de producto</t>
  </si>
  <si>
    <t>Órdenes de recepción</t>
  </si>
  <si>
    <t>Método tradicional</t>
  </si>
  <si>
    <t>Cargos indirectos/Hora máquina</t>
  </si>
  <si>
    <t>Órdenes de producción</t>
  </si>
  <si>
    <t>Tasa de asignación por horas máquina</t>
  </si>
  <si>
    <t>Corridas de producción</t>
  </si>
  <si>
    <t>Inspecciones</t>
  </si>
  <si>
    <t>Asiganción cargos indirectos</t>
  </si>
  <si>
    <t>H/M</t>
  </si>
  <si>
    <t xml:space="preserve">Tasa </t>
  </si>
  <si>
    <t>Total unitario</t>
  </si>
  <si>
    <t>Tasa de asignación por ódenes de recepción</t>
  </si>
  <si>
    <t>Concentrado por unidad</t>
  </si>
  <si>
    <t>Actividad 2</t>
  </si>
  <si>
    <t>Unidades</t>
  </si>
  <si>
    <t>Costo unitario</t>
  </si>
  <si>
    <t xml:space="preserve">Costos de recepción / Órdenes de recepción </t>
  </si>
  <si>
    <t>Comparativo de asiganción de costos</t>
  </si>
  <si>
    <t>Tasa de asignación por ódenes de producción</t>
  </si>
  <si>
    <t>Actividad 3</t>
  </si>
  <si>
    <t>Método ABC</t>
  </si>
  <si>
    <t>Costos de ingeniería / Órdenes de producción</t>
  </si>
  <si>
    <t>Sobrecosteado</t>
  </si>
  <si>
    <t>Subcosteado</t>
  </si>
  <si>
    <t>Determinación del costo unitario ABC</t>
  </si>
  <si>
    <t>Materia prima directa</t>
  </si>
  <si>
    <t>Mano de obra directa</t>
  </si>
  <si>
    <t>Costos indirectos</t>
  </si>
  <si>
    <t>Tasa de asignación por corridas de producción</t>
  </si>
  <si>
    <t>Actividad 4</t>
  </si>
  <si>
    <t>Costos de carga de maquinas / Corridas de producción</t>
  </si>
  <si>
    <t>Tasa de asignación por inspecciones</t>
  </si>
  <si>
    <t>Actividad 5</t>
  </si>
  <si>
    <t>Costos de inspección / Inspecciones</t>
  </si>
  <si>
    <t>Tasa de asignación por Horas Máquina</t>
  </si>
  <si>
    <t>Actividad 1</t>
  </si>
  <si>
    <t>Depreciación y mantenimiento de máquinas</t>
  </si>
  <si>
    <t>Depreciación y mantenimiento / Horas Máquina</t>
  </si>
  <si>
    <t>Inventario de Mataria Prima</t>
  </si>
  <si>
    <t>Inventario de PP</t>
  </si>
  <si>
    <t>Inventario de Art.Terminados</t>
  </si>
  <si>
    <t>TOTAL</t>
  </si>
  <si>
    <t>DATOS PRESUPUESTADOS DE LAS LINEAS DE PRODUCTOS Y REGIONES</t>
  </si>
  <si>
    <t>Producto A</t>
  </si>
  <si>
    <t>Producto B</t>
  </si>
  <si>
    <t xml:space="preserve">Region Norte </t>
  </si>
  <si>
    <t>Region Sur</t>
  </si>
  <si>
    <t>Precio de venta</t>
  </si>
  <si>
    <t>Costo unitario de producción</t>
  </si>
  <si>
    <t>Embarques</t>
  </si>
  <si>
    <t>Unidades manejadas</t>
  </si>
  <si>
    <t>Ordenes de los clientes</t>
  </si>
  <si>
    <t>Devoluciones</t>
  </si>
  <si>
    <t>Unidades en almácen</t>
  </si>
  <si>
    <t>Unidades vendidas</t>
  </si>
  <si>
    <t>A</t>
  </si>
  <si>
    <t>B</t>
  </si>
  <si>
    <t>Cuentas vendidas</t>
  </si>
  <si>
    <t>Llamadas de venta</t>
  </si>
  <si>
    <t>Artículos de oficina</t>
  </si>
  <si>
    <t>Pulgadas de los espacios periodisticos para publicidad</t>
  </si>
  <si>
    <t>DRIVERS PRESUPUESTADOS POR REGIÓN</t>
  </si>
  <si>
    <t>COSTOS UNITARIOS PRESUPUESTADOS PARA LOS GENERADORES ABC</t>
  </si>
  <si>
    <t>Variables</t>
  </si>
  <si>
    <t>Fijos</t>
  </si>
  <si>
    <t>Actividad comercializadora</t>
  </si>
  <si>
    <t>DRIVERS</t>
  </si>
  <si>
    <t>Total de generadores ABC</t>
  </si>
  <si>
    <t>Unitario</t>
  </si>
  <si>
    <t xml:space="preserve">Total </t>
  </si>
  <si>
    <t>Almacenamiento y manejo</t>
  </si>
  <si>
    <t xml:space="preserve">  Costos Variables:</t>
  </si>
  <si>
    <t xml:space="preserve">    Recepción</t>
  </si>
  <si>
    <t xml:space="preserve">    Fijación de precio    etiquetado y marcado</t>
  </si>
  <si>
    <t xml:space="preserve">    Clasificación</t>
  </si>
  <si>
    <t xml:space="preserve">    Devoluciones manejadas</t>
  </si>
  <si>
    <t xml:space="preserve">    Tomas fisicas de inventarios</t>
  </si>
  <si>
    <t xml:space="preserve">    Tramites de oficina de las ordenes de embarque</t>
  </si>
  <si>
    <r>
      <t xml:space="preserve">  </t>
    </r>
    <r>
      <rPr>
        <b/>
        <u/>
        <sz val="11"/>
        <color theme="1"/>
        <rFont val="Leelawadee"/>
      </rPr>
      <t>Costos Fijos:</t>
    </r>
  </si>
  <si>
    <t xml:space="preserve"> A</t>
  </si>
  <si>
    <t xml:space="preserve"> B</t>
  </si>
  <si>
    <t>Renta</t>
  </si>
  <si>
    <t>Depreciación</t>
  </si>
  <si>
    <t>Transporte</t>
  </si>
  <si>
    <t>Crédito y cobranza</t>
  </si>
  <si>
    <t>Actividades generales de comercialización</t>
  </si>
  <si>
    <t>Ventas personales</t>
  </si>
  <si>
    <t>Publicidad y promociones de venta</t>
  </si>
  <si>
    <t>Análisis de rentabilidad por línea de producto</t>
  </si>
  <si>
    <t xml:space="preserve">Ingresos x venta </t>
  </si>
  <si>
    <t>Costo de Venta</t>
  </si>
  <si>
    <t>Utilidad Bruta</t>
  </si>
  <si>
    <t>Gastos de operación:</t>
  </si>
  <si>
    <t xml:space="preserve">    Devolcuiones manejadas</t>
  </si>
  <si>
    <t xml:space="preserve">    Renta</t>
  </si>
  <si>
    <t>Total de gastos operativos</t>
  </si>
  <si>
    <t>Utilidad de operación</t>
  </si>
  <si>
    <t>Análisis de rentabilidad por región</t>
  </si>
  <si>
    <t>Región Norte</t>
  </si>
  <si>
    <t>Región Sur</t>
  </si>
  <si>
    <t>BRAITZ, S.A. DE C.V.</t>
  </si>
  <si>
    <t>MPI</t>
  </si>
  <si>
    <t>MOI</t>
  </si>
  <si>
    <t>LUZ</t>
  </si>
  <si>
    <t>DEPRECIACIONES FABRILES</t>
  </si>
  <si>
    <t>GASTOS GENERALES</t>
  </si>
  <si>
    <t>EJERCICIO: Con la siguiente información calcula el costo de venta correspondiente al periodo del :01/01/2023  al  28/04/2023.</t>
  </si>
  <si>
    <t>CIFRAS</t>
  </si>
  <si>
    <r>
      <t>DEL</t>
    </r>
    <r>
      <rPr>
        <b/>
        <u/>
        <sz val="14"/>
        <color theme="1"/>
        <rFont val="Arial"/>
        <family val="2"/>
      </rPr>
      <t xml:space="preserve">  01</t>
    </r>
    <r>
      <rPr>
        <b/>
        <sz val="14"/>
        <color theme="1"/>
        <rFont val="Arial"/>
        <family val="2"/>
      </rPr>
      <t xml:space="preserve">   DE ENERO AL</t>
    </r>
    <r>
      <rPr>
        <b/>
        <u/>
        <sz val="14"/>
        <color theme="1"/>
        <rFont val="Arial"/>
        <family val="2"/>
      </rPr>
      <t xml:space="preserve"> 28 ABRIL</t>
    </r>
    <r>
      <rPr>
        <b/>
        <sz val="14"/>
        <color theme="1"/>
        <rFont val="Arial"/>
        <family val="2"/>
      </rPr>
      <t xml:space="preserve"> DEL 2023.</t>
    </r>
  </si>
  <si>
    <t>CUENTAS POR COBRAR A CLIENTES</t>
  </si>
  <si>
    <t>CUENTAS POR PAGAR A PROVEEDORES</t>
  </si>
  <si>
    <t>PLANTAS DE PROCESOS</t>
  </si>
  <si>
    <t>%</t>
  </si>
  <si>
    <t>GASTOS GENERALES ( NOTA 1)</t>
  </si>
  <si>
    <t>NOTA 1</t>
  </si>
  <si>
    <r>
      <t xml:space="preserve"> AL</t>
    </r>
    <r>
      <rPr>
        <b/>
        <u/>
        <sz val="14"/>
        <color theme="1"/>
        <rFont val="Arial"/>
        <family val="2"/>
      </rPr>
      <t xml:space="preserve"> 28</t>
    </r>
    <r>
      <rPr>
        <b/>
        <sz val="14"/>
        <color theme="1"/>
        <rFont val="Arial"/>
        <family val="2"/>
      </rPr>
      <t xml:space="preserve"> DE ABRIL DEL 2023</t>
    </r>
  </si>
  <si>
    <t>Efectivo y equivalentes de Efectivo</t>
  </si>
  <si>
    <t>Cuentas por pagar a proveedores</t>
  </si>
  <si>
    <t>Cuentas por cobrar a clientes</t>
  </si>
  <si>
    <t>Inventarios ( Nota 1)</t>
  </si>
  <si>
    <t>Nota 1</t>
  </si>
  <si>
    <t>Centro de Costos</t>
  </si>
  <si>
    <t>Cta.Entidad</t>
  </si>
  <si>
    <t>Descripción Cta.</t>
  </si>
  <si>
    <t>Importe</t>
  </si>
  <si>
    <t>Cta.</t>
  </si>
  <si>
    <r>
      <t>60</t>
    </r>
    <r>
      <rPr>
        <b/>
        <sz val="11"/>
        <color theme="1"/>
        <rFont val="Calibri"/>
        <family val="2"/>
        <scheme val="minor"/>
      </rPr>
      <t>67</t>
    </r>
    <r>
      <rPr>
        <sz val="11"/>
        <color theme="1"/>
        <rFont val="Calibri"/>
        <family val="2"/>
        <scheme val="minor"/>
      </rPr>
      <t>-000-00</t>
    </r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</si>
  <si>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-104</t>
    </r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</si>
  <si>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-204</t>
    </r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</si>
  <si>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-304</t>
    </r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</si>
  <si>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-404</t>
    </r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</si>
  <si>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-504</t>
    </r>
  </si>
  <si>
    <r>
      <t>60</t>
    </r>
    <r>
      <rPr>
        <b/>
        <sz val="11"/>
        <color theme="1"/>
        <rFont val="Calibri"/>
        <family val="2"/>
        <scheme val="minor"/>
      </rPr>
      <t>68</t>
    </r>
    <r>
      <rPr>
        <sz val="11"/>
        <color theme="1"/>
        <rFont val="Calibri"/>
        <family val="2"/>
        <scheme val="minor"/>
      </rPr>
      <t>-000-00</t>
    </r>
  </si>
  <si>
    <t>3020-000-00</t>
  </si>
  <si>
    <t>Inventario</t>
  </si>
  <si>
    <r>
      <rPr>
        <b/>
        <sz val="11"/>
        <color theme="1"/>
        <rFont val="Calibri"/>
        <family val="2"/>
        <scheme val="minor"/>
      </rPr>
      <t>120</t>
    </r>
    <r>
      <rPr>
        <sz val="11"/>
        <color theme="1"/>
        <rFont val="Calibri"/>
        <family val="2"/>
        <scheme val="minor"/>
      </rPr>
      <t>-001</t>
    </r>
  </si>
  <si>
    <t>Materia Prima</t>
  </si>
  <si>
    <r>
      <rPr>
        <b/>
        <sz val="11"/>
        <color theme="1"/>
        <rFont val="Calibri"/>
        <family val="2"/>
        <scheme val="minor"/>
      </rPr>
      <t>120</t>
    </r>
    <r>
      <rPr>
        <sz val="11"/>
        <color theme="1"/>
        <rFont val="Calibri"/>
        <family val="2"/>
        <scheme val="minor"/>
      </rPr>
      <t>-002</t>
    </r>
  </si>
  <si>
    <t>Producción en Proceso</t>
  </si>
  <si>
    <r>
      <rPr>
        <b/>
        <sz val="11"/>
        <color theme="1"/>
        <rFont val="Calibri"/>
        <family val="2"/>
        <scheme val="minor"/>
      </rPr>
      <t>120</t>
    </r>
    <r>
      <rPr>
        <sz val="11"/>
        <color theme="1"/>
        <rFont val="Calibri"/>
        <family val="2"/>
        <scheme val="minor"/>
      </rPr>
      <t>-003</t>
    </r>
  </si>
  <si>
    <t>Artìculos Terminados</t>
  </si>
  <si>
    <t xml:space="preserve"> 2 (DEMANDA * COSTO DE ORDENAR)</t>
  </si>
  <si>
    <r>
      <t>DEL</t>
    </r>
    <r>
      <rPr>
        <b/>
        <u/>
        <sz val="10"/>
        <color theme="1"/>
        <rFont val="Arial"/>
        <family val="2"/>
      </rPr>
      <t xml:space="preserve">  01</t>
    </r>
    <r>
      <rPr>
        <b/>
        <sz val="10"/>
        <color theme="1"/>
        <rFont val="Arial"/>
        <family val="2"/>
      </rPr>
      <t xml:space="preserve">   DE ENERO AL</t>
    </r>
    <r>
      <rPr>
        <b/>
        <u/>
        <sz val="10"/>
        <color theme="1"/>
        <rFont val="Arial"/>
        <family val="2"/>
      </rPr>
      <t xml:space="preserve"> 28</t>
    </r>
    <r>
      <rPr>
        <b/>
        <sz val="10"/>
        <color theme="1"/>
        <rFont val="Arial"/>
        <family val="2"/>
      </rPr>
      <t xml:space="preserve"> DE ABRIL DEL 2023.</t>
    </r>
  </si>
  <si>
    <t>PP- Jalapa</t>
  </si>
  <si>
    <t>PP - Veracruz</t>
  </si>
  <si>
    <t>PP - Tampico</t>
  </si>
  <si>
    <t>PP -Morelia</t>
  </si>
  <si>
    <t>PP - San Luis</t>
  </si>
  <si>
    <t>CARGOS INDIRECTOS</t>
  </si>
  <si>
    <t>PLANTA DE PROCESO  1</t>
  </si>
  <si>
    <t>6000-000-00</t>
  </si>
  <si>
    <t>100-001</t>
  </si>
  <si>
    <t>100-002</t>
  </si>
  <si>
    <t>100-003</t>
  </si>
  <si>
    <t>Mano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</si>
</sst>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$-80A]* #,##0.00_-;\-[$$-80A]* #,##0.00_-;_-[$$-80A]* &quot;-&quot;??_-;_-@_-"/>
    <numFmt numFmtId="166" formatCode="_(&quot;$&quot;* #,##0.00_);_(&quot;$&quot;* \(#,##0.00\);_(&quot;$&quot;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C2F34"/>
      <name val="Segoe UI"/>
      <family val="2"/>
    </font>
    <font>
      <i/>
      <sz val="11"/>
      <color rgb="FF2C2F34"/>
      <name val="Segoe UI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.5"/>
      <color rgb="FF323232"/>
      <name val="Helvetica LT Std"/>
    </font>
    <font>
      <sz val="10.5"/>
      <color rgb="FF323232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Leelawadee"/>
      <family val="2"/>
      <charset val="222"/>
    </font>
    <font>
      <b/>
      <sz val="11"/>
      <color theme="1"/>
      <name val="Leelawadee"/>
      <family val="2"/>
      <charset val="222"/>
    </font>
    <font>
      <b/>
      <sz val="11"/>
      <color theme="1"/>
      <name val="Leelawadee"/>
    </font>
    <font>
      <b/>
      <sz val="11"/>
      <color theme="0"/>
      <name val="Leelawadee"/>
      <family val="2"/>
      <charset val="222"/>
    </font>
    <font>
      <b/>
      <u/>
      <sz val="11"/>
      <color theme="1"/>
      <name val="Leelawadee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4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43" fontId="0" fillId="0" borderId="5" xfId="0" applyNumberFormat="1" applyBorder="1"/>
    <xf numFmtId="0" fontId="0" fillId="0" borderId="6" xfId="0" applyBorder="1"/>
    <xf numFmtId="0" fontId="0" fillId="0" borderId="0" xfId="0" applyBorder="1" applyAlignment="1">
      <alignment horizontal="center"/>
    </xf>
    <xf numFmtId="43" fontId="0" fillId="0" borderId="0" xfId="0" applyNumberFormat="1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Border="1" applyAlignment="1">
      <alignment horizontal="right"/>
    </xf>
    <xf numFmtId="164" fontId="0" fillId="0" borderId="0" xfId="1" applyNumberFormat="1" applyFont="1" applyBorder="1"/>
    <xf numFmtId="0" fontId="2" fillId="0" borderId="7" xfId="0" applyFont="1" applyBorder="1" applyAlignment="1">
      <alignment horizontal="center"/>
    </xf>
    <xf numFmtId="164" fontId="0" fillId="0" borderId="7" xfId="1" applyNumberFormat="1" applyFont="1" applyBorder="1" applyAlignment="1"/>
    <xf numFmtId="0" fontId="2" fillId="0" borderId="7" xfId="0" applyFont="1" applyBorder="1"/>
    <xf numFmtId="0" fontId="0" fillId="0" borderId="10" xfId="0" applyBorder="1"/>
    <xf numFmtId="0" fontId="0" fillId="0" borderId="5" xfId="0" applyBorder="1"/>
    <xf numFmtId="9" fontId="0" fillId="0" borderId="5" xfId="3" applyFont="1" applyBorder="1"/>
    <xf numFmtId="9" fontId="0" fillId="0" borderId="0" xfId="3" applyFont="1" applyBorder="1"/>
    <xf numFmtId="0" fontId="2" fillId="0" borderId="5" xfId="0" applyFont="1" applyBorder="1" applyAlignment="1">
      <alignment horizontal="center" vertical="center" wrapText="1"/>
    </xf>
    <xf numFmtId="164" fontId="0" fillId="0" borderId="5" xfId="0" applyNumberFormat="1" applyBorder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 applyBorder="1"/>
    <xf numFmtId="0" fontId="0" fillId="0" borderId="7" xfId="0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0" fontId="2" fillId="0" borderId="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16" xfId="0" applyFont="1" applyBorder="1"/>
    <xf numFmtId="0" fontId="2" fillId="0" borderId="17" xfId="0" applyFont="1" applyBorder="1"/>
    <xf numFmtId="164" fontId="0" fillId="0" borderId="1" xfId="1" applyNumberFormat="1" applyFont="1" applyBorder="1" applyAlignment="1"/>
    <xf numFmtId="0" fontId="0" fillId="0" borderId="14" xfId="0" applyBorder="1" applyAlignment="1">
      <alignment horizontal="right"/>
    </xf>
    <xf numFmtId="164" fontId="0" fillId="0" borderId="9" xfId="1" applyNumberFormat="1" applyFont="1" applyBorder="1" applyAlignment="1"/>
    <xf numFmtId="164" fontId="2" fillId="0" borderId="16" xfId="1" applyNumberFormat="1" applyFont="1" applyBorder="1" applyAlignment="1"/>
    <xf numFmtId="0" fontId="0" fillId="0" borderId="18" xfId="0" applyBorder="1"/>
    <xf numFmtId="0" fontId="0" fillId="0" borderId="19" xfId="0" applyBorder="1"/>
    <xf numFmtId="0" fontId="0" fillId="0" borderId="20" xfId="0" applyBorder="1"/>
    <xf numFmtId="164" fontId="0" fillId="0" borderId="7" xfId="1" applyNumberFormat="1" applyFont="1" applyBorder="1"/>
    <xf numFmtId="164" fontId="0" fillId="0" borderId="0" xfId="1" applyNumberFormat="1" applyFont="1"/>
    <xf numFmtId="0" fontId="0" fillId="0" borderId="7" xfId="0" applyBorder="1"/>
    <xf numFmtId="43" fontId="0" fillId="0" borderId="0" xfId="0" applyNumberFormat="1" applyBorder="1" applyAlignment="1">
      <alignment horizontal="centerContinuous" vertical="center" wrapText="1"/>
    </xf>
    <xf numFmtId="0" fontId="2" fillId="0" borderId="0" xfId="0" applyFont="1"/>
    <xf numFmtId="0" fontId="0" fillId="0" borderId="22" xfId="0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2" xfId="0" applyFill="1" applyBorder="1"/>
    <xf numFmtId="0" fontId="0" fillId="0" borderId="23" xfId="0" applyBorder="1"/>
    <xf numFmtId="0" fontId="0" fillId="2" borderId="0" xfId="0" applyFill="1" applyBorder="1"/>
    <xf numFmtId="0" fontId="0" fillId="2" borderId="15" xfId="0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0" fillId="0" borderId="25" xfId="0" applyBorder="1"/>
    <xf numFmtId="164" fontId="2" fillId="4" borderId="10" xfId="1" applyNumberFormat="1" applyFont="1" applyFill="1" applyBorder="1" applyAlignment="1"/>
    <xf numFmtId="0" fontId="2" fillId="4" borderId="26" xfId="0" applyFont="1" applyFill="1" applyBorder="1"/>
    <xf numFmtId="0" fontId="0" fillId="4" borderId="5" xfId="0" applyFill="1" applyBorder="1"/>
    <xf numFmtId="0" fontId="0" fillId="4" borderId="6" xfId="0" applyFill="1" applyBorder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5" borderId="1" xfId="0" applyFill="1" applyBorder="1"/>
    <xf numFmtId="0" fontId="0" fillId="5" borderId="9" xfId="0" applyFill="1" applyBorder="1"/>
    <xf numFmtId="164" fontId="0" fillId="5" borderId="1" xfId="1" applyNumberFormat="1" applyFont="1" applyFill="1" applyBorder="1" applyAlignment="1"/>
    <xf numFmtId="164" fontId="0" fillId="5" borderId="24" xfId="1" applyNumberFormat="1" applyFont="1" applyFill="1" applyBorder="1" applyAlignment="1"/>
    <xf numFmtId="0" fontId="0" fillId="0" borderId="0" xfId="0" applyFont="1"/>
    <xf numFmtId="0" fontId="7" fillId="0" borderId="1" xfId="0" applyFont="1" applyFill="1" applyBorder="1"/>
    <xf numFmtId="0" fontId="5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9" xfId="0" applyFont="1" applyFill="1" applyBorder="1"/>
    <xf numFmtId="164" fontId="7" fillId="0" borderId="0" xfId="1" applyNumberFormat="1" applyFont="1" applyFill="1" applyAlignment="1">
      <alignment horizontal="center"/>
    </xf>
    <xf numFmtId="0" fontId="7" fillId="0" borderId="8" xfId="0" applyFont="1" applyFill="1" applyBorder="1" applyAlignment="1">
      <alignment horizontal="center"/>
    </xf>
    <xf numFmtId="43" fontId="7" fillId="0" borderId="0" xfId="1" applyFont="1" applyFill="1" applyAlignment="1">
      <alignment horizontal="center"/>
    </xf>
    <xf numFmtId="0" fontId="7" fillId="0" borderId="9" xfId="0" applyFont="1" applyFill="1" applyBorder="1" applyAlignment="1">
      <alignment horizontal="right"/>
    </xf>
    <xf numFmtId="0" fontId="7" fillId="0" borderId="10" xfId="0" applyFont="1" applyFill="1" applyBorder="1"/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0" xfId="0" applyFont="1" applyFill="1"/>
    <xf numFmtId="0" fontId="7" fillId="0" borderId="5" xfId="0" applyFont="1" applyFill="1" applyBorder="1"/>
    <xf numFmtId="0" fontId="7" fillId="0" borderId="0" xfId="0" applyFont="1"/>
    <xf numFmtId="164" fontId="7" fillId="0" borderId="5" xfId="1" applyNumberFormat="1" applyFont="1" applyFill="1" applyBorder="1" applyAlignment="1">
      <alignment horizontal="center"/>
    </xf>
    <xf numFmtId="1" fontId="7" fillId="0" borderId="5" xfId="0" applyNumberFormat="1" applyFont="1" applyFill="1" applyBorder="1"/>
    <xf numFmtId="1" fontId="7" fillId="0" borderId="5" xfId="0" applyNumberFormat="1" applyFont="1" applyFill="1" applyBorder="1" applyAlignment="1">
      <alignment horizontal="center"/>
    </xf>
    <xf numFmtId="2" fontId="7" fillId="0" borderId="5" xfId="0" applyNumberFormat="1" applyFont="1" applyFill="1" applyBorder="1"/>
    <xf numFmtId="0" fontId="0" fillId="6" borderId="7" xfId="0" applyFill="1" applyBorder="1"/>
    <xf numFmtId="43" fontId="0" fillId="6" borderId="7" xfId="1" applyFont="1" applyFill="1" applyBorder="1" applyAlignment="1"/>
    <xf numFmtId="0" fontId="0" fillId="0" borderId="7" xfId="0" applyBorder="1" applyAlignment="1">
      <alignment horizontal="left"/>
    </xf>
    <xf numFmtId="164" fontId="0" fillId="0" borderId="7" xfId="0" applyNumberFormat="1" applyBorder="1" applyAlignment="1">
      <alignment horizontal="center"/>
    </xf>
    <xf numFmtId="164" fontId="0" fillId="0" borderId="0" xfId="0" applyNumberFormat="1"/>
    <xf numFmtId="0" fontId="0" fillId="0" borderId="21" xfId="0" applyBorder="1" applyAlignment="1">
      <alignment horizontal="left"/>
    </xf>
    <xf numFmtId="164" fontId="0" fillId="0" borderId="21" xfId="0" applyNumberFormat="1" applyBorder="1" applyAlignment="1">
      <alignment horizontal="center"/>
    </xf>
    <xf numFmtId="0" fontId="2" fillId="0" borderId="28" xfId="0" applyFont="1" applyFill="1" applyBorder="1" applyAlignment="1">
      <alignment horizontal="left"/>
    </xf>
    <xf numFmtId="164" fontId="2" fillId="0" borderId="17" xfId="0" applyNumberFormat="1" applyFont="1" applyBorder="1" applyAlignment="1">
      <alignment horizontal="center"/>
    </xf>
    <xf numFmtId="43" fontId="0" fillId="0" borderId="0" xfId="0" applyNumberFormat="1"/>
    <xf numFmtId="0" fontId="0" fillId="6" borderId="0" xfId="0" applyFill="1"/>
    <xf numFmtId="43" fontId="0" fillId="6" borderId="21" xfId="1" applyFont="1" applyFill="1" applyBorder="1" applyAlignment="1"/>
    <xf numFmtId="0" fontId="2" fillId="6" borderId="28" xfId="0" applyFont="1" applyFill="1" applyBorder="1"/>
    <xf numFmtId="43" fontId="2" fillId="6" borderId="17" xfId="1" applyFont="1" applyFill="1" applyBorder="1" applyAlignment="1"/>
    <xf numFmtId="0" fontId="2" fillId="0" borderId="29" xfId="0" applyFont="1" applyFill="1" applyBorder="1" applyAlignment="1">
      <alignment horizontal="left" vertical="center"/>
    </xf>
    <xf numFmtId="0" fontId="0" fillId="5" borderId="0" xfId="0" applyFill="1" applyAlignment="1">
      <alignment horizontal="right"/>
    </xf>
    <xf numFmtId="0" fontId="0" fillId="5" borderId="0" xfId="0" applyFill="1"/>
    <xf numFmtId="164" fontId="0" fillId="0" borderId="28" xfId="1" applyNumberFormat="1" applyFont="1" applyBorder="1"/>
    <xf numFmtId="0" fontId="0" fillId="4" borderId="0" xfId="0" applyFill="1" applyAlignment="1">
      <alignment horizontal="right"/>
    </xf>
    <xf numFmtId="0" fontId="0" fillId="4" borderId="0" xfId="0" applyFill="1"/>
    <xf numFmtId="43" fontId="0" fillId="0" borderId="28" xfId="0" applyNumberFormat="1" applyBorder="1"/>
    <xf numFmtId="0" fontId="0" fillId="2" borderId="0" xfId="0" applyFill="1" applyAlignment="1">
      <alignment horizontal="right"/>
    </xf>
    <xf numFmtId="0" fontId="0" fillId="2" borderId="0" xfId="0" applyFill="1"/>
    <xf numFmtId="43" fontId="0" fillId="5" borderId="28" xfId="0" applyNumberFormat="1" applyFill="1" applyBorder="1"/>
    <xf numFmtId="0" fontId="9" fillId="0" borderId="0" xfId="0" applyFont="1" applyAlignment="1">
      <alignment horizontal="left" vertical="center" readingOrder="1"/>
    </xf>
    <xf numFmtId="164" fontId="2" fillId="0" borderId="7" xfId="0" applyNumberFormat="1" applyFont="1" applyBorder="1"/>
    <xf numFmtId="0" fontId="8" fillId="4" borderId="0" xfId="0" applyFont="1" applyFill="1" applyAlignment="1">
      <alignment horizontal="left" vertical="center" readingOrder="1"/>
    </xf>
    <xf numFmtId="10" fontId="2" fillId="0" borderId="7" xfId="3" applyNumberFormat="1" applyFont="1" applyBorder="1"/>
    <xf numFmtId="0" fontId="8" fillId="2" borderId="0" xfId="0" applyFont="1" applyFill="1" applyAlignment="1">
      <alignment horizontal="left" vertical="center" readingOrder="1"/>
    </xf>
    <xf numFmtId="43" fontId="2" fillId="0" borderId="7" xfId="0" applyNumberFormat="1" applyFont="1" applyBorder="1"/>
    <xf numFmtId="0" fontId="0" fillId="7" borderId="0" xfId="0" applyFill="1" applyAlignment="1">
      <alignment horizontal="right"/>
    </xf>
    <xf numFmtId="0" fontId="0" fillId="7" borderId="0" xfId="0" applyFill="1"/>
    <xf numFmtId="0" fontId="2" fillId="7" borderId="0" xfId="0" applyFont="1" applyFill="1"/>
    <xf numFmtId="0" fontId="8" fillId="7" borderId="0" xfId="0" applyFont="1" applyFill="1" applyAlignment="1">
      <alignment horizontal="left" vertical="center" readingOrder="1"/>
    </xf>
    <xf numFmtId="0" fontId="2" fillId="8" borderId="28" xfId="0" applyFont="1" applyFill="1" applyBorder="1" applyAlignment="1">
      <alignment horizontal="center"/>
    </xf>
    <xf numFmtId="0" fontId="10" fillId="0" borderId="0" xfId="0" applyFont="1"/>
    <xf numFmtId="0" fontId="11" fillId="6" borderId="11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left"/>
    </xf>
    <xf numFmtId="0" fontId="11" fillId="6" borderId="11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left"/>
    </xf>
    <xf numFmtId="0" fontId="11" fillId="6" borderId="14" xfId="0" applyFont="1" applyFill="1" applyBorder="1" applyAlignment="1">
      <alignment horizontal="center"/>
    </xf>
    <xf numFmtId="0" fontId="10" fillId="6" borderId="15" xfId="0" applyFont="1" applyFill="1" applyBorder="1" applyAlignment="1">
      <alignment horizontal="center"/>
    </xf>
    <xf numFmtId="0" fontId="5" fillId="0" borderId="0" xfId="0" applyFont="1" applyAlignment="1"/>
    <xf numFmtId="0" fontId="11" fillId="6" borderId="18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left"/>
    </xf>
    <xf numFmtId="0" fontId="11" fillId="6" borderId="18" xfId="0" applyFont="1" applyFill="1" applyBorder="1" applyAlignment="1">
      <alignment horizontal="center"/>
    </xf>
    <xf numFmtId="0" fontId="10" fillId="6" borderId="20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10" fillId="6" borderId="14" xfId="0" applyFont="1" applyFill="1" applyBorder="1"/>
    <xf numFmtId="0" fontId="10" fillId="6" borderId="0" xfId="0" applyFont="1" applyFill="1" applyBorder="1"/>
    <xf numFmtId="44" fontId="10" fillId="6" borderId="15" xfId="0" applyNumberFormat="1" applyFont="1" applyFill="1" applyBorder="1"/>
    <xf numFmtId="0" fontId="5" fillId="6" borderId="5" xfId="0" applyFont="1" applyFill="1" applyBorder="1" applyAlignment="1">
      <alignment horizontal="left"/>
    </xf>
    <xf numFmtId="0" fontId="10" fillId="6" borderId="5" xfId="0" applyFont="1" applyFill="1" applyBorder="1"/>
    <xf numFmtId="43" fontId="10" fillId="6" borderId="26" xfId="1" applyFont="1" applyFill="1" applyBorder="1"/>
    <xf numFmtId="43" fontId="10" fillId="6" borderId="15" xfId="1" applyFont="1" applyFill="1" applyBorder="1"/>
    <xf numFmtId="0" fontId="10" fillId="0" borderId="0" xfId="0" applyFont="1" applyFill="1"/>
    <xf numFmtId="0" fontId="10" fillId="6" borderId="5" xfId="0" applyFont="1" applyFill="1" applyBorder="1" applyAlignment="1">
      <alignment horizontal="left"/>
    </xf>
    <xf numFmtId="43" fontId="10" fillId="6" borderId="15" xfId="0" applyNumberFormat="1" applyFont="1" applyFill="1" applyBorder="1"/>
    <xf numFmtId="0" fontId="11" fillId="6" borderId="0" xfId="0" applyFont="1" applyFill="1" applyBorder="1" applyAlignment="1">
      <alignment horizontal="left"/>
    </xf>
    <xf numFmtId="44" fontId="11" fillId="6" borderId="15" xfId="2" applyFont="1" applyFill="1" applyBorder="1"/>
    <xf numFmtId="0" fontId="10" fillId="6" borderId="14" xfId="0" applyFont="1" applyFill="1" applyBorder="1" applyAlignment="1">
      <alignment horizontal="center"/>
    </xf>
    <xf numFmtId="0" fontId="13" fillId="6" borderId="0" xfId="0" applyFont="1" applyFill="1"/>
    <xf numFmtId="0" fontId="10" fillId="6" borderId="0" xfId="0" applyFont="1" applyFill="1"/>
    <xf numFmtId="43" fontId="13" fillId="6" borderId="26" xfId="1" applyFont="1" applyFill="1" applyBorder="1"/>
    <xf numFmtId="43" fontId="5" fillId="6" borderId="0" xfId="1" applyFont="1" applyFill="1" applyBorder="1" applyAlignment="1">
      <alignment horizontal="left"/>
    </xf>
    <xf numFmtId="0" fontId="14" fillId="6" borderId="0" xfId="0" applyFont="1" applyFill="1" applyBorder="1" applyAlignment="1">
      <alignment horizontal="left"/>
    </xf>
    <xf numFmtId="43" fontId="13" fillId="6" borderId="15" xfId="0" applyNumberFormat="1" applyFont="1" applyFill="1" applyBorder="1"/>
    <xf numFmtId="0" fontId="10" fillId="6" borderId="19" xfId="0" applyFont="1" applyFill="1" applyBorder="1"/>
    <xf numFmtId="43" fontId="10" fillId="6" borderId="20" xfId="1" applyFont="1" applyFill="1" applyBorder="1"/>
    <xf numFmtId="43" fontId="10" fillId="6" borderId="0" xfId="1" applyFont="1" applyFill="1" applyBorder="1"/>
    <xf numFmtId="43" fontId="14" fillId="6" borderId="14" xfId="1" applyFont="1" applyFill="1" applyBorder="1" applyAlignment="1">
      <alignment horizontal="left"/>
    </xf>
    <xf numFmtId="43" fontId="14" fillId="6" borderId="0" xfId="1" applyFont="1" applyFill="1" applyBorder="1" applyAlignment="1">
      <alignment horizontal="left"/>
    </xf>
    <xf numFmtId="0" fontId="14" fillId="6" borderId="14" xfId="0" applyFont="1" applyFill="1" applyBorder="1" applyAlignment="1">
      <alignment horizontal="left"/>
    </xf>
    <xf numFmtId="43" fontId="5" fillId="6" borderId="0" xfId="1" applyFont="1" applyFill="1" applyBorder="1"/>
    <xf numFmtId="43" fontId="5" fillId="6" borderId="15" xfId="1" applyFont="1" applyFill="1" applyBorder="1"/>
    <xf numFmtId="0" fontId="5" fillId="6" borderId="14" xfId="0" applyFont="1" applyFill="1" applyBorder="1" applyAlignment="1">
      <alignment horizontal="left" vertical="center"/>
    </xf>
    <xf numFmtId="0" fontId="14" fillId="6" borderId="14" xfId="0" applyFont="1" applyFill="1" applyBorder="1" applyAlignment="1">
      <alignment horizontal="left" vertical="center"/>
    </xf>
    <xf numFmtId="43" fontId="14" fillId="6" borderId="5" xfId="1" applyFont="1" applyFill="1" applyBorder="1" applyAlignment="1">
      <alignment horizontal="left"/>
    </xf>
    <xf numFmtId="43" fontId="14" fillId="6" borderId="7" xfId="1" applyFont="1" applyFill="1" applyBorder="1" applyAlignment="1">
      <alignment horizontal="left"/>
    </xf>
    <xf numFmtId="43" fontId="5" fillId="6" borderId="7" xfId="1" applyFont="1" applyFill="1" applyBorder="1"/>
    <xf numFmtId="43" fontId="14" fillId="6" borderId="30" xfId="1" applyFont="1" applyFill="1" applyBorder="1"/>
    <xf numFmtId="0" fontId="14" fillId="6" borderId="31" xfId="0" applyFont="1" applyFill="1" applyBorder="1"/>
    <xf numFmtId="0" fontId="14" fillId="6" borderId="7" xfId="0" applyFont="1" applyFill="1" applyBorder="1" applyAlignment="1">
      <alignment horizontal="left"/>
    </xf>
    <xf numFmtId="0" fontId="14" fillId="6" borderId="14" xfId="0" applyFont="1" applyFill="1" applyBorder="1" applyAlignment="1">
      <alignment horizontal="center" vertical="center"/>
    </xf>
    <xf numFmtId="43" fontId="14" fillId="6" borderId="15" xfId="1" applyFont="1" applyFill="1" applyBorder="1"/>
    <xf numFmtId="0" fontId="5" fillId="6" borderId="14" xfId="0" applyFont="1" applyFill="1" applyBorder="1"/>
    <xf numFmtId="0" fontId="5" fillId="6" borderId="0" xfId="0" applyFont="1" applyFill="1" applyBorder="1"/>
    <xf numFmtId="43" fontId="5" fillId="6" borderId="5" xfId="1" applyFont="1" applyFill="1" applyBorder="1"/>
    <xf numFmtId="43" fontId="14" fillId="6" borderId="0" xfId="1" applyFont="1" applyFill="1" applyBorder="1"/>
    <xf numFmtId="43" fontId="14" fillId="6" borderId="26" xfId="1" applyFont="1" applyFill="1" applyBorder="1"/>
    <xf numFmtId="0" fontId="5" fillId="6" borderId="7" xfId="0" applyFont="1" applyFill="1" applyBorder="1"/>
    <xf numFmtId="43" fontId="14" fillId="6" borderId="7" xfId="1" applyFont="1" applyFill="1" applyBorder="1"/>
    <xf numFmtId="0" fontId="14" fillId="6" borderId="16" xfId="0" applyFont="1" applyFill="1" applyBorder="1"/>
    <xf numFmtId="0" fontId="5" fillId="6" borderId="32" xfId="0" applyFont="1" applyFill="1" applyBorder="1"/>
    <xf numFmtId="43" fontId="14" fillId="6" borderId="17" xfId="1" applyFont="1" applyFill="1" applyBorder="1"/>
    <xf numFmtId="43" fontId="14" fillId="6" borderId="16" xfId="1" applyFont="1" applyFill="1" applyBorder="1"/>
    <xf numFmtId="43" fontId="5" fillId="6" borderId="32" xfId="1" applyFont="1" applyFill="1" applyBorder="1"/>
    <xf numFmtId="0" fontId="5" fillId="6" borderId="18" xfId="0" applyFont="1" applyFill="1" applyBorder="1"/>
    <xf numFmtId="0" fontId="5" fillId="6" borderId="19" xfId="0" applyFont="1" applyFill="1" applyBorder="1"/>
    <xf numFmtId="43" fontId="5" fillId="6" borderId="19" xfId="1" applyFont="1" applyFill="1" applyBorder="1"/>
    <xf numFmtId="43" fontId="5" fillId="6" borderId="20" xfId="1" applyFont="1" applyFill="1" applyBorder="1"/>
    <xf numFmtId="0" fontId="14" fillId="6" borderId="11" xfId="0" applyFont="1" applyFill="1" applyBorder="1" applyAlignment="1">
      <alignment horizontal="left" vertical="center"/>
    </xf>
    <xf numFmtId="43" fontId="5" fillId="6" borderId="13" xfId="1" applyFont="1" applyFill="1" applyBorder="1" applyAlignment="1">
      <alignment horizontal="left"/>
    </xf>
    <xf numFmtId="43" fontId="5" fillId="6" borderId="15" xfId="1" applyFont="1" applyFill="1" applyBorder="1" applyAlignment="1">
      <alignment horizontal="left"/>
    </xf>
    <xf numFmtId="0" fontId="14" fillId="6" borderId="18" xfId="0" applyFont="1" applyFill="1" applyBorder="1" applyAlignment="1">
      <alignment horizontal="left" vertical="center"/>
    </xf>
    <xf numFmtId="43" fontId="5" fillId="6" borderId="20" xfId="1" applyFont="1" applyFill="1" applyBorder="1" applyAlignment="1">
      <alignment horizontal="left"/>
    </xf>
    <xf numFmtId="0" fontId="0" fillId="0" borderId="7" xfId="0" applyBorder="1" applyAlignment="1">
      <alignment horizontal="right" indent="1"/>
    </xf>
    <xf numFmtId="164" fontId="0" fillId="0" borderId="7" xfId="1" applyNumberFormat="1" applyFont="1" applyBorder="1" applyAlignment="1">
      <alignment horizontal="left"/>
    </xf>
    <xf numFmtId="43" fontId="0" fillId="0" borderId="7" xfId="1" applyFont="1" applyBorder="1" applyAlignment="1">
      <alignment horizontal="center"/>
    </xf>
    <xf numFmtId="164" fontId="0" fillId="5" borderId="0" xfId="1" applyNumberFormat="1" applyFont="1" applyFill="1" applyBorder="1"/>
    <xf numFmtId="164" fontId="0" fillId="5" borderId="7" xfId="1" applyNumberFormat="1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5" borderId="7" xfId="0" applyFont="1" applyFill="1" applyBorder="1"/>
    <xf numFmtId="0" fontId="0" fillId="0" borderId="0" xfId="0" applyFont="1" applyAlignment="1">
      <alignment horizontal="center"/>
    </xf>
    <xf numFmtId="0" fontId="0" fillId="0" borderId="7" xfId="0" applyFont="1" applyBorder="1"/>
    <xf numFmtId="43" fontId="0" fillId="0" borderId="7" xfId="1" applyFont="1" applyBorder="1"/>
    <xf numFmtId="165" fontId="0" fillId="0" borderId="7" xfId="0" applyNumberFormat="1" applyFont="1" applyBorder="1"/>
    <xf numFmtId="0" fontId="0" fillId="0" borderId="7" xfId="0" applyFont="1" applyBorder="1" applyAlignment="1">
      <alignment horizontal="center"/>
    </xf>
    <xf numFmtId="165" fontId="0" fillId="0" borderId="0" xfId="0" applyNumberFormat="1" applyFont="1"/>
    <xf numFmtId="165" fontId="2" fillId="0" borderId="7" xfId="0" applyNumberFormat="1" applyFont="1" applyBorder="1"/>
    <xf numFmtId="165" fontId="0" fillId="0" borderId="7" xfId="1" applyNumberFormat="1" applyFont="1" applyBorder="1"/>
    <xf numFmtId="165" fontId="0" fillId="6" borderId="7" xfId="0" applyNumberFormat="1" applyFont="1" applyFill="1" applyBorder="1"/>
    <xf numFmtId="0" fontId="0" fillId="0" borderId="7" xfId="0" applyFont="1" applyBorder="1" applyAlignment="1">
      <alignment horizontal="left"/>
    </xf>
    <xf numFmtId="43" fontId="0" fillId="0" borderId="0" xfId="1" applyFont="1" applyBorder="1"/>
    <xf numFmtId="164" fontId="0" fillId="9" borderId="7" xfId="1" applyNumberFormat="1" applyFont="1" applyFill="1" applyBorder="1" applyAlignment="1">
      <alignment horizontal="center"/>
    </xf>
    <xf numFmtId="0" fontId="15" fillId="0" borderId="0" xfId="0" applyFont="1"/>
    <xf numFmtId="0" fontId="15" fillId="11" borderId="0" xfId="0" applyFont="1" applyFill="1"/>
    <xf numFmtId="0" fontId="16" fillId="11" borderId="28" xfId="0" applyFont="1" applyFill="1" applyBorder="1" applyAlignment="1">
      <alignment horizontal="center"/>
    </xf>
    <xf numFmtId="0" fontId="16" fillId="12" borderId="0" xfId="0" applyFont="1" applyFill="1" applyAlignment="1">
      <alignment wrapText="1"/>
    </xf>
    <xf numFmtId="43" fontId="15" fillId="0" borderId="22" xfId="1" applyFont="1" applyBorder="1"/>
    <xf numFmtId="43" fontId="15" fillId="0" borderId="7" xfId="1" applyFont="1" applyBorder="1"/>
    <xf numFmtId="164" fontId="15" fillId="5" borderId="7" xfId="1" applyNumberFormat="1" applyFont="1" applyFill="1" applyBorder="1"/>
    <xf numFmtId="164" fontId="17" fillId="0" borderId="7" xfId="1" applyNumberFormat="1" applyFont="1" applyBorder="1"/>
    <xf numFmtId="164" fontId="15" fillId="0" borderId="7" xfId="1" applyNumberFormat="1" applyFont="1" applyBorder="1"/>
    <xf numFmtId="0" fontId="15" fillId="0" borderId="7" xfId="0" applyFont="1" applyBorder="1"/>
    <xf numFmtId="0" fontId="15" fillId="0" borderId="4" xfId="0" applyFont="1" applyBorder="1"/>
    <xf numFmtId="0" fontId="15" fillId="5" borderId="7" xfId="0" applyFont="1" applyFill="1" applyBorder="1" applyAlignment="1">
      <alignment horizontal="right"/>
    </xf>
    <xf numFmtId="0" fontId="17" fillId="5" borderId="7" xfId="0" applyFont="1" applyFill="1" applyBorder="1" applyAlignment="1">
      <alignment horizontal="center"/>
    </xf>
    <xf numFmtId="0" fontId="15" fillId="7" borderId="7" xfId="0" applyFont="1" applyFill="1" applyBorder="1" applyAlignment="1">
      <alignment horizontal="right"/>
    </xf>
    <xf numFmtId="0" fontId="17" fillId="7" borderId="7" xfId="0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0" fontId="17" fillId="0" borderId="0" xfId="0" applyFont="1"/>
    <xf numFmtId="0" fontId="17" fillId="0" borderId="7" xfId="0" applyFont="1" applyBorder="1"/>
    <xf numFmtId="0" fontId="15" fillId="0" borderId="7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6" fillId="10" borderId="28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13" borderId="7" xfId="0" applyFont="1" applyFill="1" applyBorder="1"/>
    <xf numFmtId="164" fontId="15" fillId="0" borderId="7" xfId="1" applyNumberFormat="1" applyFont="1" applyBorder="1" applyAlignment="1">
      <alignment horizontal="center"/>
    </xf>
    <xf numFmtId="0" fontId="16" fillId="13" borderId="7" xfId="0" applyFont="1" applyFill="1" applyBorder="1" applyAlignment="1">
      <alignment horizontal="left" wrapText="1"/>
    </xf>
    <xf numFmtId="0" fontId="16" fillId="0" borderId="0" xfId="0" applyFont="1" applyAlignment="1"/>
    <xf numFmtId="0" fontId="16" fillId="5" borderId="7" xfId="0" applyNumberFormat="1" applyFont="1" applyFill="1" applyBorder="1" applyAlignment="1">
      <alignment horizontal="center" vertical="center" wrapText="1"/>
    </xf>
    <xf numFmtId="0" fontId="16" fillId="15" borderId="7" xfId="0" applyNumberFormat="1" applyFont="1" applyFill="1" applyBorder="1" applyAlignment="1">
      <alignment horizontal="center" vertical="center" wrapText="1"/>
    </xf>
    <xf numFmtId="0" fontId="16" fillId="3" borderId="0" xfId="0" applyFont="1" applyFill="1"/>
    <xf numFmtId="0" fontId="19" fillId="0" borderId="0" xfId="0" applyFont="1"/>
    <xf numFmtId="164" fontId="15" fillId="0" borderId="7" xfId="0" applyNumberFormat="1" applyFont="1" applyBorder="1"/>
    <xf numFmtId="165" fontId="15" fillId="0" borderId="7" xfId="2" applyNumberFormat="1" applyFont="1" applyBorder="1"/>
    <xf numFmtId="44" fontId="15" fillId="0" borderId="7" xfId="2" applyFont="1" applyBorder="1"/>
    <xf numFmtId="0" fontId="15" fillId="0" borderId="7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left" indent="2"/>
    </xf>
    <xf numFmtId="0" fontId="16" fillId="3" borderId="7" xfId="0" applyFont="1" applyFill="1" applyBorder="1" applyAlignment="1">
      <alignment horizontal="left"/>
    </xf>
    <xf numFmtId="44" fontId="15" fillId="0" borderId="7" xfId="0" applyNumberFormat="1" applyFont="1" applyBorder="1"/>
    <xf numFmtId="0" fontId="16" fillId="3" borderId="7" xfId="0" applyFont="1" applyFill="1" applyBorder="1" applyAlignment="1">
      <alignment horizontal="left" wrapText="1"/>
    </xf>
    <xf numFmtId="0" fontId="16" fillId="0" borderId="0" xfId="0" applyFont="1"/>
    <xf numFmtId="44" fontId="17" fillId="0" borderId="27" xfId="0" applyNumberFormat="1" applyFont="1" applyBorder="1"/>
    <xf numFmtId="0" fontId="15" fillId="0" borderId="0" xfId="0" applyFont="1" applyAlignment="1">
      <alignment wrapText="1"/>
    </xf>
    <xf numFmtId="44" fontId="15" fillId="0" borderId="0" xfId="0" applyNumberFormat="1" applyFont="1" applyAlignment="1">
      <alignment horizontal="left" indent="1"/>
    </xf>
    <xf numFmtId="0" fontId="16" fillId="0" borderId="4" xfId="0" applyFont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center" wrapText="1"/>
    </xf>
    <xf numFmtId="44" fontId="16" fillId="0" borderId="21" xfId="0" applyNumberFormat="1" applyFont="1" applyBorder="1"/>
    <xf numFmtId="0" fontId="16" fillId="15" borderId="28" xfId="0" applyFont="1" applyFill="1" applyBorder="1"/>
    <xf numFmtId="166" fontId="16" fillId="15" borderId="33" xfId="1" applyNumberFormat="1" applyFont="1" applyFill="1" applyBorder="1"/>
    <xf numFmtId="44" fontId="16" fillId="15" borderId="34" xfId="0" applyNumberFormat="1" applyFont="1" applyFill="1" applyBorder="1"/>
    <xf numFmtId="44" fontId="0" fillId="0" borderId="0" xfId="2" applyFont="1"/>
    <xf numFmtId="44" fontId="15" fillId="0" borderId="0" xfId="0" applyNumberFormat="1" applyFont="1"/>
    <xf numFmtId="44" fontId="17" fillId="0" borderId="21" xfId="0" applyNumberFormat="1" applyFont="1" applyBorder="1"/>
    <xf numFmtId="44" fontId="16" fillId="15" borderId="35" xfId="0" applyNumberFormat="1" applyFont="1" applyFill="1" applyBorder="1"/>
    <xf numFmtId="44" fontId="16" fillId="15" borderId="36" xfId="0" applyNumberFormat="1" applyFont="1" applyFill="1" applyBorder="1"/>
    <xf numFmtId="44" fontId="17" fillId="15" borderId="37" xfId="0" applyNumberFormat="1" applyFont="1" applyFill="1" applyBorder="1"/>
    <xf numFmtId="0" fontId="13" fillId="6" borderId="0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6" borderId="12" xfId="0" applyFont="1" applyFill="1" applyBorder="1" applyAlignment="1">
      <alignment horizontal="center"/>
    </xf>
    <xf numFmtId="0" fontId="20" fillId="6" borderId="12" xfId="0" applyFont="1" applyFill="1" applyBorder="1" applyAlignment="1">
      <alignment horizontal="left"/>
    </xf>
    <xf numFmtId="0" fontId="21" fillId="6" borderId="11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left"/>
    </xf>
    <xf numFmtId="0" fontId="21" fillId="6" borderId="14" xfId="0" applyFont="1" applyFill="1" applyBorder="1" applyAlignment="1">
      <alignment horizontal="center"/>
    </xf>
    <xf numFmtId="0" fontId="20" fillId="6" borderId="19" xfId="0" applyFont="1" applyFill="1" applyBorder="1" applyAlignment="1">
      <alignment horizontal="center"/>
    </xf>
    <xf numFmtId="0" fontId="20" fillId="6" borderId="19" xfId="0" applyFont="1" applyFill="1" applyBorder="1" applyAlignment="1">
      <alignment horizontal="left"/>
    </xf>
    <xf numFmtId="0" fontId="21" fillId="6" borderId="18" xfId="0" applyFont="1" applyFill="1" applyBorder="1" applyAlignment="1">
      <alignment horizontal="center"/>
    </xf>
    <xf numFmtId="0" fontId="20" fillId="6" borderId="14" xfId="0" applyFont="1" applyFill="1" applyBorder="1"/>
    <xf numFmtId="0" fontId="20" fillId="6" borderId="0" xfId="0" applyFont="1" applyFill="1" applyBorder="1"/>
    <xf numFmtId="44" fontId="20" fillId="6" borderId="15" xfId="0" applyNumberFormat="1" applyFont="1" applyFill="1" applyBorder="1"/>
    <xf numFmtId="0" fontId="21" fillId="6" borderId="14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left"/>
    </xf>
    <xf numFmtId="0" fontId="20" fillId="6" borderId="5" xfId="0" applyFont="1" applyFill="1" applyBorder="1"/>
    <xf numFmtId="43" fontId="20" fillId="6" borderId="26" xfId="1" applyFont="1" applyFill="1" applyBorder="1"/>
    <xf numFmtId="43" fontId="20" fillId="6" borderId="15" xfId="1" applyFont="1" applyFill="1" applyBorder="1"/>
    <xf numFmtId="43" fontId="20" fillId="6" borderId="15" xfId="0" applyNumberFormat="1" applyFont="1" applyFill="1" applyBorder="1"/>
    <xf numFmtId="43" fontId="20" fillId="6" borderId="0" xfId="1" applyFont="1" applyFill="1" applyBorder="1" applyAlignment="1">
      <alignment horizontal="right"/>
    </xf>
    <xf numFmtId="43" fontId="20" fillId="6" borderId="5" xfId="1" applyFont="1" applyFill="1" applyBorder="1" applyAlignment="1">
      <alignment horizontal="right"/>
    </xf>
    <xf numFmtId="0" fontId="21" fillId="6" borderId="0" xfId="0" applyFont="1" applyFill="1" applyBorder="1" applyAlignment="1">
      <alignment horizontal="left"/>
    </xf>
    <xf numFmtId="44" fontId="21" fillId="6" borderId="15" xfId="2" applyFont="1" applyFill="1" applyBorder="1"/>
    <xf numFmtId="0" fontId="20" fillId="6" borderId="18" xfId="0" applyFont="1" applyFill="1" applyBorder="1" applyAlignment="1">
      <alignment horizontal="center"/>
    </xf>
    <xf numFmtId="0" fontId="20" fillId="6" borderId="20" xfId="0" applyFont="1" applyFill="1" applyBorder="1" applyAlignment="1">
      <alignment horizontal="center"/>
    </xf>
    <xf numFmtId="0" fontId="21" fillId="6" borderId="0" xfId="0" applyFont="1" applyFill="1"/>
    <xf numFmtId="0" fontId="20" fillId="0" borderId="0" xfId="0" applyFont="1"/>
    <xf numFmtId="0" fontId="21" fillId="6" borderId="11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/>
    </xf>
    <xf numFmtId="0" fontId="20" fillId="6" borderId="15" xfId="0" applyFont="1" applyFill="1" applyBorder="1" applyAlignment="1">
      <alignment horizontal="center"/>
    </xf>
    <xf numFmtId="0" fontId="21" fillId="6" borderId="18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/>
    </xf>
    <xf numFmtId="43" fontId="21" fillId="6" borderId="26" xfId="1" applyFont="1" applyFill="1" applyBorder="1"/>
    <xf numFmtId="43" fontId="20" fillId="6" borderId="0" xfId="1" applyFont="1" applyFill="1" applyBorder="1" applyAlignment="1">
      <alignment horizontal="left"/>
    </xf>
    <xf numFmtId="43" fontId="20" fillId="6" borderId="5" xfId="1" applyFont="1" applyFill="1" applyBorder="1" applyAlignment="1">
      <alignment horizontal="left"/>
    </xf>
    <xf numFmtId="43" fontId="21" fillId="6" borderId="15" xfId="0" applyNumberFormat="1" applyFont="1" applyFill="1" applyBorder="1"/>
    <xf numFmtId="0" fontId="20" fillId="6" borderId="19" xfId="0" applyFont="1" applyFill="1" applyBorder="1"/>
    <xf numFmtId="43" fontId="20" fillId="6" borderId="20" xfId="1" applyFont="1" applyFill="1" applyBorder="1"/>
    <xf numFmtId="0" fontId="21" fillId="6" borderId="0" xfId="0" applyFont="1" applyFill="1" applyBorder="1" applyAlignment="1">
      <alignment horizontal="center" vertical="center"/>
    </xf>
    <xf numFmtId="43" fontId="20" fillId="6" borderId="0" xfId="1" applyFont="1" applyFill="1" applyBorder="1"/>
    <xf numFmtId="0" fontId="23" fillId="0" borderId="0" xfId="0" applyFont="1"/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0" fillId="5" borderId="21" xfId="0" applyNumberFormat="1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4" borderId="7" xfId="0" applyFill="1" applyBorder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4" fontId="0" fillId="5" borderId="22" xfId="0" applyNumberFormat="1" applyFill="1" applyBorder="1" applyAlignment="1">
      <alignment horizontal="center"/>
    </xf>
    <xf numFmtId="49" fontId="0" fillId="0" borderId="3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/>
    </xf>
    <xf numFmtId="0" fontId="2" fillId="5" borderId="27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27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43" fontId="2" fillId="9" borderId="4" xfId="1" applyFont="1" applyFill="1" applyBorder="1" applyAlignment="1">
      <alignment horizontal="center"/>
    </xf>
    <xf numFmtId="43" fontId="2" fillId="9" borderId="23" xfId="1" applyFont="1" applyFill="1" applyBorder="1" applyAlignment="1">
      <alignment horizontal="center"/>
    </xf>
    <xf numFmtId="165" fontId="2" fillId="9" borderId="4" xfId="1" applyNumberFormat="1" applyFont="1" applyFill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43" fontId="2" fillId="0" borderId="23" xfId="1" applyFont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1" fillId="6" borderId="12" xfId="0" applyFont="1" applyFill="1" applyBorder="1" applyAlignment="1">
      <alignment horizontal="center"/>
    </xf>
    <xf numFmtId="0" fontId="16" fillId="10" borderId="16" xfId="0" applyFont="1" applyFill="1" applyBorder="1" applyAlignment="1">
      <alignment horizontal="center"/>
    </xf>
    <xf numFmtId="0" fontId="16" fillId="10" borderId="32" xfId="0" applyFont="1" applyFill="1" applyBorder="1" applyAlignment="1">
      <alignment horizontal="center"/>
    </xf>
    <xf numFmtId="0" fontId="16" fillId="10" borderId="17" xfId="0" applyFont="1" applyFill="1" applyBorder="1" applyAlignment="1">
      <alignment horizontal="center"/>
    </xf>
    <xf numFmtId="0" fontId="18" fillId="14" borderId="14" xfId="0" applyFont="1" applyFill="1" applyBorder="1" applyAlignment="1">
      <alignment horizontal="center"/>
    </xf>
    <xf numFmtId="0" fontId="18" fillId="14" borderId="15" xfId="0" applyFont="1" applyFill="1" applyBorder="1" applyAlignment="1">
      <alignment horizontal="center"/>
    </xf>
    <xf numFmtId="0" fontId="18" fillId="14" borderId="13" xfId="0" applyFont="1" applyFill="1" applyBorder="1" applyAlignment="1">
      <alignment horizontal="center"/>
    </xf>
    <xf numFmtId="0" fontId="16" fillId="16" borderId="0" xfId="0" applyFont="1" applyFill="1" applyAlignment="1">
      <alignment horizontal="center"/>
    </xf>
    <xf numFmtId="0" fontId="0" fillId="0" borderId="0" xfId="0" applyFont="1" applyAlignment="1">
      <alignment horizontal="center" vertical="center" wrapText="1"/>
    </xf>
    <xf numFmtId="0" fontId="2" fillId="0" borderId="28" xfId="0" applyFont="1" applyBorder="1"/>
    <xf numFmtId="0" fontId="7" fillId="0" borderId="0" xfId="0" applyFont="1" applyAlignment="1"/>
    <xf numFmtId="0" fontId="0" fillId="0" borderId="22" xfId="0" applyFont="1" applyBorder="1"/>
    <xf numFmtId="44" fontId="10" fillId="6" borderId="0" xfId="0" applyNumberFormat="1" applyFont="1" applyFill="1" applyBorder="1"/>
    <xf numFmtId="43" fontId="10" fillId="6" borderId="0" xfId="0" applyNumberFormat="1" applyFont="1" applyFill="1" applyBorder="1"/>
    <xf numFmtId="44" fontId="11" fillId="6" borderId="0" xfId="2" applyFont="1" applyFill="1" applyBorder="1"/>
    <xf numFmtId="0" fontId="13" fillId="6" borderId="28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9" fontId="10" fillId="6" borderId="0" xfId="3" applyFont="1" applyFill="1" applyBorder="1" applyAlignment="1">
      <alignment horizontal="center"/>
    </xf>
    <xf numFmtId="9" fontId="10" fillId="0" borderId="0" xfId="3" applyFont="1"/>
    <xf numFmtId="9" fontId="13" fillId="6" borderId="0" xfId="3" applyFont="1" applyFill="1" applyBorder="1" applyAlignment="1">
      <alignment horizontal="center"/>
    </xf>
    <xf numFmtId="0" fontId="5" fillId="6" borderId="11" xfId="0" applyFont="1" applyFill="1" applyBorder="1" applyAlignment="1">
      <alignment horizontal="left"/>
    </xf>
    <xf numFmtId="0" fontId="5" fillId="6" borderId="13" xfId="0" applyFont="1" applyFill="1" applyBorder="1" applyAlignment="1">
      <alignment horizontal="left"/>
    </xf>
    <xf numFmtId="43" fontId="5" fillId="6" borderId="7" xfId="1" applyFont="1" applyFill="1" applyBorder="1" applyAlignment="1">
      <alignment horizontal="left"/>
    </xf>
    <xf numFmtId="0" fontId="5" fillId="6" borderId="18" xfId="0" applyFont="1" applyFill="1" applyBorder="1" applyAlignment="1">
      <alignment horizontal="left"/>
    </xf>
    <xf numFmtId="43" fontId="5" fillId="6" borderId="20" xfId="0" applyNumberFormat="1" applyFont="1" applyFill="1" applyBorder="1" applyAlignment="1">
      <alignment horizontal="left"/>
    </xf>
    <xf numFmtId="9" fontId="5" fillId="6" borderId="0" xfId="3" applyFont="1" applyFill="1" applyBorder="1" applyAlignment="1">
      <alignment horizontal="center"/>
    </xf>
    <xf numFmtId="43" fontId="10" fillId="6" borderId="0" xfId="0" applyNumberFormat="1" applyFont="1" applyFill="1"/>
    <xf numFmtId="9" fontId="10" fillId="0" borderId="0" xfId="3" applyFont="1" applyAlignment="1">
      <alignment horizontal="center"/>
    </xf>
    <xf numFmtId="0" fontId="2" fillId="9" borderId="0" xfId="0" applyFont="1" applyFill="1" applyAlignment="1">
      <alignment horizontal="center"/>
    </xf>
    <xf numFmtId="0" fontId="2" fillId="6" borderId="7" xfId="0" applyFont="1" applyFill="1" applyBorder="1" applyAlignment="1">
      <alignment horizontal="center"/>
    </xf>
    <xf numFmtId="43" fontId="0" fillId="6" borderId="7" xfId="1" applyFont="1" applyFill="1" applyBorder="1"/>
    <xf numFmtId="0" fontId="2" fillId="6" borderId="7" xfId="0" applyFont="1" applyFill="1" applyBorder="1"/>
    <xf numFmtId="43" fontId="2" fillId="6" borderId="7" xfId="0" applyNumberFormat="1" applyFont="1" applyFill="1" applyBorder="1"/>
    <xf numFmtId="0" fontId="2" fillId="6" borderId="0" xfId="0" applyFont="1" applyFill="1" applyBorder="1"/>
    <xf numFmtId="43" fontId="2" fillId="6" borderId="0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2124075</xdr:colOff>
      <xdr:row>10</xdr:row>
      <xdr:rowOff>0</xdr:rowOff>
    </xdr:from>
    <xdr:to>
      <xdr:col>2</xdr:col>
      <xdr:colOff>2276475</xdr:colOff>
      <xdr:row>11</xdr:row>
      <xdr:rowOff>180975</xdr:rowOff>
    </xdr:to>
    <xdr:cxnSp macro="">
      <xdr:nvCxnSpPr>
        <xdr:cNvPr id="2" name="Conector recto 1"/>
        <xdr:cNvCxnSpPr/>
      </xdr:nvCxnSpPr>
      <xdr:spPr>
        <a:xfrm>
          <a:off x="5029200" y="2324100"/>
          <a:ext cx="152400" cy="3714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66675</xdr:rowOff>
    </xdr:from>
    <xdr:to>
      <xdr:col>3</xdr:col>
      <xdr:colOff>19050</xdr:colOff>
      <xdr:row>11</xdr:row>
      <xdr:rowOff>180975</xdr:rowOff>
    </xdr:to>
    <xdr:cxnSp macro="">
      <xdr:nvCxnSpPr>
        <xdr:cNvPr id="3" name="Conector recto 2"/>
        <xdr:cNvCxnSpPr/>
      </xdr:nvCxnSpPr>
      <xdr:spPr>
        <a:xfrm flipH="1">
          <a:off x="5191125" y="2200275"/>
          <a:ext cx="19050" cy="495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9</xdr:row>
      <xdr:rowOff>76200</xdr:rowOff>
    </xdr:from>
    <xdr:to>
      <xdr:col>5</xdr:col>
      <xdr:colOff>485775</xdr:colOff>
      <xdr:row>9</xdr:row>
      <xdr:rowOff>85725</xdr:rowOff>
    </xdr:to>
    <xdr:cxnSp macro="">
      <xdr:nvCxnSpPr>
        <xdr:cNvPr id="4" name="Conector recto 3"/>
        <xdr:cNvCxnSpPr/>
      </xdr:nvCxnSpPr>
      <xdr:spPr>
        <a:xfrm flipH="1" flipV="1">
          <a:off x="5210175" y="2209800"/>
          <a:ext cx="350520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755890</xdr:colOff>
      <xdr:row>0</xdr:row>
      <xdr:rowOff>66675</xdr:rowOff>
    </xdr:from>
    <xdr:to>
      <xdr:col>9</xdr:col>
      <xdr:colOff>198487</xdr:colOff>
      <xdr:row>7</xdr:row>
      <xdr:rowOff>156787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5490" y="66675"/>
          <a:ext cx="2738247" cy="14617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5</xdr:row>
      <xdr:rowOff>95250</xdr:rowOff>
    </xdr:from>
    <xdr:to>
      <xdr:col>3</xdr:col>
      <xdr:colOff>628650</xdr:colOff>
      <xdr:row>10</xdr:row>
      <xdr:rowOff>19050</xdr:rowOff>
    </xdr:to>
    <xdr:cxnSp macro="">
      <xdr:nvCxnSpPr>
        <xdr:cNvPr id="2" name="16 Conector recto"/>
        <xdr:cNvCxnSpPr/>
      </xdr:nvCxnSpPr>
      <xdr:spPr>
        <a:xfrm>
          <a:off x="3438525" y="1047750"/>
          <a:ext cx="9525" cy="876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6</xdr:row>
      <xdr:rowOff>114300</xdr:rowOff>
    </xdr:from>
    <xdr:to>
      <xdr:col>4</xdr:col>
      <xdr:colOff>428625</xdr:colOff>
      <xdr:row>6</xdr:row>
      <xdr:rowOff>123825</xdr:rowOff>
    </xdr:to>
    <xdr:cxnSp macro="">
      <xdr:nvCxnSpPr>
        <xdr:cNvPr id="3" name="17 Conector recto de flecha"/>
        <xdr:cNvCxnSpPr/>
      </xdr:nvCxnSpPr>
      <xdr:spPr>
        <a:xfrm flipV="1">
          <a:off x="3457575" y="1257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7</xdr:row>
      <xdr:rowOff>123825</xdr:rowOff>
    </xdr:from>
    <xdr:to>
      <xdr:col>4</xdr:col>
      <xdr:colOff>419100</xdr:colOff>
      <xdr:row>7</xdr:row>
      <xdr:rowOff>133350</xdr:rowOff>
    </xdr:to>
    <xdr:cxnSp macro="">
      <xdr:nvCxnSpPr>
        <xdr:cNvPr id="4" name="18 Conector recto de flecha"/>
        <xdr:cNvCxnSpPr/>
      </xdr:nvCxnSpPr>
      <xdr:spPr>
        <a:xfrm flipV="1">
          <a:off x="3448050" y="14573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8</xdr:row>
      <xdr:rowOff>114300</xdr:rowOff>
    </xdr:from>
    <xdr:to>
      <xdr:col>4</xdr:col>
      <xdr:colOff>428625</xdr:colOff>
      <xdr:row>8</xdr:row>
      <xdr:rowOff>123825</xdr:rowOff>
    </xdr:to>
    <xdr:cxnSp macro="">
      <xdr:nvCxnSpPr>
        <xdr:cNvPr id="5" name="19 Conector recto de flecha"/>
        <xdr:cNvCxnSpPr/>
      </xdr:nvCxnSpPr>
      <xdr:spPr>
        <a:xfrm flipV="1">
          <a:off x="3457575" y="1638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9</xdr:row>
      <xdr:rowOff>104775</xdr:rowOff>
    </xdr:from>
    <xdr:to>
      <xdr:col>4</xdr:col>
      <xdr:colOff>438150</xdr:colOff>
      <xdr:row>9</xdr:row>
      <xdr:rowOff>114300</xdr:rowOff>
    </xdr:to>
    <xdr:cxnSp macro="">
      <xdr:nvCxnSpPr>
        <xdr:cNvPr id="6" name="20 Conector recto de flecha"/>
        <xdr:cNvCxnSpPr/>
      </xdr:nvCxnSpPr>
      <xdr:spPr>
        <a:xfrm flipV="1">
          <a:off x="3467100" y="181927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5</xdr:row>
      <xdr:rowOff>85725</xdr:rowOff>
    </xdr:from>
    <xdr:to>
      <xdr:col>4</xdr:col>
      <xdr:colOff>428625</xdr:colOff>
      <xdr:row>5</xdr:row>
      <xdr:rowOff>85726</xdr:rowOff>
    </xdr:to>
    <xdr:cxnSp macro="">
      <xdr:nvCxnSpPr>
        <xdr:cNvPr id="7" name="21 Conector recto de flecha"/>
        <xdr:cNvCxnSpPr/>
      </xdr:nvCxnSpPr>
      <xdr:spPr>
        <a:xfrm flipV="1">
          <a:off x="2876550" y="10382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31</xdr:row>
      <xdr:rowOff>57150</xdr:rowOff>
    </xdr:from>
    <xdr:to>
      <xdr:col>3</xdr:col>
      <xdr:colOff>647700</xdr:colOff>
      <xdr:row>33</xdr:row>
      <xdr:rowOff>171450</xdr:rowOff>
    </xdr:to>
    <xdr:cxnSp macro="">
      <xdr:nvCxnSpPr>
        <xdr:cNvPr id="8" name="16 Conector recto"/>
        <xdr:cNvCxnSpPr/>
      </xdr:nvCxnSpPr>
      <xdr:spPr>
        <a:xfrm>
          <a:off x="3457575" y="5962650"/>
          <a:ext cx="9525" cy="495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32</xdr:row>
      <xdr:rowOff>114300</xdr:rowOff>
    </xdr:from>
    <xdr:to>
      <xdr:col>4</xdr:col>
      <xdr:colOff>428625</xdr:colOff>
      <xdr:row>32</xdr:row>
      <xdr:rowOff>123825</xdr:rowOff>
    </xdr:to>
    <xdr:cxnSp macro="">
      <xdr:nvCxnSpPr>
        <xdr:cNvPr id="9" name="17 Conector recto de flecha"/>
        <xdr:cNvCxnSpPr/>
      </xdr:nvCxnSpPr>
      <xdr:spPr>
        <a:xfrm flipV="1">
          <a:off x="3457575" y="6210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33</xdr:row>
      <xdr:rowOff>123825</xdr:rowOff>
    </xdr:from>
    <xdr:to>
      <xdr:col>4</xdr:col>
      <xdr:colOff>419100</xdr:colOff>
      <xdr:row>33</xdr:row>
      <xdr:rowOff>133350</xdr:rowOff>
    </xdr:to>
    <xdr:cxnSp macro="">
      <xdr:nvCxnSpPr>
        <xdr:cNvPr id="10" name="18 Conector recto de flecha"/>
        <xdr:cNvCxnSpPr/>
      </xdr:nvCxnSpPr>
      <xdr:spPr>
        <a:xfrm flipV="1">
          <a:off x="3448050" y="64103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31</xdr:row>
      <xdr:rowOff>57150</xdr:rowOff>
    </xdr:from>
    <xdr:to>
      <xdr:col>4</xdr:col>
      <xdr:colOff>428625</xdr:colOff>
      <xdr:row>31</xdr:row>
      <xdr:rowOff>57151</xdr:rowOff>
    </xdr:to>
    <xdr:cxnSp macro="">
      <xdr:nvCxnSpPr>
        <xdr:cNvPr id="11" name="21 Conector recto de flecha"/>
        <xdr:cNvCxnSpPr/>
      </xdr:nvCxnSpPr>
      <xdr:spPr>
        <a:xfrm flipV="1">
          <a:off x="2876550" y="5962650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18</xdr:row>
      <xdr:rowOff>95250</xdr:rowOff>
    </xdr:from>
    <xdr:to>
      <xdr:col>3</xdr:col>
      <xdr:colOff>628650</xdr:colOff>
      <xdr:row>23</xdr:row>
      <xdr:rowOff>19050</xdr:rowOff>
    </xdr:to>
    <xdr:cxnSp macro="">
      <xdr:nvCxnSpPr>
        <xdr:cNvPr id="12" name="16 Conector recto"/>
        <xdr:cNvCxnSpPr/>
      </xdr:nvCxnSpPr>
      <xdr:spPr>
        <a:xfrm>
          <a:off x="3438525" y="3524250"/>
          <a:ext cx="9525" cy="876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19</xdr:row>
      <xdr:rowOff>114300</xdr:rowOff>
    </xdr:from>
    <xdr:to>
      <xdr:col>4</xdr:col>
      <xdr:colOff>428625</xdr:colOff>
      <xdr:row>19</xdr:row>
      <xdr:rowOff>123825</xdr:rowOff>
    </xdr:to>
    <xdr:cxnSp macro="">
      <xdr:nvCxnSpPr>
        <xdr:cNvPr id="13" name="17 Conector recto de flecha"/>
        <xdr:cNvCxnSpPr/>
      </xdr:nvCxnSpPr>
      <xdr:spPr>
        <a:xfrm flipV="1">
          <a:off x="3457575" y="37338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20</xdr:row>
      <xdr:rowOff>123825</xdr:rowOff>
    </xdr:from>
    <xdr:to>
      <xdr:col>4</xdr:col>
      <xdr:colOff>419100</xdr:colOff>
      <xdr:row>20</xdr:row>
      <xdr:rowOff>133350</xdr:rowOff>
    </xdr:to>
    <xdr:cxnSp macro="">
      <xdr:nvCxnSpPr>
        <xdr:cNvPr id="14" name="18 Conector recto de flecha"/>
        <xdr:cNvCxnSpPr/>
      </xdr:nvCxnSpPr>
      <xdr:spPr>
        <a:xfrm flipV="1">
          <a:off x="3448050" y="39338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21</xdr:row>
      <xdr:rowOff>114300</xdr:rowOff>
    </xdr:from>
    <xdr:to>
      <xdr:col>4</xdr:col>
      <xdr:colOff>428625</xdr:colOff>
      <xdr:row>21</xdr:row>
      <xdr:rowOff>123825</xdr:rowOff>
    </xdr:to>
    <xdr:cxnSp macro="">
      <xdr:nvCxnSpPr>
        <xdr:cNvPr id="15" name="19 Conector recto de flecha"/>
        <xdr:cNvCxnSpPr/>
      </xdr:nvCxnSpPr>
      <xdr:spPr>
        <a:xfrm flipV="1">
          <a:off x="3457575" y="41148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22</xdr:row>
      <xdr:rowOff>104775</xdr:rowOff>
    </xdr:from>
    <xdr:to>
      <xdr:col>4</xdr:col>
      <xdr:colOff>438150</xdr:colOff>
      <xdr:row>22</xdr:row>
      <xdr:rowOff>114300</xdr:rowOff>
    </xdr:to>
    <xdr:cxnSp macro="">
      <xdr:nvCxnSpPr>
        <xdr:cNvPr id="16" name="20 Conector recto de flecha"/>
        <xdr:cNvCxnSpPr/>
      </xdr:nvCxnSpPr>
      <xdr:spPr>
        <a:xfrm flipV="1">
          <a:off x="3467100" y="429577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18</xdr:row>
      <xdr:rowOff>85725</xdr:rowOff>
    </xdr:from>
    <xdr:to>
      <xdr:col>4</xdr:col>
      <xdr:colOff>428625</xdr:colOff>
      <xdr:row>18</xdr:row>
      <xdr:rowOff>85726</xdr:rowOff>
    </xdr:to>
    <xdr:cxnSp macro="">
      <xdr:nvCxnSpPr>
        <xdr:cNvPr id="17" name="21 Conector recto de flecha"/>
        <xdr:cNvCxnSpPr/>
      </xdr:nvCxnSpPr>
      <xdr:spPr>
        <a:xfrm flipV="1">
          <a:off x="2876550" y="35147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41</xdr:row>
      <xdr:rowOff>57150</xdr:rowOff>
    </xdr:from>
    <xdr:to>
      <xdr:col>3</xdr:col>
      <xdr:colOff>647700</xdr:colOff>
      <xdr:row>43</xdr:row>
      <xdr:rowOff>171450</xdr:rowOff>
    </xdr:to>
    <xdr:cxnSp macro="">
      <xdr:nvCxnSpPr>
        <xdr:cNvPr id="18" name="16 Conector recto"/>
        <xdr:cNvCxnSpPr/>
      </xdr:nvCxnSpPr>
      <xdr:spPr>
        <a:xfrm>
          <a:off x="3457575" y="7867650"/>
          <a:ext cx="9525" cy="495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42</xdr:row>
      <xdr:rowOff>114300</xdr:rowOff>
    </xdr:from>
    <xdr:to>
      <xdr:col>4</xdr:col>
      <xdr:colOff>428625</xdr:colOff>
      <xdr:row>42</xdr:row>
      <xdr:rowOff>123825</xdr:rowOff>
    </xdr:to>
    <xdr:cxnSp macro="">
      <xdr:nvCxnSpPr>
        <xdr:cNvPr id="19" name="17 Conector recto de flecha"/>
        <xdr:cNvCxnSpPr/>
      </xdr:nvCxnSpPr>
      <xdr:spPr>
        <a:xfrm flipV="1">
          <a:off x="3457575" y="8115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43</xdr:row>
      <xdr:rowOff>123825</xdr:rowOff>
    </xdr:from>
    <xdr:to>
      <xdr:col>4</xdr:col>
      <xdr:colOff>419100</xdr:colOff>
      <xdr:row>43</xdr:row>
      <xdr:rowOff>133350</xdr:rowOff>
    </xdr:to>
    <xdr:cxnSp macro="">
      <xdr:nvCxnSpPr>
        <xdr:cNvPr id="20" name="18 Conector recto de flecha"/>
        <xdr:cNvCxnSpPr/>
      </xdr:nvCxnSpPr>
      <xdr:spPr>
        <a:xfrm flipV="1">
          <a:off x="3448050" y="83153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41</xdr:row>
      <xdr:rowOff>57150</xdr:rowOff>
    </xdr:from>
    <xdr:to>
      <xdr:col>4</xdr:col>
      <xdr:colOff>428625</xdr:colOff>
      <xdr:row>41</xdr:row>
      <xdr:rowOff>57151</xdr:rowOff>
    </xdr:to>
    <xdr:cxnSp macro="">
      <xdr:nvCxnSpPr>
        <xdr:cNvPr id="21" name="21 Conector recto de flecha"/>
        <xdr:cNvCxnSpPr/>
      </xdr:nvCxnSpPr>
      <xdr:spPr>
        <a:xfrm flipV="1">
          <a:off x="2876550" y="7867650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50</xdr:row>
      <xdr:rowOff>57150</xdr:rowOff>
    </xdr:from>
    <xdr:to>
      <xdr:col>3</xdr:col>
      <xdr:colOff>647700</xdr:colOff>
      <xdr:row>52</xdr:row>
      <xdr:rowOff>171450</xdr:rowOff>
    </xdr:to>
    <xdr:cxnSp macro="">
      <xdr:nvCxnSpPr>
        <xdr:cNvPr id="22" name="16 Conector recto"/>
        <xdr:cNvCxnSpPr/>
      </xdr:nvCxnSpPr>
      <xdr:spPr>
        <a:xfrm>
          <a:off x="3457575" y="7867650"/>
          <a:ext cx="9525" cy="495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51</xdr:row>
      <xdr:rowOff>114300</xdr:rowOff>
    </xdr:from>
    <xdr:to>
      <xdr:col>4</xdr:col>
      <xdr:colOff>428625</xdr:colOff>
      <xdr:row>51</xdr:row>
      <xdr:rowOff>123825</xdr:rowOff>
    </xdr:to>
    <xdr:cxnSp macro="">
      <xdr:nvCxnSpPr>
        <xdr:cNvPr id="23" name="17 Conector recto de flecha"/>
        <xdr:cNvCxnSpPr/>
      </xdr:nvCxnSpPr>
      <xdr:spPr>
        <a:xfrm flipV="1">
          <a:off x="3457575" y="8115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52</xdr:row>
      <xdr:rowOff>123825</xdr:rowOff>
    </xdr:from>
    <xdr:to>
      <xdr:col>4</xdr:col>
      <xdr:colOff>419100</xdr:colOff>
      <xdr:row>52</xdr:row>
      <xdr:rowOff>133350</xdr:rowOff>
    </xdr:to>
    <xdr:cxnSp macro="">
      <xdr:nvCxnSpPr>
        <xdr:cNvPr id="24" name="18 Conector recto de flecha"/>
        <xdr:cNvCxnSpPr/>
      </xdr:nvCxnSpPr>
      <xdr:spPr>
        <a:xfrm flipV="1">
          <a:off x="3448050" y="83153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50</xdr:row>
      <xdr:rowOff>57150</xdr:rowOff>
    </xdr:from>
    <xdr:to>
      <xdr:col>4</xdr:col>
      <xdr:colOff>428625</xdr:colOff>
      <xdr:row>50</xdr:row>
      <xdr:rowOff>57151</xdr:rowOff>
    </xdr:to>
    <xdr:cxnSp macro="">
      <xdr:nvCxnSpPr>
        <xdr:cNvPr id="25" name="21 Conector recto de flecha"/>
        <xdr:cNvCxnSpPr/>
      </xdr:nvCxnSpPr>
      <xdr:spPr>
        <a:xfrm flipV="1">
          <a:off x="2876550" y="7867650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ana/Documents/COFIDE/DIPLO%20COSTOS/EJERCI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N 2"/>
      <sheetName val="MC-PE"/>
      <sheetName val="MC-PE (2)"/>
      <sheetName val="Edo.Resultados"/>
      <sheetName val="CC"/>
      <sheetName val="PEPS"/>
      <sheetName val="PROMEDIO"/>
      <sheetName val="IDENTIFICADOS"/>
      <sheetName val="Abs Marvella"/>
      <sheetName val="A.diferencial"/>
      <sheetName val="DETALLISTA"/>
      <sheetName val="ABS - DIRECTO"/>
      <sheetName val="ABS.DIRECTO UTILIDAD"/>
      <sheetName val="948.5"/>
      <sheetName val="45"/>
      <sheetName val="Hoja1"/>
      <sheetName val="SUDADERAS"/>
      <sheetName val="LOTE"/>
      <sheetName val="EOQ"/>
      <sheetName val="EOQ-E"/>
      <sheetName val="LOTE EJERCICIO"/>
      <sheetName val="H-h"/>
      <sheetName val="H-Ociosas"/>
      <sheetName val="ABC"/>
      <sheetName val="Cargos Indirectos Costeo ABC"/>
      <sheetName val="Estado de costo"/>
      <sheetName val="Gtos Op ABC"/>
      <sheetName val="Por Línea de producto"/>
      <sheetName val="Por Región"/>
      <sheetName val="Hoja1 (2)"/>
      <sheetName val="ESQUEMAS"/>
      <sheetName val="ESQUEMAS-1"/>
      <sheetName val="C COMPRA"/>
      <sheetName val="REDACCION"/>
      <sheetName val="formulario"/>
      <sheetName val="Pres. Efectivo"/>
      <sheetName val="P-CAPITAL"/>
      <sheetName val="Mar-Vella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6">
          <cell r="B16">
            <v>42000</v>
          </cell>
          <cell r="C16">
            <v>36000</v>
          </cell>
          <cell r="D16">
            <v>6000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ables/table1.xml><?xml version="1.0" encoding="utf-8"?>
<table xmlns="http://schemas.openxmlformats.org/spreadsheetml/2006/main" id="2" name="Tabla13" displayName="Tabla13" ref="B3:I26" totalsRowShown="0" headerRowDxfId="10" dataDxfId="9" tableBorderDxfId="8">
  <autoFilter ref="B3:I26"/>
  <tableColumns count="8">
    <tableColumn id="1" name="Columna1" dataDxfId="7"/>
    <tableColumn id="2" name="Columna2" dataDxfId="6"/>
    <tableColumn id="3" name="Columna3" dataDxfId="5"/>
    <tableColumn id="4" name="Columna4" dataDxfId="4"/>
    <tableColumn id="5" name="Columna5" dataDxfId="3"/>
    <tableColumn id="6" name="Columna6" dataDxfId="2"/>
    <tableColumn id="7" name="Columna7" dataDxfId="1"/>
    <tableColumn id="8" name="Columna8" dataDxfId="0" dataCellStyle="Millare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H48"/>
  <sheetViews>
    <sheetView showGridLines="0" tabSelected="1" topLeftCell="B1" workbookViewId="0">
      <selection activeCell="C1" sqref="C1"/>
    </sheetView>
  </sheetViews>
  <sheetFormatPr baseColWidth="10" defaultRowHeight="15"/>
  <cols>
    <col min="1" max="1" width="19.28515625" customWidth="1"/>
    <col min="2" max="2" width="24.28515625" bestFit="1" customWidth="1"/>
    <col min="3" max="3" width="34.28515625" customWidth="1"/>
    <col min="4" max="4" width="34.140625" customWidth="1"/>
    <col min="6" max="6" width="15.140625" customWidth="1"/>
  </cols>
  <sheetData>
    <row r="2" spans="2:8">
      <c r="B2" s="17" t="s">
        <v>202</v>
      </c>
      <c r="C2" s="47"/>
      <c r="D2" s="47"/>
    </row>
    <row r="3" spans="2:8" ht="16.5">
      <c r="B3" s="204" t="s">
        <v>0</v>
      </c>
      <c r="C3" s="205">
        <v>2000</v>
      </c>
      <c r="D3" s="47" t="s">
        <v>1</v>
      </c>
      <c r="H3" s="1"/>
    </row>
    <row r="4" spans="2:8" ht="16.5">
      <c r="B4" s="204" t="s">
        <v>2</v>
      </c>
      <c r="C4" s="206">
        <v>20</v>
      </c>
      <c r="D4" s="47"/>
      <c r="H4" s="2"/>
    </row>
    <row r="5" spans="2:8">
      <c r="B5" s="204" t="s">
        <v>3</v>
      </c>
      <c r="C5" s="206">
        <v>2</v>
      </c>
      <c r="D5" s="47" t="s">
        <v>4</v>
      </c>
    </row>
    <row r="7" spans="2:8">
      <c r="B7" t="s">
        <v>5</v>
      </c>
    </row>
    <row r="10" spans="2:8">
      <c r="B10" s="3"/>
      <c r="C10" s="4"/>
      <c r="D10" s="4"/>
      <c r="E10" s="4"/>
      <c r="F10" s="5"/>
    </row>
    <row r="11" spans="2:8">
      <c r="B11" s="324" t="s">
        <v>6</v>
      </c>
      <c r="C11" s="6"/>
      <c r="D11" s="7" t="s">
        <v>370</v>
      </c>
      <c r="E11" s="8" t="s">
        <v>7</v>
      </c>
      <c r="F11" s="9"/>
    </row>
    <row r="12" spans="2:8">
      <c r="B12" s="324"/>
      <c r="C12" s="6"/>
      <c r="D12" s="10" t="s">
        <v>8</v>
      </c>
      <c r="E12" s="11">
        <f>C5</f>
        <v>2</v>
      </c>
      <c r="F12" s="12"/>
    </row>
    <row r="13" spans="2:8">
      <c r="B13" s="13"/>
      <c r="C13" s="14"/>
      <c r="D13" s="15" t="s">
        <v>9</v>
      </c>
      <c r="E13" s="16">
        <f>2*(C3*C4)/C5</f>
        <v>40000</v>
      </c>
      <c r="F13" s="12"/>
    </row>
    <row r="14" spans="2:8">
      <c r="B14" s="13"/>
      <c r="C14" s="14"/>
      <c r="D14" s="14"/>
      <c r="E14" s="14"/>
      <c r="F14" s="12"/>
    </row>
    <row r="15" spans="2:8">
      <c r="B15" s="392" t="s">
        <v>10</v>
      </c>
      <c r="C15" s="393"/>
      <c r="D15" s="18">
        <f>SQRT(E13)</f>
        <v>200</v>
      </c>
      <c r="E15" s="19" t="s">
        <v>11</v>
      </c>
      <c r="F15" s="12"/>
    </row>
    <row r="16" spans="2:8">
      <c r="B16" s="20"/>
      <c r="C16" s="21"/>
      <c r="D16" s="22"/>
      <c r="E16" s="21"/>
      <c r="F16" s="9"/>
    </row>
    <row r="17" spans="1:6">
      <c r="B17" s="14"/>
      <c r="C17" s="14"/>
      <c r="D17" s="23"/>
      <c r="E17" s="14"/>
      <c r="F17" s="14"/>
    </row>
    <row r="20" spans="1:6">
      <c r="B20" s="3"/>
      <c r="C20" s="4"/>
      <c r="D20" s="4"/>
      <c r="E20" s="4"/>
      <c r="F20" s="5"/>
    </row>
    <row r="21" spans="1:6">
      <c r="B21" s="325" t="s">
        <v>12</v>
      </c>
      <c r="C21" s="24"/>
      <c r="D21" s="7" t="s">
        <v>13</v>
      </c>
      <c r="E21" s="25">
        <f>C3</f>
        <v>2000</v>
      </c>
      <c r="F21" s="12"/>
    </row>
    <row r="22" spans="1:6">
      <c r="B22" s="325"/>
      <c r="C22" s="26"/>
      <c r="D22" s="10" t="s">
        <v>14</v>
      </c>
      <c r="E22" s="27">
        <f>D15</f>
        <v>200</v>
      </c>
      <c r="F22" s="12"/>
    </row>
    <row r="23" spans="1:6">
      <c r="B23" s="13"/>
      <c r="C23" s="14"/>
      <c r="D23" s="14"/>
      <c r="E23" s="14"/>
      <c r="F23" s="12"/>
    </row>
    <row r="24" spans="1:6">
      <c r="B24" s="13"/>
      <c r="C24" s="14"/>
      <c r="D24" s="14"/>
      <c r="E24" s="14"/>
      <c r="F24" s="12"/>
    </row>
    <row r="25" spans="1:6">
      <c r="B25" s="28" t="str">
        <f>B21</f>
        <v>NÚMERO DE PEDIDOS</v>
      </c>
      <c r="C25" s="28"/>
      <c r="D25" s="29">
        <f>E21/E22</f>
        <v>10</v>
      </c>
      <c r="E25" s="30" t="s">
        <v>15</v>
      </c>
      <c r="F25" s="12"/>
    </row>
    <row r="26" spans="1:6">
      <c r="B26" s="20"/>
      <c r="C26" s="21"/>
      <c r="D26" s="22"/>
      <c r="E26" s="21"/>
      <c r="F26" s="9"/>
    </row>
    <row r="29" spans="1:6" ht="15.75" thickBot="1"/>
    <row r="30" spans="1:6">
      <c r="A30" s="31"/>
      <c r="B30" s="32"/>
      <c r="C30" s="32"/>
      <c r="D30" s="32"/>
      <c r="E30" s="32"/>
      <c r="F30" s="33"/>
    </row>
    <row r="31" spans="1:6">
      <c r="A31" s="34"/>
      <c r="B31" s="14" t="s">
        <v>16</v>
      </c>
      <c r="C31" s="14">
        <v>100</v>
      </c>
      <c r="D31" s="14" t="s">
        <v>17</v>
      </c>
      <c r="E31" s="14"/>
      <c r="F31" s="35"/>
    </row>
    <row r="32" spans="1:6">
      <c r="A32" s="34"/>
      <c r="B32" s="14" t="s">
        <v>18</v>
      </c>
      <c r="C32" s="14">
        <v>80</v>
      </c>
      <c r="D32" s="14" t="s">
        <v>17</v>
      </c>
      <c r="E32" s="14"/>
      <c r="F32" s="35"/>
    </row>
    <row r="33" spans="1:6">
      <c r="A33" s="34"/>
      <c r="B33" s="14" t="s">
        <v>19</v>
      </c>
      <c r="C33" s="14">
        <v>40</v>
      </c>
      <c r="D33" s="14" t="s">
        <v>17</v>
      </c>
      <c r="E33" s="14"/>
      <c r="F33" s="35"/>
    </row>
    <row r="34" spans="1:6">
      <c r="A34" s="34"/>
      <c r="B34" s="14" t="s">
        <v>20</v>
      </c>
      <c r="C34" s="14">
        <v>18</v>
      </c>
      <c r="D34" s="14" t="s">
        <v>21</v>
      </c>
      <c r="E34" s="14"/>
      <c r="F34" s="35"/>
    </row>
    <row r="35" spans="1:6">
      <c r="A35" s="34"/>
      <c r="B35" s="14"/>
      <c r="C35" s="14"/>
      <c r="D35" s="14"/>
      <c r="E35" s="14"/>
      <c r="F35" s="35"/>
    </row>
    <row r="36" spans="1:6">
      <c r="A36" s="34"/>
      <c r="B36" s="30" t="s">
        <v>22</v>
      </c>
      <c r="C36" s="14"/>
      <c r="D36" s="14"/>
      <c r="E36" s="14"/>
      <c r="F36" s="35"/>
    </row>
    <row r="37" spans="1:6">
      <c r="A37" s="34"/>
      <c r="B37" s="14"/>
      <c r="C37" s="14"/>
      <c r="D37" s="14"/>
      <c r="E37" s="14"/>
      <c r="F37" s="35"/>
    </row>
    <row r="38" spans="1:6">
      <c r="A38" s="34"/>
      <c r="B38" s="3">
        <f>C31-C32</f>
        <v>20</v>
      </c>
      <c r="C38" s="5" t="s">
        <v>23</v>
      </c>
      <c r="D38" s="14" t="s">
        <v>24</v>
      </c>
      <c r="E38" s="14"/>
      <c r="F38" s="35"/>
    </row>
    <row r="39" spans="1:6" ht="15.75" thickBot="1">
      <c r="A39" s="34"/>
      <c r="B39" s="13">
        <f>C34</f>
        <v>18</v>
      </c>
      <c r="C39" s="12" t="s">
        <v>21</v>
      </c>
      <c r="D39" s="14"/>
      <c r="E39" s="14"/>
      <c r="F39" s="35"/>
    </row>
    <row r="40" spans="1:6" ht="15.75" thickBot="1">
      <c r="A40" s="34"/>
      <c r="B40" s="36">
        <f>B38*B39</f>
        <v>360</v>
      </c>
      <c r="C40" s="37" t="s">
        <v>25</v>
      </c>
      <c r="D40" s="14"/>
      <c r="E40" s="14"/>
      <c r="F40" s="35"/>
    </row>
    <row r="41" spans="1:6">
      <c r="A41" s="34"/>
      <c r="B41" s="14"/>
      <c r="C41" s="14"/>
      <c r="D41" s="14"/>
      <c r="E41" s="14"/>
      <c r="F41" s="35"/>
    </row>
    <row r="42" spans="1:6">
      <c r="A42" s="34"/>
      <c r="B42" s="14"/>
      <c r="C42" s="14"/>
      <c r="D42" s="14"/>
      <c r="E42" s="14"/>
      <c r="F42" s="35"/>
    </row>
    <row r="43" spans="1:6">
      <c r="A43" s="34"/>
      <c r="B43" s="30" t="s">
        <v>26</v>
      </c>
      <c r="C43" s="14"/>
      <c r="D43" s="14"/>
      <c r="E43" s="14"/>
      <c r="F43" s="35"/>
    </row>
    <row r="44" spans="1:6">
      <c r="A44" s="34"/>
      <c r="B44" s="14"/>
      <c r="C44" s="14"/>
      <c r="D44" s="14"/>
      <c r="E44" s="14"/>
      <c r="F44" s="35"/>
    </row>
    <row r="45" spans="1:6">
      <c r="A45" s="34"/>
      <c r="B45" s="38">
        <f>B40</f>
        <v>360</v>
      </c>
      <c r="C45" s="5" t="s">
        <v>27</v>
      </c>
      <c r="D45" s="14"/>
      <c r="E45" s="14"/>
      <c r="F45" s="35"/>
    </row>
    <row r="46" spans="1:6" ht="15.75" thickBot="1">
      <c r="A46" s="39" t="s">
        <v>28</v>
      </c>
      <c r="B46" s="40">
        <f>C32*C34</f>
        <v>1440</v>
      </c>
      <c r="C46" s="12" t="s">
        <v>29</v>
      </c>
      <c r="D46" s="14"/>
      <c r="E46" s="14"/>
      <c r="F46" s="35"/>
    </row>
    <row r="47" spans="1:6" ht="15.75" thickBot="1">
      <c r="A47" s="34"/>
      <c r="B47" s="41">
        <f>B45+B46</f>
        <v>1800</v>
      </c>
      <c r="C47" s="37" t="s">
        <v>30</v>
      </c>
      <c r="D47" s="14"/>
      <c r="E47" s="14"/>
      <c r="F47" s="35"/>
    </row>
    <row r="48" spans="1:6" ht="15.75" thickBot="1">
      <c r="A48" s="42"/>
      <c r="B48" s="43"/>
      <c r="C48" s="43"/>
      <c r="D48" s="43"/>
      <c r="E48" s="43"/>
      <c r="F48" s="44"/>
    </row>
  </sheetData>
  <mergeCells count="2">
    <mergeCell ref="B11:B12"/>
    <mergeCell ref="B21:B22"/>
  </mergeCell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37" zoomScale="90" zoomScaleNormal="90" workbookViewId="0">
      <selection activeCell="A55" sqref="A55"/>
    </sheetView>
  </sheetViews>
  <sheetFormatPr baseColWidth="10" defaultRowHeight="16.5"/>
  <cols>
    <col min="1" max="1" width="54" style="224" customWidth="1"/>
    <col min="2" max="2" width="31.5703125" style="224" customWidth="1"/>
    <col min="3" max="3" width="13.5703125" style="224" customWidth="1"/>
    <col min="4" max="4" width="16" style="224" customWidth="1"/>
    <col min="5" max="5" width="15.42578125" style="224" customWidth="1"/>
    <col min="6" max="6" width="12.7109375" style="224" bestFit="1" customWidth="1"/>
    <col min="7" max="7" width="20.42578125" style="224" customWidth="1"/>
    <col min="8" max="8" width="15.42578125" style="224" customWidth="1"/>
    <col min="9" max="9" width="14.42578125" style="224" customWidth="1"/>
    <col min="10" max="16384" width="11.42578125" style="224"/>
  </cols>
  <sheetData>
    <row r="1" spans="1:6" ht="17.25" thickBot="1"/>
    <row r="2" spans="1:6" ht="17.25" thickBot="1">
      <c r="A2" s="357" t="s">
        <v>271</v>
      </c>
      <c r="B2" s="358"/>
      <c r="C2" s="358"/>
      <c r="D2" s="358"/>
      <c r="E2" s="358"/>
      <c r="F2" s="359"/>
    </row>
    <row r="3" spans="1:6" ht="17.25" thickBot="1">
      <c r="A3" s="225"/>
      <c r="B3" s="226" t="s">
        <v>272</v>
      </c>
      <c r="C3" s="226" t="s">
        <v>273</v>
      </c>
      <c r="D3" s="226" t="s">
        <v>274</v>
      </c>
      <c r="E3" s="226" t="s">
        <v>275</v>
      </c>
      <c r="F3" s="226" t="s">
        <v>223</v>
      </c>
    </row>
    <row r="4" spans="1:6">
      <c r="A4" s="227" t="s">
        <v>276</v>
      </c>
      <c r="B4" s="228">
        <v>40</v>
      </c>
      <c r="C4" s="228">
        <v>60</v>
      </c>
    </row>
    <row r="5" spans="1:6" ht="28.5" customHeight="1">
      <c r="A5" s="227" t="s">
        <v>277</v>
      </c>
      <c r="B5" s="229">
        <v>8</v>
      </c>
      <c r="C5" s="229">
        <v>12</v>
      </c>
    </row>
    <row r="6" spans="1:6">
      <c r="A6" s="227" t="s">
        <v>278</v>
      </c>
      <c r="B6" s="230">
        <v>300</v>
      </c>
      <c r="C6" s="230">
        <v>200</v>
      </c>
      <c r="D6" s="230">
        <v>100</v>
      </c>
      <c r="E6" s="230">
        <v>400</v>
      </c>
      <c r="F6" s="231">
        <f>+D6+E6</f>
        <v>500</v>
      </c>
    </row>
    <row r="7" spans="1:6">
      <c r="A7" s="227" t="s">
        <v>279</v>
      </c>
      <c r="B7" s="232">
        <v>300</v>
      </c>
      <c r="C7" s="232">
        <v>400</v>
      </c>
      <c r="D7" s="232">
        <v>500</v>
      </c>
      <c r="E7" s="232">
        <v>200</v>
      </c>
      <c r="F7" s="231">
        <f>+D7+E7</f>
        <v>700</v>
      </c>
    </row>
    <row r="8" spans="1:6">
      <c r="A8" s="227" t="s">
        <v>280</v>
      </c>
      <c r="B8" s="232">
        <v>100</v>
      </c>
      <c r="C8" s="232">
        <v>60</v>
      </c>
      <c r="D8" s="232">
        <v>50</v>
      </c>
      <c r="E8" s="232">
        <v>110</v>
      </c>
      <c r="F8" s="231">
        <f>+D8+E8</f>
        <v>160</v>
      </c>
    </row>
    <row r="9" spans="1:6">
      <c r="A9" s="227" t="s">
        <v>281</v>
      </c>
      <c r="B9" s="232">
        <v>20</v>
      </c>
      <c r="C9" s="232">
        <v>80</v>
      </c>
      <c r="D9" s="232">
        <v>30</v>
      </c>
      <c r="E9" s="232">
        <v>70</v>
      </c>
      <c r="F9" s="231">
        <f>+D9+E9</f>
        <v>100</v>
      </c>
    </row>
    <row r="10" spans="1:6">
      <c r="A10" s="227" t="s">
        <v>282</v>
      </c>
      <c r="B10" s="232">
        <v>1500</v>
      </c>
      <c r="C10" s="232">
        <v>500</v>
      </c>
      <c r="D10" s="232">
        <v>400</v>
      </c>
      <c r="E10" s="232">
        <v>1600</v>
      </c>
      <c r="F10" s="231">
        <f>+D10+E10</f>
        <v>2000</v>
      </c>
    </row>
    <row r="11" spans="1:6">
      <c r="A11" s="227" t="s">
        <v>283</v>
      </c>
      <c r="B11" s="233">
        <v>400</v>
      </c>
      <c r="C11" s="234">
        <v>600</v>
      </c>
      <c r="D11" s="235">
        <v>50</v>
      </c>
      <c r="E11" s="235">
        <v>350</v>
      </c>
      <c r="F11" s="236" t="s">
        <v>284</v>
      </c>
    </row>
    <row r="12" spans="1:6">
      <c r="A12" s="227"/>
      <c r="D12" s="237">
        <v>200</v>
      </c>
      <c r="E12" s="237">
        <v>400</v>
      </c>
      <c r="F12" s="238" t="s">
        <v>285</v>
      </c>
    </row>
    <row r="13" spans="1:6">
      <c r="A13" s="227"/>
      <c r="D13" s="239"/>
      <c r="F13" s="240"/>
    </row>
    <row r="14" spans="1:6">
      <c r="A14" s="227" t="s">
        <v>286</v>
      </c>
      <c r="B14" s="233">
        <v>20</v>
      </c>
      <c r="C14" s="233">
        <v>80</v>
      </c>
      <c r="D14" s="233">
        <v>70</v>
      </c>
      <c r="E14" s="233">
        <v>30</v>
      </c>
      <c r="F14" s="241">
        <f>+D14+E14</f>
        <v>100</v>
      </c>
    </row>
    <row r="15" spans="1:6">
      <c r="A15" s="227" t="s">
        <v>287</v>
      </c>
      <c r="B15" s="233">
        <v>60</v>
      </c>
      <c r="C15" s="233">
        <v>140</v>
      </c>
      <c r="D15" s="233">
        <v>150</v>
      </c>
      <c r="E15" s="233">
        <v>50</v>
      </c>
      <c r="F15" s="241">
        <f>+D15+E15</f>
        <v>200</v>
      </c>
    </row>
    <row r="16" spans="1:6">
      <c r="A16" s="227" t="s">
        <v>288</v>
      </c>
      <c r="B16" s="233">
        <v>500</v>
      </c>
      <c r="C16" s="233">
        <v>400</v>
      </c>
      <c r="D16" s="233">
        <v>150</v>
      </c>
      <c r="E16" s="233">
        <v>750</v>
      </c>
      <c r="F16" s="241">
        <f>+D16+E16</f>
        <v>900</v>
      </c>
    </row>
    <row r="17" spans="1:9" ht="33.75" customHeight="1">
      <c r="A17" s="227" t="s">
        <v>289</v>
      </c>
      <c r="B17" s="242">
        <v>300</v>
      </c>
      <c r="C17" s="242">
        <v>200</v>
      </c>
      <c r="D17" s="242">
        <v>100</v>
      </c>
      <c r="E17" s="242">
        <v>400</v>
      </c>
      <c r="F17" s="243">
        <f t="shared" ref="F17" si="0">+D17+E17</f>
        <v>500</v>
      </c>
    </row>
    <row r="18" spans="1:9" ht="17.25" thickBot="1"/>
    <row r="19" spans="1:9" ht="17.25" thickBot="1">
      <c r="A19" s="244" t="s">
        <v>290</v>
      </c>
      <c r="B19" s="245"/>
      <c r="C19" s="245"/>
    </row>
    <row r="20" spans="1:9">
      <c r="B20" s="246" t="str">
        <f>+D3</f>
        <v xml:space="preserve">Region Norte </v>
      </c>
      <c r="C20" s="246" t="str">
        <f>+E3</f>
        <v>Region Sur</v>
      </c>
    </row>
    <row r="21" spans="1:9">
      <c r="A21" s="247" t="str">
        <f>+A6</f>
        <v>Embarques</v>
      </c>
      <c r="B21" s="248">
        <v>80</v>
      </c>
      <c r="C21" s="248">
        <v>420</v>
      </c>
    </row>
    <row r="22" spans="1:9">
      <c r="A22" s="247" t="str">
        <f>+A7</f>
        <v>Unidades manejadas</v>
      </c>
      <c r="B22" s="248">
        <v>477</v>
      </c>
      <c r="C22" s="248">
        <v>223</v>
      </c>
    </row>
    <row r="23" spans="1:9">
      <c r="A23" s="247" t="str">
        <f>+A8</f>
        <v>Ordenes de los clientes</v>
      </c>
      <c r="B23" s="248">
        <v>52</v>
      </c>
      <c r="C23" s="248">
        <v>108</v>
      </c>
    </row>
    <row r="24" spans="1:9">
      <c r="A24" s="247" t="str">
        <f>+A9</f>
        <v>Devoluciones</v>
      </c>
      <c r="B24" s="248">
        <v>29</v>
      </c>
      <c r="C24" s="248">
        <v>71</v>
      </c>
    </row>
    <row r="25" spans="1:9">
      <c r="A25" s="247" t="str">
        <f>+A10</f>
        <v>Unidades en almácen</v>
      </c>
      <c r="B25" s="248">
        <v>370</v>
      </c>
      <c r="C25" s="248">
        <v>1630</v>
      </c>
    </row>
    <row r="26" spans="1:9">
      <c r="A26" s="247" t="str">
        <f>+A16</f>
        <v>Artículos de oficina</v>
      </c>
      <c r="B26" s="248">
        <v>120</v>
      </c>
      <c r="C26" s="248">
        <v>780</v>
      </c>
    </row>
    <row r="27" spans="1:9">
      <c r="A27" s="247" t="str">
        <f>+A14</f>
        <v>Cuentas vendidas</v>
      </c>
      <c r="B27" s="248">
        <v>70</v>
      </c>
      <c r="C27" s="248">
        <v>30</v>
      </c>
    </row>
    <row r="28" spans="1:9">
      <c r="A28" s="247" t="str">
        <f>+A15</f>
        <v>Llamadas de venta</v>
      </c>
      <c r="B28" s="248">
        <v>150</v>
      </c>
      <c r="C28" s="248">
        <v>50</v>
      </c>
    </row>
    <row r="29" spans="1:9" ht="33">
      <c r="A29" s="249" t="str">
        <f>+A17</f>
        <v>Pulgadas de los espacios periodisticos para publicidad</v>
      </c>
      <c r="B29" s="248">
        <v>100</v>
      </c>
      <c r="C29" s="248">
        <v>400</v>
      </c>
    </row>
    <row r="30" spans="1:9" ht="17.25" thickBot="1"/>
    <row r="31" spans="1:9" ht="17.25" thickBot="1">
      <c r="A31" s="357" t="s">
        <v>291</v>
      </c>
      <c r="B31" s="358"/>
      <c r="C31" s="358"/>
      <c r="D31" s="358"/>
      <c r="E31" s="358"/>
      <c r="F31" s="359"/>
      <c r="H31" s="250"/>
      <c r="I31" s="250"/>
    </row>
    <row r="32" spans="1:9">
      <c r="D32" s="360" t="s">
        <v>292</v>
      </c>
      <c r="E32" s="361"/>
      <c r="F32" s="360" t="s">
        <v>293</v>
      </c>
      <c r="G32" s="362"/>
    </row>
    <row r="33" spans="1:7" ht="49.5">
      <c r="A33" s="251" t="s">
        <v>294</v>
      </c>
      <c r="B33" s="252" t="s">
        <v>295</v>
      </c>
      <c r="C33" s="252" t="s">
        <v>296</v>
      </c>
      <c r="D33" s="252" t="s">
        <v>223</v>
      </c>
      <c r="E33" s="252" t="s">
        <v>297</v>
      </c>
      <c r="F33" s="252" t="s">
        <v>298</v>
      </c>
      <c r="G33" s="252" t="s">
        <v>297</v>
      </c>
    </row>
    <row r="34" spans="1:7">
      <c r="A34" s="253" t="s">
        <v>299</v>
      </c>
    </row>
    <row r="35" spans="1:7">
      <c r="A35" s="254" t="s">
        <v>300</v>
      </c>
    </row>
    <row r="36" spans="1:7">
      <c r="A36" s="233" t="s">
        <v>301</v>
      </c>
      <c r="B36" s="233" t="str">
        <f>+A6</f>
        <v>Embarques</v>
      </c>
      <c r="C36" s="255"/>
      <c r="D36" s="256">
        <v>10500</v>
      </c>
      <c r="E36" s="257"/>
    </row>
    <row r="37" spans="1:7">
      <c r="A37" s="258" t="s">
        <v>302</v>
      </c>
      <c r="B37" s="258" t="str">
        <f>+A7</f>
        <v>Unidades manejadas</v>
      </c>
      <c r="C37" s="255"/>
      <c r="D37" s="257">
        <v>4200</v>
      </c>
      <c r="E37" s="257"/>
    </row>
    <row r="38" spans="1:7">
      <c r="A38" s="233" t="s">
        <v>303</v>
      </c>
      <c r="B38" s="258" t="str">
        <f>+A8</f>
        <v>Ordenes de los clientes</v>
      </c>
      <c r="C38" s="233"/>
      <c r="D38" s="257">
        <v>800</v>
      </c>
      <c r="E38" s="257"/>
    </row>
    <row r="39" spans="1:7">
      <c r="A39" s="233" t="s">
        <v>304</v>
      </c>
      <c r="B39" s="233" t="str">
        <f>+A9</f>
        <v>Devoluciones</v>
      </c>
      <c r="C39" s="233"/>
      <c r="D39" s="257">
        <v>1000</v>
      </c>
      <c r="E39" s="257"/>
    </row>
    <row r="40" spans="1:7">
      <c r="A40" s="233" t="s">
        <v>305</v>
      </c>
      <c r="B40" s="233" t="str">
        <f>+A10</f>
        <v>Unidades en almácen</v>
      </c>
      <c r="C40" s="255"/>
      <c r="D40" s="257">
        <v>1000</v>
      </c>
      <c r="E40" s="257"/>
    </row>
    <row r="41" spans="1:7">
      <c r="A41" s="258" t="s">
        <v>306</v>
      </c>
      <c r="B41" s="233" t="str">
        <f>+A16</f>
        <v>Artículos de oficina</v>
      </c>
      <c r="C41" s="233"/>
      <c r="D41" s="257">
        <v>1800</v>
      </c>
      <c r="E41" s="257"/>
    </row>
    <row r="42" spans="1:7">
      <c r="A42" s="240" t="s">
        <v>307</v>
      </c>
      <c r="B42" s="259" t="s">
        <v>308</v>
      </c>
      <c r="C42" s="259" t="s">
        <v>309</v>
      </c>
    </row>
    <row r="43" spans="1:7">
      <c r="A43" s="260" t="s">
        <v>310</v>
      </c>
      <c r="B43" s="229">
        <v>600</v>
      </c>
      <c r="C43" s="229">
        <v>650</v>
      </c>
    </row>
    <row r="44" spans="1:7">
      <c r="A44" s="260" t="s">
        <v>311</v>
      </c>
      <c r="B44" s="229">
        <v>450</v>
      </c>
      <c r="C44" s="229">
        <v>445</v>
      </c>
    </row>
    <row r="45" spans="1:7">
      <c r="A45" s="261" t="s">
        <v>312</v>
      </c>
      <c r="B45" s="233" t="str">
        <f>+B36</f>
        <v>Embarques</v>
      </c>
      <c r="C45" s="233"/>
      <c r="D45" s="257">
        <v>2000</v>
      </c>
      <c r="E45" s="257"/>
      <c r="F45" s="257">
        <v>500</v>
      </c>
      <c r="G45" s="262"/>
    </row>
    <row r="46" spans="1:7">
      <c r="A46" s="261" t="s">
        <v>313</v>
      </c>
      <c r="B46" s="233" t="str">
        <f>+A14</f>
        <v>Cuentas vendidas</v>
      </c>
      <c r="C46" s="233"/>
      <c r="D46" s="257">
        <v>900</v>
      </c>
      <c r="E46" s="257"/>
      <c r="F46" s="257">
        <v>300</v>
      </c>
      <c r="G46" s="262"/>
    </row>
    <row r="47" spans="1:7">
      <c r="A47" s="261" t="s">
        <v>314</v>
      </c>
      <c r="B47" s="233" t="str">
        <f>+A8</f>
        <v>Ordenes de los clientes</v>
      </c>
      <c r="C47" s="233"/>
      <c r="D47" s="257">
        <v>320</v>
      </c>
      <c r="E47" s="257"/>
      <c r="F47" s="257">
        <v>800</v>
      </c>
      <c r="G47" s="262"/>
    </row>
    <row r="48" spans="1:7">
      <c r="A48" s="261" t="s">
        <v>315</v>
      </c>
      <c r="B48" s="233" t="str">
        <f>+A15</f>
        <v>Llamadas de venta</v>
      </c>
      <c r="C48" s="233"/>
      <c r="D48" s="257">
        <v>2000</v>
      </c>
      <c r="E48" s="257"/>
      <c r="F48" s="257">
        <v>800</v>
      </c>
      <c r="G48" s="262"/>
    </row>
    <row r="49" spans="1:7" ht="30" customHeight="1">
      <c r="A49" s="263" t="s">
        <v>316</v>
      </c>
      <c r="B49" s="258" t="str">
        <f>+A29</f>
        <v>Pulgadas de los espacios periodisticos para publicidad</v>
      </c>
      <c r="C49" s="233"/>
      <c r="D49" s="257">
        <v>1500</v>
      </c>
      <c r="E49" s="257"/>
      <c r="F49" s="257">
        <v>1000</v>
      </c>
      <c r="G49" s="262"/>
    </row>
  </sheetData>
  <mergeCells count="4">
    <mergeCell ref="A2:F2"/>
    <mergeCell ref="A31:F31"/>
    <mergeCell ref="D32:E32"/>
    <mergeCell ref="F32:G3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sqref="A1:C1"/>
    </sheetView>
  </sheetViews>
  <sheetFormatPr baseColWidth="10" defaultRowHeight="15"/>
  <cols>
    <col min="1" max="1" width="43.85546875" bestFit="1" customWidth="1"/>
    <col min="2" max="2" width="14.7109375" bestFit="1" customWidth="1"/>
    <col min="3" max="3" width="14.42578125" bestFit="1" customWidth="1"/>
  </cols>
  <sheetData>
    <row r="1" spans="1:3" ht="16.5">
      <c r="A1" s="363" t="s">
        <v>317</v>
      </c>
      <c r="B1" s="363"/>
      <c r="C1" s="363"/>
    </row>
    <row r="2" spans="1:3" ht="16.5">
      <c r="A2" s="264"/>
      <c r="B2" s="245" t="s">
        <v>284</v>
      </c>
      <c r="C2" s="245" t="s">
        <v>285</v>
      </c>
    </row>
    <row r="3" spans="1:3" ht="16.5">
      <c r="A3" s="224" t="s">
        <v>318</v>
      </c>
      <c r="B3" s="229"/>
      <c r="C3" s="229"/>
    </row>
    <row r="4" spans="1:3" ht="16.5">
      <c r="A4" s="224" t="s">
        <v>319</v>
      </c>
      <c r="B4" s="229"/>
      <c r="C4" s="229"/>
    </row>
    <row r="5" spans="1:3" ht="16.5">
      <c r="A5" s="264" t="s">
        <v>320</v>
      </c>
      <c r="B5" s="265">
        <f>+B3-B4</f>
        <v>0</v>
      </c>
      <c r="C5" s="265">
        <f>+C3-C4</f>
        <v>0</v>
      </c>
    </row>
    <row r="6" spans="1:3" ht="16.5">
      <c r="A6" s="224" t="s">
        <v>321</v>
      </c>
      <c r="B6" s="224"/>
      <c r="C6" s="224"/>
    </row>
    <row r="7" spans="1:3" ht="16.5">
      <c r="A7" s="264" t="s">
        <v>299</v>
      </c>
      <c r="B7" s="224"/>
      <c r="C7" s="224"/>
    </row>
    <row r="8" spans="1:3" ht="16.5">
      <c r="A8" s="224" t="s">
        <v>301</v>
      </c>
      <c r="B8" s="229"/>
      <c r="C8" s="229"/>
    </row>
    <row r="9" spans="1:3" ht="33">
      <c r="A9" s="266" t="s">
        <v>302</v>
      </c>
      <c r="B9" s="229"/>
      <c r="C9" s="229"/>
    </row>
    <row r="10" spans="1:3" ht="16.5">
      <c r="A10" s="224" t="s">
        <v>303</v>
      </c>
      <c r="B10" s="229"/>
      <c r="C10" s="229"/>
    </row>
    <row r="11" spans="1:3" ht="16.5">
      <c r="A11" s="224" t="s">
        <v>322</v>
      </c>
      <c r="B11" s="229"/>
      <c r="C11" s="229"/>
    </row>
    <row r="12" spans="1:3" ht="16.5">
      <c r="A12" s="224" t="s">
        <v>305</v>
      </c>
      <c r="B12" s="229"/>
      <c r="C12" s="229"/>
    </row>
    <row r="13" spans="1:3" ht="33">
      <c r="A13" s="266" t="s">
        <v>306</v>
      </c>
      <c r="B13" s="229"/>
      <c r="C13" s="229"/>
    </row>
    <row r="14" spans="1:3" ht="16.5">
      <c r="A14" s="224" t="s">
        <v>323</v>
      </c>
      <c r="B14" s="229">
        <f>'Gtos Op ABC'!B43</f>
        <v>600</v>
      </c>
      <c r="C14" s="229">
        <f>'Gtos Op ABC'!C43</f>
        <v>650</v>
      </c>
    </row>
    <row r="15" spans="1:3" ht="16.5">
      <c r="A15" s="267" t="s">
        <v>311</v>
      </c>
      <c r="B15" s="229">
        <f>'Gtos Op ABC'!B44</f>
        <v>450</v>
      </c>
      <c r="C15" s="229">
        <f>'Gtos Op ABC'!C44</f>
        <v>445</v>
      </c>
    </row>
    <row r="16" spans="1:3" ht="16.5">
      <c r="A16" s="268" t="s">
        <v>312</v>
      </c>
      <c r="B16" s="229"/>
      <c r="C16" s="229"/>
    </row>
    <row r="17" spans="1:4" ht="16.5">
      <c r="A17" s="268" t="s">
        <v>313</v>
      </c>
      <c r="B17" s="229"/>
      <c r="C17" s="229"/>
    </row>
    <row r="18" spans="1:4" ht="16.5">
      <c r="A18" s="268" t="s">
        <v>314</v>
      </c>
      <c r="B18" s="229"/>
      <c r="C18" s="229"/>
    </row>
    <row r="19" spans="1:4" ht="16.5">
      <c r="A19" s="268" t="s">
        <v>315</v>
      </c>
      <c r="B19" s="229"/>
      <c r="C19" s="229"/>
    </row>
    <row r="20" spans="1:4" ht="16.5">
      <c r="A20" s="269" t="s">
        <v>316</v>
      </c>
      <c r="B20" s="229"/>
      <c r="C20" s="229"/>
    </row>
    <row r="21" spans="1:4" ht="17.25" thickBot="1">
      <c r="A21" s="270" t="s">
        <v>324</v>
      </c>
      <c r="B21" s="271"/>
      <c r="C21" s="271"/>
    </row>
    <row r="22" spans="1:4" ht="17.25" thickBot="1">
      <c r="A22" s="272" t="s">
        <v>325</v>
      </c>
      <c r="B22" s="273"/>
      <c r="C22" s="274"/>
    </row>
    <row r="25" spans="1:4">
      <c r="D25" s="275"/>
    </row>
  </sheetData>
  <mergeCells count="1">
    <mergeCell ref="A1:C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3" workbookViewId="0">
      <selection activeCell="J23" sqref="J23:J24"/>
    </sheetView>
  </sheetViews>
  <sheetFormatPr baseColWidth="10" defaultRowHeight="15"/>
  <cols>
    <col min="1" max="1" width="43.85546875" bestFit="1" customWidth="1"/>
    <col min="2" max="2" width="14.7109375" bestFit="1" customWidth="1"/>
    <col min="3" max="3" width="14.42578125" bestFit="1" customWidth="1"/>
    <col min="4" max="4" width="12.7109375" bestFit="1" customWidth="1"/>
  </cols>
  <sheetData>
    <row r="1" spans="1:4" ht="16.5">
      <c r="A1" s="363" t="s">
        <v>326</v>
      </c>
      <c r="B1" s="363"/>
      <c r="C1" s="363"/>
      <c r="D1" s="363"/>
    </row>
    <row r="2" spans="1:4" ht="16.5">
      <c r="A2" s="264"/>
      <c r="B2" s="264" t="s">
        <v>327</v>
      </c>
      <c r="C2" s="264" t="s">
        <v>328</v>
      </c>
      <c r="D2" s="264" t="s">
        <v>223</v>
      </c>
    </row>
    <row r="3" spans="1:4" ht="16.5">
      <c r="A3" s="224" t="s">
        <v>318</v>
      </c>
      <c r="B3" s="229"/>
      <c r="C3" s="229"/>
      <c r="D3" s="229"/>
    </row>
    <row r="4" spans="1:4" ht="16.5">
      <c r="A4" s="224" t="s">
        <v>319</v>
      </c>
      <c r="B4" s="229"/>
      <c r="C4" s="229"/>
      <c r="D4" s="229"/>
    </row>
    <row r="5" spans="1:4" ht="16.5">
      <c r="A5" s="264" t="s">
        <v>320</v>
      </c>
      <c r="B5" s="265">
        <f>+B3-B4</f>
        <v>0</v>
      </c>
      <c r="C5" s="265">
        <f>+C3-C4</f>
        <v>0</v>
      </c>
      <c r="D5" s="265">
        <f t="shared" ref="D5:D15" si="0">+B5+C5</f>
        <v>0</v>
      </c>
    </row>
    <row r="6" spans="1:4" ht="16.5">
      <c r="A6" s="224" t="s">
        <v>321</v>
      </c>
      <c r="B6" s="224"/>
      <c r="C6" s="224"/>
      <c r="D6" s="276"/>
    </row>
    <row r="7" spans="1:4" ht="16.5">
      <c r="A7" s="264" t="s">
        <v>299</v>
      </c>
      <c r="B7" s="224"/>
      <c r="C7" s="224"/>
      <c r="D7" s="276"/>
    </row>
    <row r="8" spans="1:4" ht="16.5">
      <c r="A8" s="224" t="s">
        <v>301</v>
      </c>
      <c r="B8" s="229"/>
      <c r="C8" s="229"/>
      <c r="D8" s="229"/>
    </row>
    <row r="9" spans="1:4" ht="33">
      <c r="A9" s="266" t="s">
        <v>302</v>
      </c>
      <c r="B9" s="229"/>
      <c r="C9" s="229"/>
      <c r="D9" s="229"/>
    </row>
    <row r="10" spans="1:4" ht="16.5">
      <c r="A10" s="224" t="s">
        <v>303</v>
      </c>
      <c r="B10" s="229"/>
      <c r="C10" s="229"/>
      <c r="D10" s="229"/>
    </row>
    <row r="11" spans="1:4" ht="16.5">
      <c r="A11" s="224" t="s">
        <v>322</v>
      </c>
      <c r="B11" s="229"/>
      <c r="C11" s="229"/>
      <c r="D11" s="229"/>
    </row>
    <row r="12" spans="1:4" ht="16.5">
      <c r="A12" s="224" t="s">
        <v>305</v>
      </c>
      <c r="B12" s="229"/>
      <c r="C12" s="229"/>
      <c r="D12" s="229"/>
    </row>
    <row r="13" spans="1:4" ht="33">
      <c r="A13" s="266" t="s">
        <v>306</v>
      </c>
      <c r="B13" s="229"/>
      <c r="C13" s="229"/>
      <c r="D13" s="229"/>
    </row>
    <row r="14" spans="1:4" ht="16.5">
      <c r="A14" s="224" t="s">
        <v>323</v>
      </c>
      <c r="B14" s="229">
        <f>'Gtos Op ABC'!B43</f>
        <v>600</v>
      </c>
      <c r="C14" s="229">
        <f>'Gtos Op ABC'!C43</f>
        <v>650</v>
      </c>
      <c r="D14" s="229">
        <f t="shared" si="0"/>
        <v>1250</v>
      </c>
    </row>
    <row r="15" spans="1:4" ht="16.5">
      <c r="A15" s="267" t="s">
        <v>311</v>
      </c>
      <c r="B15" s="229">
        <f>'Gtos Op ABC'!B44</f>
        <v>450</v>
      </c>
      <c r="C15" s="229">
        <f>'Gtos Op ABC'!C44</f>
        <v>445</v>
      </c>
      <c r="D15" s="229">
        <f t="shared" si="0"/>
        <v>895</v>
      </c>
    </row>
    <row r="16" spans="1:4" ht="16.5">
      <c r="A16" s="268" t="s">
        <v>312</v>
      </c>
      <c r="B16" s="229"/>
      <c r="C16" s="229"/>
      <c r="D16" s="229"/>
    </row>
    <row r="17" spans="1:4" ht="16.5">
      <c r="A17" s="268" t="s">
        <v>313</v>
      </c>
      <c r="B17" s="229"/>
      <c r="C17" s="229"/>
      <c r="D17" s="229"/>
    </row>
    <row r="18" spans="1:4" ht="16.5">
      <c r="A18" s="268" t="s">
        <v>314</v>
      </c>
      <c r="B18" s="229"/>
      <c r="C18" s="229"/>
      <c r="D18" s="229"/>
    </row>
    <row r="19" spans="1:4" ht="16.5">
      <c r="A19" s="268" t="s">
        <v>315</v>
      </c>
      <c r="B19" s="229"/>
      <c r="C19" s="229"/>
      <c r="D19" s="229"/>
    </row>
    <row r="20" spans="1:4" ht="16.5">
      <c r="A20" s="269" t="s">
        <v>316</v>
      </c>
      <c r="B20" s="229"/>
      <c r="C20" s="229"/>
      <c r="D20" s="229"/>
    </row>
    <row r="21" spans="1:4" ht="17.25" thickBot="1">
      <c r="A21" s="270" t="s">
        <v>324</v>
      </c>
      <c r="B21" s="271"/>
      <c r="C21" s="271"/>
      <c r="D21" s="277"/>
    </row>
    <row r="22" spans="1:4" ht="17.25" thickBot="1">
      <c r="A22" s="272" t="s">
        <v>325</v>
      </c>
      <c r="B22" s="278"/>
      <c r="C22" s="279"/>
      <c r="D22" s="280"/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H73"/>
  <sheetViews>
    <sheetView showGridLines="0" workbookViewId="0">
      <selection activeCell="E3" sqref="E3"/>
    </sheetView>
  </sheetViews>
  <sheetFormatPr baseColWidth="10" defaultRowHeight="15"/>
  <cols>
    <col min="1" max="1" width="19.28515625" customWidth="1"/>
    <col min="2" max="2" width="30" customWidth="1"/>
    <col min="3" max="3" width="22.7109375" customWidth="1"/>
    <col min="4" max="4" width="34.140625" customWidth="1"/>
    <col min="6" max="6" width="17.5703125" customWidth="1"/>
  </cols>
  <sheetData>
    <row r="3" spans="2:8" ht="16.5">
      <c r="B3" s="28" t="s">
        <v>0</v>
      </c>
      <c r="C3" s="45">
        <v>9000</v>
      </c>
      <c r="D3" t="s">
        <v>31</v>
      </c>
      <c r="E3" s="46">
        <f>C3*12</f>
        <v>108000</v>
      </c>
      <c r="F3" t="s">
        <v>32</v>
      </c>
      <c r="H3" s="1"/>
    </row>
    <row r="4" spans="2:8" ht="16.5">
      <c r="B4" s="28" t="s">
        <v>2</v>
      </c>
      <c r="C4" s="47">
        <v>5</v>
      </c>
      <c r="H4" s="2"/>
    </row>
    <row r="5" spans="2:8">
      <c r="B5" s="28" t="s">
        <v>3</v>
      </c>
      <c r="C5" s="47">
        <f>25*0.12</f>
        <v>3</v>
      </c>
      <c r="D5" t="s">
        <v>4</v>
      </c>
    </row>
    <row r="9" spans="2:8">
      <c r="B9" t="s">
        <v>5</v>
      </c>
    </row>
    <row r="12" spans="2:8">
      <c r="B12" s="3"/>
      <c r="C12" s="4"/>
      <c r="D12" s="4"/>
      <c r="E12" s="4"/>
      <c r="F12" s="5"/>
    </row>
    <row r="13" spans="2:8">
      <c r="B13" s="323" t="s">
        <v>6</v>
      </c>
      <c r="C13" s="331" t="s">
        <v>33</v>
      </c>
      <c r="D13" s="332"/>
      <c r="E13" s="8" t="s">
        <v>34</v>
      </c>
      <c r="F13" s="9"/>
    </row>
    <row r="14" spans="2:8" ht="30.75" customHeight="1">
      <c r="B14" s="323"/>
      <c r="C14" s="333"/>
      <c r="D14" s="334"/>
      <c r="E14" s="48">
        <f>C5</f>
        <v>3</v>
      </c>
      <c r="F14" s="12"/>
    </row>
    <row r="15" spans="2:8">
      <c r="B15" s="13"/>
      <c r="C15" s="14"/>
      <c r="D15" s="15" t="s">
        <v>9</v>
      </c>
      <c r="E15" s="207"/>
      <c r="F15" s="12"/>
    </row>
    <row r="16" spans="2:8">
      <c r="B16" s="13"/>
      <c r="C16" s="14"/>
      <c r="D16" s="14"/>
      <c r="E16" s="14"/>
      <c r="F16" s="12"/>
    </row>
    <row r="17" spans="2:7">
      <c r="B17" s="17" t="s">
        <v>10</v>
      </c>
      <c r="C17" s="17"/>
      <c r="D17" s="18">
        <f>SQRT(E15)</f>
        <v>0</v>
      </c>
      <c r="E17" s="19" t="s">
        <v>11</v>
      </c>
      <c r="F17" s="12"/>
    </row>
    <row r="18" spans="2:7">
      <c r="B18" s="20"/>
      <c r="C18" s="21"/>
      <c r="D18" s="22"/>
      <c r="E18" s="21"/>
      <c r="F18" s="9"/>
    </row>
    <row r="19" spans="2:7">
      <c r="B19" s="14"/>
      <c r="C19" s="14"/>
      <c r="D19" s="23"/>
      <c r="E19" s="14"/>
      <c r="F19" s="14"/>
    </row>
    <row r="22" spans="2:7">
      <c r="B22" s="3"/>
      <c r="C22" s="4"/>
      <c r="D22" s="4"/>
      <c r="E22" s="4"/>
      <c r="F22" s="5"/>
    </row>
    <row r="23" spans="2:7">
      <c r="B23" s="325" t="s">
        <v>12</v>
      </c>
      <c r="C23" s="24"/>
      <c r="D23" s="7" t="s">
        <v>13</v>
      </c>
      <c r="E23" s="25">
        <f>E3</f>
        <v>108000</v>
      </c>
      <c r="F23" s="12"/>
    </row>
    <row r="24" spans="2:7">
      <c r="B24" s="325"/>
      <c r="C24" s="26"/>
      <c r="D24" s="10" t="s">
        <v>14</v>
      </c>
      <c r="E24" s="27">
        <f>D17</f>
        <v>0</v>
      </c>
      <c r="F24" s="12"/>
    </row>
    <row r="25" spans="2:7">
      <c r="B25" s="13"/>
      <c r="C25" s="14"/>
      <c r="D25" s="14"/>
      <c r="E25" s="14"/>
      <c r="F25" s="12"/>
    </row>
    <row r="26" spans="2:7">
      <c r="B26" s="13"/>
      <c r="C26" s="14"/>
      <c r="D26" s="14"/>
      <c r="E26" s="14"/>
      <c r="F26" s="12"/>
    </row>
    <row r="27" spans="2:7">
      <c r="B27" s="28" t="str">
        <f>B23</f>
        <v>NÚMERO DE PEDIDOS</v>
      </c>
      <c r="C27" s="28"/>
      <c r="D27" s="208"/>
      <c r="E27" s="30" t="s">
        <v>15</v>
      </c>
      <c r="F27" s="12"/>
    </row>
    <row r="28" spans="2:7">
      <c r="B28" s="20"/>
      <c r="C28" s="21"/>
      <c r="D28" s="22"/>
      <c r="E28" s="21"/>
      <c r="F28" s="9"/>
    </row>
    <row r="31" spans="2:7">
      <c r="B31" s="330" t="s">
        <v>50</v>
      </c>
      <c r="C31" s="330"/>
      <c r="D31" s="330"/>
      <c r="E31" s="330"/>
      <c r="F31" s="330"/>
      <c r="G31" s="330"/>
    </row>
    <row r="32" spans="2:7">
      <c r="B32" s="330"/>
      <c r="C32" s="330"/>
      <c r="D32" s="330"/>
      <c r="E32" s="330"/>
      <c r="F32" s="330"/>
      <c r="G32" s="330"/>
    </row>
    <row r="33" spans="1:7">
      <c r="B33" s="330"/>
      <c r="C33" s="330"/>
      <c r="D33" s="330"/>
      <c r="E33" s="330"/>
      <c r="F33" s="330"/>
      <c r="G33" s="330"/>
    </row>
    <row r="34" spans="1:7">
      <c r="B34" s="67"/>
      <c r="C34" s="67"/>
      <c r="D34" s="67"/>
      <c r="E34" s="67"/>
      <c r="F34" s="67"/>
      <c r="G34" s="67"/>
    </row>
    <row r="35" spans="1:7">
      <c r="B35" s="49" t="s">
        <v>35</v>
      </c>
    </row>
    <row r="37" spans="1:7">
      <c r="B37" s="28" t="s">
        <v>36</v>
      </c>
      <c r="C37" s="326"/>
    </row>
    <row r="38" spans="1:7">
      <c r="B38" s="50" t="s">
        <v>37</v>
      </c>
      <c r="C38" s="335"/>
      <c r="D38" t="s">
        <v>21</v>
      </c>
    </row>
    <row r="41" spans="1:7">
      <c r="B41" s="49" t="s">
        <v>38</v>
      </c>
    </row>
    <row r="43" spans="1:7">
      <c r="B43" s="51" t="s">
        <v>39</v>
      </c>
      <c r="C43" s="336" t="s">
        <v>51</v>
      </c>
      <c r="D43" s="328">
        <f>(300/600)*2</f>
        <v>1</v>
      </c>
    </row>
    <row r="44" spans="1:7">
      <c r="B44" s="68" t="s">
        <v>40</v>
      </c>
      <c r="C44" s="337"/>
      <c r="D44" s="329"/>
      <c r="E44" t="s">
        <v>41</v>
      </c>
    </row>
    <row r="46" spans="1:7">
      <c r="A46" s="52" t="s">
        <v>42</v>
      </c>
    </row>
    <row r="47" spans="1:7">
      <c r="B47" s="28" t="s">
        <v>43</v>
      </c>
      <c r="C47" s="326"/>
    </row>
    <row r="48" spans="1:7">
      <c r="B48" s="53" t="s">
        <v>44</v>
      </c>
      <c r="C48" s="327"/>
      <c r="D48" s="47" t="s">
        <v>18</v>
      </c>
    </row>
    <row r="50" spans="1:6">
      <c r="B50" s="47" t="s">
        <v>45</v>
      </c>
      <c r="C50" s="328">
        <f>300/300</f>
        <v>1</v>
      </c>
    </row>
    <row r="51" spans="1:6">
      <c r="B51" s="54" t="s">
        <v>46</v>
      </c>
      <c r="C51" s="329"/>
      <c r="D51" s="51" t="s">
        <v>47</v>
      </c>
      <c r="E51" s="55"/>
    </row>
    <row r="52" spans="1:6" ht="12.75" customHeight="1"/>
    <row r="54" spans="1:6" ht="15.75" thickBot="1"/>
    <row r="55" spans="1:6">
      <c r="A55" s="31"/>
      <c r="B55" s="32"/>
      <c r="C55" s="32"/>
      <c r="D55" s="32"/>
      <c r="E55" s="32"/>
      <c r="F55" s="33"/>
    </row>
    <row r="56" spans="1:6">
      <c r="A56" s="34"/>
      <c r="B56" s="14" t="s">
        <v>16</v>
      </c>
      <c r="C56" s="14">
        <v>50</v>
      </c>
      <c r="D56" s="14" t="s">
        <v>17</v>
      </c>
      <c r="E56" s="14"/>
      <c r="F56" s="35"/>
    </row>
    <row r="57" spans="1:6">
      <c r="A57" s="34"/>
      <c r="B57" s="14" t="s">
        <v>18</v>
      </c>
      <c r="C57" s="14">
        <v>40</v>
      </c>
      <c r="D57" s="14" t="s">
        <v>17</v>
      </c>
      <c r="E57" s="14"/>
      <c r="F57" s="35"/>
    </row>
    <row r="58" spans="1:6">
      <c r="A58" s="34"/>
      <c r="B58" s="14" t="s">
        <v>19</v>
      </c>
      <c r="C58" s="14">
        <v>20</v>
      </c>
      <c r="D58" s="14" t="s">
        <v>17</v>
      </c>
      <c r="E58" s="14"/>
      <c r="F58" s="35"/>
    </row>
    <row r="59" spans="1:6">
      <c r="A59" s="34"/>
      <c r="B59" s="14" t="s">
        <v>20</v>
      </c>
      <c r="C59" s="14">
        <v>18</v>
      </c>
      <c r="D59" s="14" t="s">
        <v>21</v>
      </c>
      <c r="E59" s="14"/>
      <c r="F59" s="35"/>
    </row>
    <row r="60" spans="1:6">
      <c r="A60" s="34"/>
      <c r="B60" s="14"/>
      <c r="C60" s="14"/>
      <c r="D60" s="14"/>
      <c r="E60" s="14"/>
      <c r="F60" s="35"/>
    </row>
    <row r="61" spans="1:6">
      <c r="A61" s="34"/>
      <c r="B61" s="30" t="s">
        <v>22</v>
      </c>
      <c r="C61" s="14"/>
      <c r="D61" s="14"/>
      <c r="E61" s="14"/>
      <c r="F61" s="35"/>
    </row>
    <row r="62" spans="1:6">
      <c r="A62" s="34"/>
      <c r="B62" s="14"/>
      <c r="C62" s="14"/>
      <c r="D62" s="14"/>
      <c r="E62" s="14"/>
      <c r="F62" s="35"/>
    </row>
    <row r="63" spans="1:6">
      <c r="A63" s="34"/>
      <c r="B63" s="69"/>
      <c r="C63" s="5" t="s">
        <v>23</v>
      </c>
      <c r="D63" s="56" t="s">
        <v>48</v>
      </c>
      <c r="E63" s="56"/>
      <c r="F63" s="57"/>
    </row>
    <row r="64" spans="1:6" ht="15.75" thickBot="1">
      <c r="A64" s="34"/>
      <c r="B64" s="70"/>
      <c r="C64" s="12" t="s">
        <v>21</v>
      </c>
      <c r="D64" s="14"/>
      <c r="E64" s="14"/>
      <c r="F64" s="35"/>
    </row>
    <row r="65" spans="1:6" ht="15.75" thickBot="1">
      <c r="A65" s="34"/>
      <c r="B65" s="58">
        <f>B63*B64</f>
        <v>0</v>
      </c>
      <c r="C65" s="59" t="s">
        <v>25</v>
      </c>
      <c r="D65" s="14"/>
      <c r="E65" s="14"/>
      <c r="F65" s="35"/>
    </row>
    <row r="66" spans="1:6">
      <c r="A66" s="34"/>
      <c r="B66" s="14"/>
      <c r="C66" s="14"/>
      <c r="D66" s="14"/>
      <c r="E66" s="14"/>
      <c r="F66" s="35"/>
    </row>
    <row r="67" spans="1:6">
      <c r="A67" s="34"/>
      <c r="B67" s="14"/>
      <c r="C67" s="14"/>
      <c r="D67" s="14"/>
      <c r="E67" s="14"/>
      <c r="F67" s="35"/>
    </row>
    <row r="68" spans="1:6">
      <c r="A68" s="34"/>
      <c r="B68" s="30" t="s">
        <v>26</v>
      </c>
      <c r="C68" s="14"/>
      <c r="D68" s="14"/>
      <c r="E68" s="14"/>
      <c r="F68" s="35"/>
    </row>
    <row r="69" spans="1:6">
      <c r="A69" s="34"/>
      <c r="B69" s="14"/>
      <c r="C69" s="14"/>
      <c r="D69" s="14"/>
      <c r="E69" s="14"/>
      <c r="F69" s="35"/>
    </row>
    <row r="70" spans="1:6">
      <c r="A70" s="34"/>
      <c r="B70" s="71"/>
      <c r="C70" s="5" t="s">
        <v>27</v>
      </c>
      <c r="D70" s="4"/>
      <c r="E70" s="5"/>
      <c r="F70" s="35"/>
    </row>
    <row r="71" spans="1:6" ht="15.75" thickBot="1">
      <c r="A71" s="39" t="s">
        <v>28</v>
      </c>
      <c r="B71" s="72"/>
      <c r="C71" s="60" t="s">
        <v>49</v>
      </c>
      <c r="D71" s="43"/>
      <c r="E71" s="60"/>
      <c r="F71" s="35"/>
    </row>
    <row r="72" spans="1:6">
      <c r="A72" s="34"/>
      <c r="B72" s="61">
        <f>B70+B71</f>
        <v>0</v>
      </c>
      <c r="C72" s="62" t="s">
        <v>30</v>
      </c>
      <c r="D72" s="63"/>
      <c r="E72" s="64"/>
      <c r="F72" s="35"/>
    </row>
    <row r="73" spans="1:6" ht="15.75" thickBot="1">
      <c r="A73" s="42"/>
      <c r="B73" s="43"/>
      <c r="C73" s="43"/>
      <c r="D73" s="43"/>
      <c r="E73" s="43"/>
      <c r="F73" s="44"/>
    </row>
  </sheetData>
  <mergeCells count="9">
    <mergeCell ref="C47:C48"/>
    <mergeCell ref="C50:C51"/>
    <mergeCell ref="B31:G33"/>
    <mergeCell ref="B13:B14"/>
    <mergeCell ref="C13:D14"/>
    <mergeCell ref="B23:B24"/>
    <mergeCell ref="C37:C38"/>
    <mergeCell ref="C43:C44"/>
    <mergeCell ref="D43:D4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2:I52"/>
  <sheetViews>
    <sheetView zoomScale="80" zoomScaleNormal="80" workbookViewId="0">
      <selection activeCell="C1" sqref="C1"/>
    </sheetView>
  </sheetViews>
  <sheetFormatPr baseColWidth="10" defaultRowHeight="15"/>
  <cols>
    <col min="1" max="1" width="11.42578125" style="73"/>
    <col min="2" max="2" width="53.28515625" style="73" customWidth="1"/>
    <col min="3" max="3" width="22.42578125" style="73" customWidth="1"/>
    <col min="4" max="4" width="10.140625" style="73" customWidth="1"/>
    <col min="5" max="16384" width="11.42578125" style="73"/>
  </cols>
  <sheetData>
    <row r="2" spans="2:4">
      <c r="B2" s="338" t="s">
        <v>52</v>
      </c>
      <c r="C2" s="339"/>
      <c r="D2" s="340"/>
    </row>
    <row r="4" spans="2:4" ht="15.75">
      <c r="B4" s="341" t="s">
        <v>53</v>
      </c>
      <c r="C4" s="342"/>
      <c r="D4" s="343"/>
    </row>
    <row r="5" spans="2:4" ht="15.75">
      <c r="B5" s="74" t="s">
        <v>6</v>
      </c>
      <c r="C5" s="75" t="s">
        <v>33</v>
      </c>
      <c r="D5" s="76"/>
    </row>
    <row r="6" spans="2:4" ht="15.75">
      <c r="B6" s="77" t="s">
        <v>54</v>
      </c>
      <c r="C6" s="78">
        <v>2000</v>
      </c>
      <c r="D6" s="79" t="s">
        <v>17</v>
      </c>
    </row>
    <row r="7" spans="2:4" ht="15.75">
      <c r="B7" s="77" t="s">
        <v>55</v>
      </c>
      <c r="C7" s="80">
        <v>20</v>
      </c>
      <c r="D7" s="79"/>
    </row>
    <row r="8" spans="2:4" ht="15.75">
      <c r="B8" s="77" t="s">
        <v>8</v>
      </c>
      <c r="C8" s="80">
        <v>2</v>
      </c>
      <c r="D8" s="79"/>
    </row>
    <row r="9" spans="2:4" ht="15.75">
      <c r="B9" s="81" t="s">
        <v>56</v>
      </c>
      <c r="C9" s="78">
        <f>(2*(C6*C7))/C8</f>
        <v>40000</v>
      </c>
      <c r="D9" s="79"/>
    </row>
    <row r="10" spans="2:4" ht="15.75">
      <c r="B10" s="82" t="s">
        <v>57</v>
      </c>
      <c r="C10" s="83">
        <f>SQRT(C9)</f>
        <v>200</v>
      </c>
      <c r="D10" s="84" t="s">
        <v>17</v>
      </c>
    </row>
    <row r="11" spans="2:4" ht="15.75">
      <c r="B11" s="74"/>
      <c r="C11" s="85"/>
      <c r="D11" s="76"/>
    </row>
    <row r="12" spans="2:4" ht="15.75">
      <c r="B12" s="77" t="s">
        <v>58</v>
      </c>
      <c r="C12" s="86" t="s">
        <v>59</v>
      </c>
      <c r="D12" s="79"/>
    </row>
    <row r="13" spans="2:4" ht="15.75">
      <c r="B13" s="82"/>
      <c r="C13" s="87">
        <f>C6/C10</f>
        <v>10</v>
      </c>
      <c r="D13" s="84" t="s">
        <v>60</v>
      </c>
    </row>
    <row r="14" spans="2:4" ht="15.75">
      <c r="B14" s="88"/>
      <c r="C14" s="88"/>
      <c r="D14" s="88"/>
    </row>
    <row r="15" spans="2:4" ht="15.75">
      <c r="B15" s="88"/>
      <c r="C15" s="88"/>
      <c r="D15" s="88"/>
    </row>
    <row r="16" spans="2:4" ht="15.75">
      <c r="B16" s="341" t="s">
        <v>61</v>
      </c>
      <c r="C16" s="342"/>
      <c r="D16" s="343"/>
    </row>
    <row r="17" spans="2:9" ht="15.75">
      <c r="B17" s="74" t="s">
        <v>6</v>
      </c>
      <c r="C17" s="75" t="s">
        <v>33</v>
      </c>
      <c r="D17" s="76"/>
    </row>
    <row r="18" spans="2:9" ht="15.75">
      <c r="B18" s="77" t="s">
        <v>62</v>
      </c>
      <c r="C18" s="78">
        <v>60000</v>
      </c>
      <c r="D18" s="79" t="s">
        <v>17</v>
      </c>
    </row>
    <row r="19" spans="2:9" ht="15.75">
      <c r="B19" s="77" t="s">
        <v>63</v>
      </c>
      <c r="C19" s="78"/>
      <c r="D19" s="79" t="s">
        <v>17</v>
      </c>
    </row>
    <row r="20" spans="2:9" ht="15.75">
      <c r="B20" s="77" t="s">
        <v>64</v>
      </c>
      <c r="C20" s="80">
        <v>128</v>
      </c>
      <c r="D20" s="79"/>
    </row>
    <row r="21" spans="2:9" ht="15.75">
      <c r="B21" s="77" t="s">
        <v>8</v>
      </c>
      <c r="C21" s="80">
        <v>4</v>
      </c>
      <c r="D21" s="79"/>
    </row>
    <row r="22" spans="2:9" ht="15.75">
      <c r="B22" s="81" t="s">
        <v>56</v>
      </c>
      <c r="C22" s="78">
        <f>(2*(C19*C20))/C21</f>
        <v>0</v>
      </c>
      <c r="D22" s="79"/>
    </row>
    <row r="23" spans="2:9" ht="15.75">
      <c r="B23" s="82" t="s">
        <v>57</v>
      </c>
      <c r="C23" s="89">
        <f>SQRT(C22)</f>
        <v>0</v>
      </c>
      <c r="D23" s="84" t="s">
        <v>17</v>
      </c>
    </row>
    <row r="24" spans="2:9" ht="15.75">
      <c r="B24" s="74"/>
      <c r="C24" s="85"/>
      <c r="D24" s="76"/>
    </row>
    <row r="25" spans="2:9" ht="15.75">
      <c r="B25" s="77" t="s">
        <v>58</v>
      </c>
      <c r="C25" s="86" t="s">
        <v>59</v>
      </c>
      <c r="D25" s="79"/>
    </row>
    <row r="26" spans="2:9" ht="15.75">
      <c r="B26" s="82"/>
      <c r="C26" s="90" t="e">
        <f>C19/C23</f>
        <v>#DIV/0!</v>
      </c>
      <c r="D26" s="84" t="s">
        <v>60</v>
      </c>
    </row>
    <row r="27" spans="2:9" ht="15.75">
      <c r="B27" s="88"/>
      <c r="C27" s="88"/>
      <c r="D27" s="88"/>
    </row>
    <row r="28" spans="2:9" ht="15.75">
      <c r="B28" s="88"/>
      <c r="C28" s="88"/>
      <c r="D28" s="88"/>
      <c r="I28" s="73">
        <f>12/4</f>
        <v>3</v>
      </c>
    </row>
    <row r="29" spans="2:9" ht="15.75">
      <c r="B29" s="341" t="s">
        <v>65</v>
      </c>
      <c r="C29" s="342"/>
      <c r="D29" s="343"/>
    </row>
    <row r="30" spans="2:9" ht="15.75">
      <c r="B30" s="74" t="s">
        <v>6</v>
      </c>
      <c r="C30" s="75" t="s">
        <v>33</v>
      </c>
      <c r="D30" s="76"/>
    </row>
    <row r="31" spans="2:9" ht="15.75">
      <c r="B31" s="77" t="s">
        <v>66</v>
      </c>
      <c r="C31" s="78">
        <v>60000</v>
      </c>
      <c r="D31" s="79" t="s">
        <v>17</v>
      </c>
    </row>
    <row r="32" spans="2:9" ht="15.75">
      <c r="B32" s="77" t="s">
        <v>63</v>
      </c>
      <c r="C32" s="78"/>
      <c r="D32" s="79" t="s">
        <v>17</v>
      </c>
    </row>
    <row r="33" spans="2:4" ht="15.75">
      <c r="B33" s="77" t="s">
        <v>64</v>
      </c>
      <c r="C33" s="80">
        <v>48</v>
      </c>
      <c r="D33" s="79"/>
    </row>
    <row r="34" spans="2:4" ht="15.75">
      <c r="B34" s="77" t="s">
        <v>8</v>
      </c>
      <c r="C34" s="80">
        <v>4</v>
      </c>
      <c r="D34" s="79"/>
    </row>
    <row r="35" spans="2:4" ht="15.75">
      <c r="B35" s="81" t="s">
        <v>56</v>
      </c>
      <c r="C35" s="78">
        <f>(2*(C32*C33))/C34</f>
        <v>0</v>
      </c>
      <c r="D35" s="79"/>
    </row>
    <row r="36" spans="2:4" ht="15.75">
      <c r="B36" s="82" t="s">
        <v>57</v>
      </c>
      <c r="C36" s="89">
        <f>SQRT(C35)</f>
        <v>0</v>
      </c>
      <c r="D36" s="84" t="s">
        <v>17</v>
      </c>
    </row>
    <row r="37" spans="2:4" ht="15.75">
      <c r="B37" s="74"/>
      <c r="C37" s="85"/>
      <c r="D37" s="76"/>
    </row>
    <row r="38" spans="2:4" ht="15.75">
      <c r="B38" s="77" t="s">
        <v>58</v>
      </c>
      <c r="C38" s="86" t="s">
        <v>59</v>
      </c>
      <c r="D38" s="79"/>
    </row>
    <row r="39" spans="2:4" ht="15.75">
      <c r="B39" s="82"/>
      <c r="C39" s="90" t="e">
        <f>C32/C36</f>
        <v>#DIV/0!</v>
      </c>
      <c r="D39" s="84" t="s">
        <v>60</v>
      </c>
    </row>
    <row r="40" spans="2:4" ht="15.75">
      <c r="B40" s="88"/>
      <c r="C40" s="88"/>
      <c r="D40" s="88"/>
    </row>
    <row r="41" spans="2:4" ht="15.75">
      <c r="B41" s="88"/>
      <c r="C41" s="88"/>
      <c r="D41" s="88"/>
    </row>
    <row r="42" spans="2:4" ht="15.75">
      <c r="B42" s="341" t="s">
        <v>67</v>
      </c>
      <c r="C42" s="342"/>
      <c r="D42" s="343"/>
    </row>
    <row r="43" spans="2:4" ht="15.75">
      <c r="B43" s="74" t="s">
        <v>6</v>
      </c>
      <c r="C43" s="75" t="s">
        <v>33</v>
      </c>
      <c r="D43" s="76"/>
    </row>
    <row r="44" spans="2:4" ht="15.75">
      <c r="B44" s="77" t="s">
        <v>68</v>
      </c>
      <c r="C44" s="78">
        <v>350</v>
      </c>
      <c r="D44" s="79" t="s">
        <v>17</v>
      </c>
    </row>
    <row r="45" spans="2:4" ht="15.75">
      <c r="B45" s="77" t="s">
        <v>63</v>
      </c>
      <c r="C45" s="78"/>
      <c r="D45" s="79" t="s">
        <v>17</v>
      </c>
    </row>
    <row r="46" spans="2:4" ht="15.75">
      <c r="B46" s="77" t="s">
        <v>64</v>
      </c>
      <c r="C46" s="80">
        <v>33</v>
      </c>
      <c r="D46" s="79"/>
    </row>
    <row r="47" spans="2:4" ht="15.75">
      <c r="B47" s="77" t="s">
        <v>8</v>
      </c>
      <c r="C47" s="80">
        <v>3</v>
      </c>
      <c r="D47" s="79"/>
    </row>
    <row r="48" spans="2:4" ht="15.75">
      <c r="B48" s="81" t="s">
        <v>56</v>
      </c>
      <c r="C48" s="78">
        <f>(2*(C45*C46)/C47)</f>
        <v>0</v>
      </c>
      <c r="D48" s="79"/>
    </row>
    <row r="49" spans="2:4" ht="15.75">
      <c r="B49" s="82" t="s">
        <v>57</v>
      </c>
      <c r="C49" s="91">
        <f>SQRT(C48)</f>
        <v>0</v>
      </c>
      <c r="D49" s="84" t="s">
        <v>17</v>
      </c>
    </row>
    <row r="50" spans="2:4" ht="15.75">
      <c r="B50" s="74"/>
      <c r="C50" s="85"/>
      <c r="D50" s="76"/>
    </row>
    <row r="51" spans="2:4" ht="15.75">
      <c r="B51" s="77" t="s">
        <v>58</v>
      </c>
      <c r="C51" s="86" t="s">
        <v>59</v>
      </c>
      <c r="D51" s="79"/>
    </row>
    <row r="52" spans="2:4" ht="15.75">
      <c r="B52" s="82"/>
      <c r="C52" s="92" t="e">
        <f>C45/C49</f>
        <v>#DIV/0!</v>
      </c>
      <c r="D52" s="84" t="s">
        <v>60</v>
      </c>
    </row>
  </sheetData>
  <mergeCells count="5">
    <mergeCell ref="B2:D2"/>
    <mergeCell ref="B4:D4"/>
    <mergeCell ref="B16:D16"/>
    <mergeCell ref="B29:D29"/>
    <mergeCell ref="B42:D42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H19"/>
  <sheetViews>
    <sheetView showGridLines="0" workbookViewId="0">
      <selection activeCell="E1" sqref="E1"/>
    </sheetView>
  </sheetViews>
  <sheetFormatPr baseColWidth="10" defaultRowHeight="15"/>
  <cols>
    <col min="2" max="2" width="63.5703125" bestFit="1" customWidth="1"/>
    <col min="5" max="5" width="22.85546875" bestFit="1" customWidth="1"/>
  </cols>
  <sheetData>
    <row r="1" spans="2:8">
      <c r="F1" s="66" t="s">
        <v>69</v>
      </c>
    </row>
    <row r="2" spans="2:8">
      <c r="B2" s="93" t="s">
        <v>70</v>
      </c>
      <c r="C2" s="94">
        <v>700</v>
      </c>
      <c r="E2" s="95" t="s">
        <v>71</v>
      </c>
      <c r="F2" s="96">
        <v>365</v>
      </c>
    </row>
    <row r="3" spans="2:8">
      <c r="B3" s="93" t="s">
        <v>72</v>
      </c>
      <c r="C3" s="94">
        <v>86</v>
      </c>
      <c r="E3" s="95" t="s">
        <v>73</v>
      </c>
      <c r="F3" s="96">
        <v>52</v>
      </c>
    </row>
    <row r="4" spans="2:8">
      <c r="B4" s="93" t="s">
        <v>74</v>
      </c>
      <c r="C4" s="94">
        <v>75.75</v>
      </c>
      <c r="E4" s="95" t="s">
        <v>75</v>
      </c>
      <c r="F4" s="96">
        <v>52</v>
      </c>
    </row>
    <row r="5" spans="2:8">
      <c r="B5" s="93" t="s">
        <v>76</v>
      </c>
      <c r="C5" s="94">
        <v>32.869999999999997</v>
      </c>
      <c r="E5" s="95" t="s">
        <v>77</v>
      </c>
      <c r="F5" s="96">
        <v>9</v>
      </c>
      <c r="H5" s="97"/>
    </row>
    <row r="6" spans="2:8">
      <c r="B6" s="93" t="s">
        <v>78</v>
      </c>
      <c r="C6" s="94">
        <v>24.66</v>
      </c>
      <c r="E6" s="95" t="s">
        <v>79</v>
      </c>
      <c r="F6" s="96">
        <v>20</v>
      </c>
    </row>
    <row r="7" spans="2:8" ht="15.75" thickBot="1">
      <c r="B7" s="93" t="s">
        <v>80</v>
      </c>
      <c r="C7" s="94">
        <v>35.75</v>
      </c>
      <c r="E7" s="98" t="s">
        <v>81</v>
      </c>
      <c r="F7" s="99">
        <v>4</v>
      </c>
    </row>
    <row r="8" spans="2:8" ht="15.75" thickBot="1">
      <c r="B8" s="93" t="s">
        <v>82</v>
      </c>
      <c r="C8" s="94">
        <v>12.83</v>
      </c>
      <c r="E8" s="100" t="s">
        <v>83</v>
      </c>
      <c r="F8" s="101">
        <f>F2-F3-F4-F5-F6-F7</f>
        <v>228</v>
      </c>
    </row>
    <row r="9" spans="2:8">
      <c r="B9" s="93" t="s">
        <v>84</v>
      </c>
      <c r="C9" s="94">
        <v>23.1</v>
      </c>
    </row>
    <row r="10" spans="2:8">
      <c r="B10" s="93" t="s">
        <v>85</v>
      </c>
      <c r="C10" s="94">
        <v>19.84</v>
      </c>
    </row>
    <row r="11" spans="2:8">
      <c r="B11" s="93" t="s">
        <v>86</v>
      </c>
      <c r="C11" s="94">
        <v>7.33</v>
      </c>
      <c r="F11" s="102"/>
    </row>
    <row r="12" spans="2:8">
      <c r="B12" s="93" t="s">
        <v>87</v>
      </c>
      <c r="C12" s="94">
        <v>14.67</v>
      </c>
      <c r="F12" s="102"/>
    </row>
    <row r="13" spans="2:8">
      <c r="B13" s="93" t="s">
        <v>88</v>
      </c>
      <c r="C13" s="94">
        <v>36.64</v>
      </c>
      <c r="F13" s="102"/>
    </row>
    <row r="14" spans="2:8">
      <c r="B14" s="93" t="s">
        <v>89</v>
      </c>
      <c r="C14" s="94">
        <v>32.880000000000003</v>
      </c>
      <c r="F14" s="102"/>
    </row>
    <row r="15" spans="2:8">
      <c r="B15" s="93" t="s">
        <v>90</v>
      </c>
      <c r="C15" s="94">
        <v>22.98</v>
      </c>
      <c r="F15" s="102"/>
    </row>
    <row r="16" spans="2:8">
      <c r="B16" s="103" t="s">
        <v>91</v>
      </c>
      <c r="C16" s="94">
        <f>SUM(C2:C15)</f>
        <v>1125.3000000000004</v>
      </c>
      <c r="F16" s="102"/>
    </row>
    <row r="17" spans="2:6">
      <c r="B17" s="103" t="s">
        <v>92</v>
      </c>
      <c r="C17" s="94">
        <f>C16*365</f>
        <v>410734.50000000017</v>
      </c>
      <c r="F17" s="102"/>
    </row>
    <row r="18" spans="2:6" ht="15.75" thickBot="1">
      <c r="B18" s="103" t="s">
        <v>93</v>
      </c>
      <c r="C18" s="104">
        <f>C17/228</f>
        <v>1801.4671052631586</v>
      </c>
    </row>
    <row r="19" spans="2:6" ht="15.75" thickBot="1">
      <c r="B19" s="105" t="s">
        <v>94</v>
      </c>
      <c r="C19" s="106">
        <f>C18/8</f>
        <v>225.18338815789483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35"/>
  <sheetViews>
    <sheetView topLeftCell="A23" workbookViewId="0">
      <selection activeCell="B30" sqref="B30"/>
    </sheetView>
  </sheetViews>
  <sheetFormatPr baseColWidth="10" defaultRowHeight="15"/>
  <cols>
    <col min="1" max="1" width="32.5703125" bestFit="1" customWidth="1"/>
  </cols>
  <sheetData>
    <row r="1" spans="1:5" ht="15.75" thickBot="1"/>
    <row r="2" spans="1:5" ht="15.75" thickBot="1">
      <c r="A2" s="127" t="s">
        <v>125</v>
      </c>
    </row>
    <row r="4" spans="1:5">
      <c r="A4" s="49" t="s">
        <v>95</v>
      </c>
    </row>
    <row r="5" spans="1:5">
      <c r="A5" t="s">
        <v>96</v>
      </c>
      <c r="B5">
        <v>160</v>
      </c>
    </row>
    <row r="6" spans="1:5">
      <c r="A6" t="s">
        <v>97</v>
      </c>
      <c r="B6" s="65">
        <v>15000</v>
      </c>
    </row>
    <row r="8" spans="1:5" ht="15.75" thickBot="1"/>
    <row r="9" spans="1:5">
      <c r="A9" s="107" t="s">
        <v>98</v>
      </c>
    </row>
    <row r="10" spans="1:5">
      <c r="A10" s="47" t="s">
        <v>71</v>
      </c>
      <c r="B10" s="47">
        <v>360</v>
      </c>
    </row>
    <row r="11" spans="1:5">
      <c r="A11" s="47" t="s">
        <v>99</v>
      </c>
      <c r="B11" s="47">
        <v>52</v>
      </c>
    </row>
    <row r="12" spans="1:5">
      <c r="A12" s="47" t="s">
        <v>100</v>
      </c>
      <c r="B12" s="47">
        <v>18</v>
      </c>
    </row>
    <row r="13" spans="1:5">
      <c r="A13" s="47" t="s">
        <v>101</v>
      </c>
      <c r="B13" s="47">
        <v>15</v>
      </c>
    </row>
    <row r="14" spans="1:5">
      <c r="A14" s="47" t="s">
        <v>102</v>
      </c>
      <c r="B14" s="47">
        <v>3</v>
      </c>
    </row>
    <row r="15" spans="1:5">
      <c r="A15" t="s">
        <v>103</v>
      </c>
      <c r="B15">
        <f>B10-B11-B12-B13-B14</f>
        <v>272</v>
      </c>
      <c r="D15" t="s">
        <v>104</v>
      </c>
    </row>
    <row r="16" spans="1:5" ht="15.75" thickBot="1">
      <c r="A16" t="s">
        <v>105</v>
      </c>
      <c r="B16">
        <v>8</v>
      </c>
      <c r="D16" s="108" t="s">
        <v>106</v>
      </c>
      <c r="E16" s="109" t="s">
        <v>107</v>
      </c>
    </row>
    <row r="17" spans="1:7" ht="15.75" thickBot="1">
      <c r="A17" t="s">
        <v>108</v>
      </c>
      <c r="B17" s="110">
        <f>B15*B16</f>
        <v>2176</v>
      </c>
      <c r="D17" s="123" t="s">
        <v>109</v>
      </c>
      <c r="E17" s="124" t="s">
        <v>110</v>
      </c>
      <c r="F17" s="124"/>
    </row>
    <row r="18" spans="1:7" ht="15.75" thickBot="1">
      <c r="A18" t="s">
        <v>111</v>
      </c>
      <c r="D18" s="111" t="s">
        <v>112</v>
      </c>
      <c r="E18" s="112" t="s">
        <v>113</v>
      </c>
      <c r="F18" s="112"/>
      <c r="G18" s="112"/>
    </row>
    <row r="19" spans="1:7" ht="15.75" thickBot="1">
      <c r="A19" t="s">
        <v>114</v>
      </c>
      <c r="B19" s="113">
        <f>B17/12</f>
        <v>181.33333333333334</v>
      </c>
      <c r="D19" s="114" t="s">
        <v>115</v>
      </c>
      <c r="E19" s="115" t="s">
        <v>116</v>
      </c>
      <c r="F19" s="115"/>
      <c r="G19" s="115"/>
    </row>
    <row r="20" spans="1:7" ht="15.75" thickBot="1">
      <c r="A20" t="s">
        <v>117</v>
      </c>
      <c r="B20" s="113">
        <f>B19*0.07</f>
        <v>12.693333333333335</v>
      </c>
    </row>
    <row r="21" spans="1:7" ht="15.75" thickBot="1">
      <c r="A21" s="109" t="s">
        <v>107</v>
      </c>
      <c r="B21" s="116">
        <f>B19-B20</f>
        <v>168.64000000000001</v>
      </c>
    </row>
    <row r="23" spans="1:7">
      <c r="A23" s="125" t="s">
        <v>109</v>
      </c>
    </row>
    <row r="24" spans="1:7">
      <c r="A24" s="126" t="s">
        <v>118</v>
      </c>
    </row>
    <row r="25" spans="1:7">
      <c r="A25" s="117" t="s">
        <v>119</v>
      </c>
      <c r="B25" s="118">
        <f>168-160</f>
        <v>8</v>
      </c>
      <c r="C25" s="47" t="s">
        <v>120</v>
      </c>
    </row>
    <row r="26" spans="1:7">
      <c r="B26" s="49"/>
    </row>
    <row r="27" spans="1:7">
      <c r="A27" s="112" t="s">
        <v>112</v>
      </c>
      <c r="B27" s="49"/>
    </row>
    <row r="28" spans="1:7">
      <c r="A28" s="119" t="s">
        <v>121</v>
      </c>
      <c r="B28" s="49"/>
    </row>
    <row r="29" spans="1:7">
      <c r="B29" s="49"/>
    </row>
    <row r="30" spans="1:7">
      <c r="A30" s="117" t="s">
        <v>122</v>
      </c>
      <c r="B30" s="120">
        <f>(B25/168)</f>
        <v>4.7619047619047616E-2</v>
      </c>
    </row>
    <row r="31" spans="1:7">
      <c r="B31" s="49"/>
    </row>
    <row r="32" spans="1:7">
      <c r="A32" s="115" t="s">
        <v>115</v>
      </c>
      <c r="B32" s="49"/>
    </row>
    <row r="33" spans="1:2">
      <c r="A33" s="121" t="s">
        <v>123</v>
      </c>
      <c r="B33" s="49"/>
    </row>
    <row r="34" spans="1:2">
      <c r="B34" s="49"/>
    </row>
    <row r="35" spans="1:2">
      <c r="A35" s="117" t="s">
        <v>124</v>
      </c>
      <c r="B35" s="122">
        <f>B6*B30</f>
        <v>714.28571428571422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GridLines="0" zoomScaleNormal="100" workbookViewId="0">
      <selection activeCell="G57" sqref="G57"/>
    </sheetView>
  </sheetViews>
  <sheetFormatPr baseColWidth="10" defaultRowHeight="15"/>
  <cols>
    <col min="3" max="3" width="22.140625" customWidth="1"/>
    <col min="6" max="6" width="16.140625" bestFit="1" customWidth="1"/>
    <col min="7" max="7" width="27.140625" bestFit="1" customWidth="1"/>
    <col min="8" max="8" width="13.140625" bestFit="1" customWidth="1"/>
  </cols>
  <sheetData>
    <row r="1" spans="1:10">
      <c r="A1" s="103"/>
      <c r="B1" s="103"/>
      <c r="C1" s="103"/>
      <c r="D1" s="103"/>
      <c r="E1" s="103"/>
      <c r="F1" s="103"/>
      <c r="G1" s="103"/>
      <c r="H1" s="103"/>
      <c r="I1" s="103"/>
    </row>
    <row r="2" spans="1:10">
      <c r="A2" s="103"/>
      <c r="B2" s="103"/>
      <c r="C2" s="103"/>
      <c r="D2" s="103"/>
      <c r="E2" s="103"/>
      <c r="F2" s="384" t="s">
        <v>350</v>
      </c>
      <c r="G2" s="384"/>
      <c r="H2" s="384"/>
      <c r="I2" s="103"/>
    </row>
    <row r="3" spans="1:10">
      <c r="A3" s="103"/>
      <c r="B3" s="103"/>
      <c r="C3" s="103"/>
      <c r="D3" s="103"/>
      <c r="E3" s="103"/>
      <c r="F3" s="103"/>
      <c r="G3" s="103"/>
      <c r="H3" s="103"/>
      <c r="I3" s="103"/>
    </row>
    <row r="4" spans="1:10">
      <c r="A4" s="103"/>
      <c r="B4" s="103"/>
      <c r="C4" s="103"/>
      <c r="D4" s="103"/>
      <c r="E4" s="103"/>
      <c r="F4" s="385" t="s">
        <v>351</v>
      </c>
      <c r="G4" s="385" t="s">
        <v>352</v>
      </c>
      <c r="H4" s="385" t="s">
        <v>353</v>
      </c>
      <c r="I4" s="103"/>
    </row>
    <row r="5" spans="1:10">
      <c r="A5" s="103"/>
      <c r="B5" s="385" t="s">
        <v>354</v>
      </c>
      <c r="C5" s="385" t="s">
        <v>352</v>
      </c>
      <c r="D5" s="103"/>
      <c r="E5" s="103"/>
      <c r="F5" s="103"/>
      <c r="G5" s="103"/>
      <c r="H5" s="103"/>
      <c r="I5" s="103"/>
    </row>
    <row r="6" spans="1:10">
      <c r="A6" s="103"/>
      <c r="B6" s="93" t="s">
        <v>355</v>
      </c>
      <c r="C6" s="93" t="s">
        <v>377</v>
      </c>
      <c r="D6" s="103"/>
      <c r="E6" s="103"/>
      <c r="F6" s="93" t="s">
        <v>356</v>
      </c>
      <c r="G6" s="93" t="s">
        <v>374</v>
      </c>
      <c r="H6" s="386">
        <v>40000</v>
      </c>
      <c r="I6" s="103"/>
    </row>
    <row r="7" spans="1:10">
      <c r="A7" s="103"/>
      <c r="B7" s="103"/>
      <c r="C7" s="103"/>
      <c r="D7" s="103"/>
      <c r="E7" s="103"/>
      <c r="F7" s="93" t="s">
        <v>357</v>
      </c>
      <c r="G7" s="93" t="s">
        <v>373</v>
      </c>
      <c r="H7" s="386">
        <v>36000</v>
      </c>
      <c r="I7" s="103"/>
    </row>
    <row r="8" spans="1:10">
      <c r="A8" s="103"/>
      <c r="B8" s="103"/>
      <c r="C8" s="103"/>
      <c r="D8" s="103"/>
      <c r="E8" s="103"/>
      <c r="F8" s="93" t="s">
        <v>358</v>
      </c>
      <c r="G8" s="93" t="s">
        <v>372</v>
      </c>
      <c r="H8" s="386">
        <v>30000</v>
      </c>
      <c r="I8" s="103"/>
    </row>
    <row r="9" spans="1:10">
      <c r="A9" s="103"/>
      <c r="B9" s="103"/>
      <c r="C9" s="103"/>
      <c r="D9" s="103"/>
      <c r="E9" s="103"/>
      <c r="F9" s="93" t="s">
        <v>359</v>
      </c>
      <c r="G9" s="93" t="s">
        <v>375</v>
      </c>
      <c r="H9" s="386">
        <v>24000</v>
      </c>
      <c r="I9" s="103"/>
    </row>
    <row r="10" spans="1:10">
      <c r="A10" s="103"/>
      <c r="B10" s="103"/>
      <c r="C10" s="103"/>
      <c r="D10" s="103"/>
      <c r="E10" s="103"/>
      <c r="F10" s="93" t="s">
        <v>360</v>
      </c>
      <c r="G10" s="93" t="s">
        <v>376</v>
      </c>
      <c r="H10" s="386">
        <v>35000</v>
      </c>
      <c r="I10" s="103"/>
    </row>
    <row r="11" spans="1:10">
      <c r="A11" s="103"/>
      <c r="B11" s="103"/>
      <c r="C11" s="103"/>
      <c r="D11" s="103"/>
      <c r="E11" s="103"/>
      <c r="F11" s="103"/>
      <c r="G11" s="387" t="s">
        <v>223</v>
      </c>
      <c r="H11" s="388">
        <f>SUM(H6:H10)</f>
        <v>165000</v>
      </c>
      <c r="I11" s="103"/>
    </row>
    <row r="12" spans="1:10">
      <c r="A12" s="103"/>
      <c r="B12" s="103"/>
      <c r="C12" s="103"/>
      <c r="D12" s="103"/>
      <c r="E12" s="103"/>
      <c r="F12" s="103"/>
      <c r="G12" s="389"/>
      <c r="H12" s="390"/>
      <c r="I12" s="103"/>
      <c r="J12" s="102"/>
    </row>
    <row r="13" spans="1:10">
      <c r="A13" s="103"/>
      <c r="B13" s="103"/>
      <c r="C13" s="103"/>
      <c r="D13" s="103"/>
      <c r="E13" s="103"/>
      <c r="F13" s="103"/>
      <c r="G13" s="389"/>
      <c r="H13" s="390"/>
      <c r="I13" s="103"/>
    </row>
    <row r="14" spans="1:10">
      <c r="A14" s="103"/>
      <c r="B14" s="103"/>
      <c r="C14" s="103"/>
      <c r="D14" s="103"/>
      <c r="E14" s="103"/>
      <c r="F14" s="103"/>
      <c r="G14" s="389"/>
      <c r="H14" s="390"/>
      <c r="I14" s="103"/>
    </row>
    <row r="15" spans="1:10">
      <c r="B15" s="103"/>
      <c r="C15" s="103"/>
      <c r="D15" s="103"/>
      <c r="E15" s="103"/>
      <c r="F15" s="391" t="s">
        <v>350</v>
      </c>
      <c r="G15" s="391"/>
      <c r="H15" s="391"/>
    </row>
    <row r="16" spans="1:10">
      <c r="B16" s="103"/>
      <c r="C16" s="103"/>
      <c r="D16" s="103"/>
      <c r="E16" s="103"/>
      <c r="F16" s="103"/>
      <c r="G16" s="103"/>
      <c r="H16" s="103"/>
    </row>
    <row r="17" spans="1:9">
      <c r="B17" s="103"/>
      <c r="C17" s="103"/>
      <c r="D17" s="103"/>
      <c r="E17" s="103"/>
      <c r="F17" s="385" t="s">
        <v>351</v>
      </c>
      <c r="G17" s="385" t="s">
        <v>352</v>
      </c>
      <c r="H17" s="385" t="s">
        <v>353</v>
      </c>
    </row>
    <row r="18" spans="1:9">
      <c r="B18" s="385" t="s">
        <v>354</v>
      </c>
      <c r="C18" s="385" t="s">
        <v>352</v>
      </c>
      <c r="D18" s="103"/>
      <c r="E18" s="103"/>
      <c r="F18" s="103"/>
      <c r="G18" s="103"/>
      <c r="H18" s="103"/>
    </row>
    <row r="19" spans="1:9">
      <c r="B19" s="93" t="s">
        <v>361</v>
      </c>
      <c r="C19" s="93" t="s">
        <v>378</v>
      </c>
      <c r="D19" s="103"/>
      <c r="E19" s="103"/>
      <c r="F19" s="93" t="s">
        <v>356</v>
      </c>
      <c r="G19" s="93"/>
      <c r="H19" s="386">
        <v>20000</v>
      </c>
    </row>
    <row r="20" spans="1:9">
      <c r="B20" s="103"/>
      <c r="C20" s="103"/>
      <c r="D20" s="103"/>
      <c r="E20" s="103"/>
      <c r="F20" s="93" t="s">
        <v>357</v>
      </c>
      <c r="G20" s="93"/>
      <c r="H20" s="386">
        <v>18000</v>
      </c>
    </row>
    <row r="21" spans="1:9">
      <c r="B21" s="103"/>
      <c r="C21" s="103"/>
      <c r="D21" s="103"/>
      <c r="E21" s="103"/>
      <c r="F21" s="93" t="s">
        <v>358</v>
      </c>
      <c r="G21" s="93"/>
      <c r="H21" s="386">
        <v>15000</v>
      </c>
    </row>
    <row r="22" spans="1:9">
      <c r="B22" s="103"/>
      <c r="C22" s="103"/>
      <c r="D22" s="103"/>
      <c r="E22" s="103"/>
      <c r="F22" s="93" t="s">
        <v>359</v>
      </c>
      <c r="G22" s="93"/>
      <c r="H22" s="386">
        <v>12000</v>
      </c>
    </row>
    <row r="23" spans="1:9">
      <c r="B23" s="103"/>
      <c r="C23" s="103"/>
      <c r="D23" s="103"/>
      <c r="E23" s="103"/>
      <c r="F23" s="93" t="s">
        <v>360</v>
      </c>
      <c r="G23" s="93"/>
      <c r="H23" s="386">
        <v>14000</v>
      </c>
    </row>
    <row r="24" spans="1:9">
      <c r="B24" s="103"/>
      <c r="C24" s="103"/>
      <c r="D24" s="103"/>
      <c r="E24" s="103"/>
      <c r="F24" s="103"/>
      <c r="G24" s="387" t="s">
        <v>223</v>
      </c>
      <c r="H24" s="388">
        <f>SUM(H19:H23)</f>
        <v>79000</v>
      </c>
    </row>
    <row r="25" spans="1:9">
      <c r="B25" s="103"/>
      <c r="C25" s="103"/>
      <c r="D25" s="103"/>
      <c r="E25" s="103"/>
      <c r="F25" s="103"/>
      <c r="G25" s="389"/>
      <c r="H25" s="390"/>
    </row>
    <row r="26" spans="1:9">
      <c r="B26" s="103"/>
      <c r="C26" s="103"/>
      <c r="D26" s="103"/>
      <c r="E26" s="103"/>
      <c r="F26" s="103"/>
      <c r="G26" s="389"/>
      <c r="H26" s="390"/>
    </row>
    <row r="28" spans="1:9">
      <c r="A28" s="103"/>
      <c r="B28" s="103"/>
      <c r="C28" s="103"/>
      <c r="D28" s="103"/>
      <c r="E28" s="103"/>
      <c r="F28" s="391" t="s">
        <v>350</v>
      </c>
      <c r="G28" s="391"/>
      <c r="H28" s="391"/>
      <c r="I28" s="103"/>
    </row>
    <row r="29" spans="1:9">
      <c r="A29" s="103"/>
      <c r="B29" s="103"/>
      <c r="C29" s="103"/>
      <c r="D29" s="103"/>
      <c r="E29" s="103"/>
      <c r="F29" s="103"/>
      <c r="G29" s="103"/>
      <c r="H29" s="103"/>
      <c r="I29" s="103"/>
    </row>
    <row r="30" spans="1:9">
      <c r="A30" s="103"/>
      <c r="B30" s="103"/>
      <c r="C30" s="103"/>
      <c r="D30" s="103"/>
      <c r="E30" s="103"/>
      <c r="F30" s="385" t="s">
        <v>351</v>
      </c>
      <c r="G30" s="385" t="s">
        <v>352</v>
      </c>
      <c r="H30" s="385" t="s">
        <v>353</v>
      </c>
      <c r="I30" s="103"/>
    </row>
    <row r="31" spans="1:9">
      <c r="A31" s="103"/>
      <c r="B31" s="385" t="s">
        <v>354</v>
      </c>
      <c r="C31" s="385" t="s">
        <v>352</v>
      </c>
      <c r="D31" s="103"/>
      <c r="E31" s="103"/>
      <c r="F31" s="103"/>
      <c r="G31" s="103"/>
      <c r="H31" s="103"/>
      <c r="I31" s="103"/>
    </row>
    <row r="32" spans="1:9">
      <c r="A32" s="103"/>
      <c r="B32" s="93" t="s">
        <v>362</v>
      </c>
      <c r="C32" s="93" t="s">
        <v>363</v>
      </c>
      <c r="D32" s="103"/>
      <c r="E32" s="103"/>
      <c r="F32" s="93" t="s">
        <v>364</v>
      </c>
      <c r="G32" s="93" t="s">
        <v>365</v>
      </c>
      <c r="H32" s="386">
        <v>13680</v>
      </c>
      <c r="I32" s="103"/>
    </row>
    <row r="33" spans="1:9">
      <c r="A33" s="103"/>
      <c r="B33" s="103"/>
      <c r="C33" s="103"/>
      <c r="D33" s="103"/>
      <c r="E33" s="103"/>
      <c r="F33" s="93" t="s">
        <v>366</v>
      </c>
      <c r="G33" s="93" t="s">
        <v>367</v>
      </c>
      <c r="H33" s="386">
        <v>49637</v>
      </c>
      <c r="I33" s="103"/>
    </row>
    <row r="34" spans="1:9">
      <c r="A34" s="103"/>
      <c r="B34" s="103"/>
      <c r="C34" s="103"/>
      <c r="D34" s="103"/>
      <c r="E34" s="103"/>
      <c r="F34" s="93" t="s">
        <v>368</v>
      </c>
      <c r="G34" s="93" t="s">
        <v>369</v>
      </c>
      <c r="H34" s="386">
        <v>28455</v>
      </c>
      <c r="I34" s="103"/>
    </row>
    <row r="35" spans="1:9">
      <c r="A35" s="103"/>
      <c r="B35" s="103"/>
      <c r="C35" s="103"/>
      <c r="D35" s="103"/>
      <c r="E35" s="103"/>
      <c r="F35" s="103"/>
      <c r="G35" s="387" t="s">
        <v>223</v>
      </c>
      <c r="H35" s="388">
        <f>SUM(H32:H34)</f>
        <v>91772</v>
      </c>
      <c r="I35" s="103"/>
    </row>
    <row r="38" spans="1:9">
      <c r="A38" s="103"/>
      <c r="B38" s="103"/>
      <c r="C38" s="103"/>
      <c r="D38" s="103"/>
      <c r="E38" s="103"/>
      <c r="F38" s="391" t="s">
        <v>350</v>
      </c>
      <c r="G38" s="391"/>
      <c r="H38" s="391"/>
      <c r="I38" s="103"/>
    </row>
    <row r="39" spans="1:9">
      <c r="A39" s="103"/>
      <c r="B39" s="103"/>
      <c r="C39" s="103"/>
      <c r="D39" s="103"/>
      <c r="E39" s="103"/>
      <c r="F39" s="103"/>
      <c r="G39" s="103"/>
      <c r="H39" s="103"/>
      <c r="I39" s="103"/>
    </row>
    <row r="40" spans="1:9">
      <c r="A40" s="103"/>
      <c r="B40" s="103"/>
      <c r="C40" s="103"/>
      <c r="D40" s="103"/>
      <c r="E40" s="103"/>
      <c r="F40" s="385" t="s">
        <v>351</v>
      </c>
      <c r="G40" s="385" t="s">
        <v>352</v>
      </c>
      <c r="H40" s="385" t="s">
        <v>353</v>
      </c>
      <c r="I40" s="103"/>
    </row>
    <row r="41" spans="1:9">
      <c r="A41" s="103"/>
      <c r="B41" s="385" t="s">
        <v>354</v>
      </c>
      <c r="C41" s="385" t="s">
        <v>352</v>
      </c>
      <c r="D41" s="103"/>
      <c r="E41" s="103"/>
      <c r="F41" s="103"/>
      <c r="G41" s="103"/>
      <c r="H41" s="103"/>
      <c r="I41" s="103"/>
    </row>
    <row r="42" spans="1:9">
      <c r="A42" s="103"/>
      <c r="B42" s="93" t="s">
        <v>362</v>
      </c>
      <c r="C42" s="93" t="s">
        <v>363</v>
      </c>
      <c r="D42" s="103"/>
      <c r="E42" s="103"/>
      <c r="F42" s="93" t="s">
        <v>364</v>
      </c>
      <c r="G42" s="93"/>
      <c r="H42" s="386">
        <v>13680</v>
      </c>
      <c r="I42" s="103"/>
    </row>
    <row r="43" spans="1:9">
      <c r="A43" s="103"/>
      <c r="B43" s="103"/>
      <c r="C43" s="103"/>
      <c r="D43" s="103"/>
      <c r="E43" s="103"/>
      <c r="F43" s="93" t="s">
        <v>366</v>
      </c>
      <c r="G43" s="93"/>
      <c r="H43" s="386">
        <v>49637</v>
      </c>
      <c r="I43" s="103"/>
    </row>
    <row r="44" spans="1:9">
      <c r="A44" s="103"/>
      <c r="B44" s="103"/>
      <c r="C44" s="103"/>
      <c r="D44" s="103"/>
      <c r="E44" s="103"/>
      <c r="F44" s="93" t="s">
        <v>368</v>
      </c>
      <c r="G44" s="93"/>
      <c r="H44" s="386">
        <v>28455</v>
      </c>
      <c r="I44" s="103"/>
    </row>
    <row r="45" spans="1:9">
      <c r="A45" s="103"/>
      <c r="B45" s="103"/>
      <c r="C45" s="103"/>
      <c r="D45" s="103"/>
      <c r="E45" s="103"/>
      <c r="F45" s="103"/>
      <c r="G45" s="387" t="s">
        <v>223</v>
      </c>
      <c r="H45" s="388">
        <f>SUM(H42:H44)</f>
        <v>91772</v>
      </c>
      <c r="I45" s="103"/>
    </row>
    <row r="48" spans="1:9">
      <c r="B48" s="103"/>
      <c r="C48" s="103"/>
      <c r="D48" s="103"/>
      <c r="E48" s="103"/>
      <c r="F48" s="103"/>
      <c r="G48" s="103"/>
      <c r="H48" s="103"/>
    </row>
    <row r="49" spans="2:8">
      <c r="B49" s="103"/>
      <c r="C49" s="103"/>
      <c r="D49" s="103"/>
      <c r="E49" s="103"/>
      <c r="F49" s="385" t="s">
        <v>351</v>
      </c>
      <c r="G49" s="385" t="s">
        <v>352</v>
      </c>
      <c r="H49" s="385" t="s">
        <v>353</v>
      </c>
    </row>
    <row r="50" spans="2:8">
      <c r="B50" s="385" t="s">
        <v>354</v>
      </c>
      <c r="C50" s="385" t="s">
        <v>352</v>
      </c>
      <c r="D50" s="103"/>
      <c r="E50" s="103"/>
      <c r="F50" s="103"/>
      <c r="G50" s="103"/>
      <c r="H50" s="103"/>
    </row>
    <row r="51" spans="2:8">
      <c r="B51" s="93" t="s">
        <v>379</v>
      </c>
      <c r="C51" s="93" t="s">
        <v>383</v>
      </c>
      <c r="D51" s="103"/>
      <c r="E51" s="103"/>
      <c r="F51" s="387" t="s">
        <v>380</v>
      </c>
      <c r="G51" s="93"/>
      <c r="H51" s="386">
        <v>13680</v>
      </c>
    </row>
    <row r="52" spans="2:8">
      <c r="B52" s="103"/>
      <c r="C52" s="103"/>
      <c r="D52" s="103"/>
      <c r="E52" s="103"/>
      <c r="F52" s="387" t="s">
        <v>381</v>
      </c>
      <c r="G52" s="93"/>
      <c r="H52" s="386">
        <v>49637</v>
      </c>
    </row>
    <row r="53" spans="2:8">
      <c r="B53" s="103"/>
      <c r="C53" s="103"/>
      <c r="D53" s="103"/>
      <c r="E53" s="103"/>
      <c r="F53" s="387" t="s">
        <v>382</v>
      </c>
      <c r="G53" s="93"/>
      <c r="H53" s="386">
        <v>28455</v>
      </c>
    </row>
    <row r="54" spans="2:8">
      <c r="B54" s="103"/>
      <c r="C54" s="103"/>
      <c r="D54" s="103"/>
      <c r="E54" s="103"/>
      <c r="F54" s="103"/>
      <c r="G54" s="387" t="s">
        <v>223</v>
      </c>
      <c r="H54" s="388">
        <f>SUM(H51:H53)</f>
        <v>91772</v>
      </c>
    </row>
  </sheetData>
  <mergeCells count="4">
    <mergeCell ref="F2:H2"/>
    <mergeCell ref="F15:H15"/>
    <mergeCell ref="F28:H28"/>
    <mergeCell ref="F38:H38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B2:P51"/>
  <sheetViews>
    <sheetView zoomScale="80" zoomScaleNormal="80" workbookViewId="0">
      <selection activeCell="K20" sqref="K20"/>
    </sheetView>
  </sheetViews>
  <sheetFormatPr baseColWidth="10" defaultRowHeight="15"/>
  <cols>
    <col min="1" max="1" width="11.42578125" style="73"/>
    <col min="2" max="2" width="24.140625" style="73" customWidth="1"/>
    <col min="3" max="3" width="50" style="73" bestFit="1" customWidth="1"/>
    <col min="4" max="4" width="18.140625" style="73" bestFit="1" customWidth="1"/>
    <col min="5" max="5" width="14.140625" style="73" customWidth="1"/>
    <col min="6" max="6" width="11.42578125" style="73"/>
    <col min="7" max="7" width="45.7109375" style="73" bestFit="1" customWidth="1"/>
    <col min="8" max="8" width="13.42578125" style="73" bestFit="1" customWidth="1"/>
    <col min="9" max="9" width="12.140625" style="73" bestFit="1" customWidth="1"/>
    <col min="10" max="10" width="13.7109375" style="73" customWidth="1"/>
    <col min="11" max="12" width="11.42578125" style="73"/>
    <col min="13" max="13" width="38.140625" style="73" bestFit="1" customWidth="1"/>
    <col min="14" max="15" width="15.7109375" style="73" bestFit="1" customWidth="1"/>
    <col min="16" max="16" width="13.7109375" style="73" bestFit="1" customWidth="1"/>
    <col min="17" max="16384" width="11.42578125" style="73"/>
  </cols>
  <sheetData>
    <row r="2" spans="2:16">
      <c r="B2" s="344" t="s">
        <v>203</v>
      </c>
      <c r="C2" s="345"/>
      <c r="D2" s="345"/>
    </row>
    <row r="4" spans="2:16">
      <c r="B4" s="338" t="s">
        <v>204</v>
      </c>
      <c r="C4" s="339"/>
      <c r="D4" s="340"/>
      <c r="E4" s="52"/>
      <c r="G4" s="209" t="s">
        <v>205</v>
      </c>
      <c r="H4" s="209" t="s">
        <v>206</v>
      </c>
      <c r="I4" s="209" t="s">
        <v>207</v>
      </c>
      <c r="J4" s="209" t="s">
        <v>208</v>
      </c>
      <c r="M4" s="209" t="s">
        <v>209</v>
      </c>
      <c r="N4" s="209" t="s">
        <v>206</v>
      </c>
      <c r="O4" s="209" t="s">
        <v>210</v>
      </c>
      <c r="P4" s="209" t="s">
        <v>208</v>
      </c>
    </row>
    <row r="5" spans="2:16">
      <c r="B5" s="210" t="s">
        <v>211</v>
      </c>
      <c r="C5" s="211"/>
      <c r="D5" s="210" t="s">
        <v>212</v>
      </c>
      <c r="E5" s="212"/>
      <c r="G5" s="213" t="s">
        <v>213</v>
      </c>
      <c r="H5" s="214">
        <v>28000</v>
      </c>
      <c r="I5" s="214">
        <v>18000</v>
      </c>
      <c r="J5" s="214">
        <v>6000</v>
      </c>
      <c r="M5" s="213" t="s">
        <v>214</v>
      </c>
      <c r="N5" s="215">
        <f t="shared" ref="N5:P6" si="0">H6</f>
        <v>20</v>
      </c>
      <c r="O5" s="215">
        <f t="shared" si="0"/>
        <v>15</v>
      </c>
      <c r="P5" s="215">
        <f t="shared" si="0"/>
        <v>13</v>
      </c>
    </row>
    <row r="6" spans="2:16">
      <c r="B6" s="216">
        <v>1</v>
      </c>
      <c r="C6" s="213" t="s">
        <v>215</v>
      </c>
      <c r="D6" s="215">
        <v>840000</v>
      </c>
      <c r="E6" s="217"/>
      <c r="G6" s="213" t="s">
        <v>216</v>
      </c>
      <c r="H6" s="215">
        <v>20</v>
      </c>
      <c r="I6" s="215">
        <v>15</v>
      </c>
      <c r="J6" s="215">
        <v>13</v>
      </c>
      <c r="M6" s="213" t="s">
        <v>217</v>
      </c>
      <c r="N6" s="215">
        <f t="shared" si="0"/>
        <v>12</v>
      </c>
      <c r="O6" s="215">
        <f t="shared" si="0"/>
        <v>14</v>
      </c>
      <c r="P6" s="215">
        <f t="shared" si="0"/>
        <v>10</v>
      </c>
    </row>
    <row r="7" spans="2:16">
      <c r="B7" s="216">
        <v>2</v>
      </c>
      <c r="C7" s="213" t="s">
        <v>218</v>
      </c>
      <c r="D7" s="215">
        <v>418600</v>
      </c>
      <c r="E7" s="217"/>
      <c r="G7" s="213" t="s">
        <v>219</v>
      </c>
      <c r="H7" s="215">
        <v>12</v>
      </c>
      <c r="I7" s="215">
        <v>14</v>
      </c>
      <c r="J7" s="215">
        <v>10</v>
      </c>
      <c r="M7" s="213" t="s">
        <v>220</v>
      </c>
      <c r="N7" s="215">
        <f>P18</f>
        <v>33</v>
      </c>
      <c r="O7" s="215">
        <f>P19</f>
        <v>44</v>
      </c>
      <c r="P7" s="215">
        <f>P20</f>
        <v>22</v>
      </c>
    </row>
    <row r="8" spans="2:16">
      <c r="B8" s="216">
        <v>3</v>
      </c>
      <c r="C8" s="213" t="s">
        <v>221</v>
      </c>
      <c r="D8" s="215">
        <v>360000</v>
      </c>
      <c r="E8" s="217"/>
      <c r="G8" s="213" t="s">
        <v>222</v>
      </c>
      <c r="H8" s="216">
        <v>1.5</v>
      </c>
      <c r="I8" s="216">
        <v>2</v>
      </c>
      <c r="J8" s="216">
        <v>1</v>
      </c>
      <c r="M8" s="17" t="s">
        <v>223</v>
      </c>
      <c r="N8" s="218">
        <f>SUM(N5:N7)</f>
        <v>65</v>
      </c>
      <c r="O8" s="218">
        <f>SUM(O5:O7)</f>
        <v>73</v>
      </c>
      <c r="P8" s="218">
        <f>SUM(P5:P7)</f>
        <v>45</v>
      </c>
    </row>
    <row r="9" spans="2:16">
      <c r="B9" s="216">
        <v>4</v>
      </c>
      <c r="C9" s="213" t="s">
        <v>224</v>
      </c>
      <c r="D9" s="215">
        <v>37400</v>
      </c>
      <c r="E9" s="217"/>
    </row>
    <row r="10" spans="2:16">
      <c r="B10" s="216">
        <v>5</v>
      </c>
      <c r="C10" s="213" t="s">
        <v>225</v>
      </c>
      <c r="D10" s="215">
        <v>192000</v>
      </c>
      <c r="E10" s="217"/>
    </row>
    <row r="11" spans="2:16">
      <c r="B11" s="213"/>
      <c r="C11" s="19" t="s">
        <v>223</v>
      </c>
      <c r="D11" s="218">
        <f>SUM(D6:D10)</f>
        <v>1848000</v>
      </c>
      <c r="E11" s="217"/>
      <c r="F11" s="209" t="s">
        <v>226</v>
      </c>
      <c r="G11" s="209" t="s">
        <v>205</v>
      </c>
      <c r="H11" s="209" t="s">
        <v>206</v>
      </c>
      <c r="I11" s="209" t="s">
        <v>227</v>
      </c>
      <c r="J11" s="209" t="s">
        <v>208</v>
      </c>
      <c r="K11" s="209" t="s">
        <v>223</v>
      </c>
    </row>
    <row r="12" spans="2:16">
      <c r="F12" s="216">
        <f>B6</f>
        <v>1</v>
      </c>
      <c r="G12" s="213" t="s">
        <v>228</v>
      </c>
      <c r="H12" s="213"/>
      <c r="I12" s="213"/>
      <c r="J12" s="213"/>
      <c r="K12" s="223">
        <f>H5*H8+I5*I8+J5*J8</f>
        <v>84000</v>
      </c>
    </row>
    <row r="13" spans="2:16">
      <c r="F13" s="216">
        <f>B7</f>
        <v>2</v>
      </c>
      <c r="G13" s="213" t="s">
        <v>229</v>
      </c>
      <c r="H13" s="213">
        <v>16</v>
      </c>
      <c r="I13" s="213">
        <v>40</v>
      </c>
      <c r="J13" s="213">
        <v>200</v>
      </c>
      <c r="K13" s="216">
        <v>256</v>
      </c>
      <c r="M13" s="209" t="s">
        <v>230</v>
      </c>
      <c r="N13" s="344" t="s">
        <v>231</v>
      </c>
      <c r="O13" s="344"/>
      <c r="P13" s="344"/>
    </row>
    <row r="14" spans="2:16">
      <c r="F14" s="216">
        <f t="shared" ref="F14:F16" si="1">B8</f>
        <v>3</v>
      </c>
      <c r="G14" s="213" t="s">
        <v>232</v>
      </c>
      <c r="H14" s="213">
        <v>14</v>
      </c>
      <c r="I14" s="213">
        <v>12</v>
      </c>
      <c r="J14" s="213">
        <v>19</v>
      </c>
      <c r="K14" s="216">
        <v>45</v>
      </c>
      <c r="M14" s="215">
        <f>D11/K12</f>
        <v>22</v>
      </c>
      <c r="N14" s="346" t="s">
        <v>233</v>
      </c>
      <c r="O14" s="347"/>
      <c r="P14" s="348"/>
    </row>
    <row r="15" spans="2:16">
      <c r="F15" s="216">
        <f t="shared" si="1"/>
        <v>4</v>
      </c>
      <c r="G15" s="213" t="s">
        <v>234</v>
      </c>
      <c r="H15" s="213">
        <v>4</v>
      </c>
      <c r="I15" s="213">
        <v>8</v>
      </c>
      <c r="J15" s="213">
        <v>22</v>
      </c>
      <c r="K15" s="216">
        <v>34</v>
      </c>
    </row>
    <row r="16" spans="2:16">
      <c r="F16" s="216">
        <f t="shared" si="1"/>
        <v>5</v>
      </c>
      <c r="G16" s="213" t="s">
        <v>235</v>
      </c>
      <c r="H16" s="213">
        <v>8</v>
      </c>
      <c r="I16" s="213">
        <v>4</v>
      </c>
      <c r="J16" s="213">
        <v>20</v>
      </c>
      <c r="K16" s="216">
        <v>32</v>
      </c>
    </row>
    <row r="17" spans="2:16">
      <c r="M17" s="209" t="s">
        <v>236</v>
      </c>
      <c r="N17" s="209" t="s">
        <v>237</v>
      </c>
      <c r="O17" s="209" t="s">
        <v>238</v>
      </c>
      <c r="P17" s="209" t="s">
        <v>239</v>
      </c>
    </row>
    <row r="18" spans="2:16">
      <c r="B18" s="338" t="s">
        <v>240</v>
      </c>
      <c r="C18" s="340"/>
      <c r="D18" s="349"/>
      <c r="E18" s="350"/>
      <c r="G18" s="209" t="s">
        <v>205</v>
      </c>
      <c r="H18" s="344" t="s">
        <v>241</v>
      </c>
      <c r="I18" s="344"/>
      <c r="J18" s="344"/>
      <c r="K18" s="49"/>
      <c r="M18" s="213" t="s">
        <v>206</v>
      </c>
      <c r="N18" s="213">
        <v>1.5</v>
      </c>
      <c r="O18" s="215">
        <f>M14</f>
        <v>22</v>
      </c>
      <c r="P18" s="215">
        <f>N18*O18</f>
        <v>33</v>
      </c>
    </row>
    <row r="19" spans="2:16">
      <c r="B19" s="210" t="s">
        <v>242</v>
      </c>
      <c r="C19" s="210" t="s">
        <v>218</v>
      </c>
      <c r="D19" s="210" t="s">
        <v>243</v>
      </c>
      <c r="E19" s="210" t="s">
        <v>244</v>
      </c>
      <c r="G19" s="211"/>
      <c r="H19" s="209" t="str">
        <f>H4</f>
        <v>Producto X</v>
      </c>
      <c r="I19" s="209" t="str">
        <f>I4</f>
        <v>Producto Y</v>
      </c>
      <c r="J19" s="209" t="str">
        <f>J4</f>
        <v>Producto Z</v>
      </c>
      <c r="K19" s="52"/>
      <c r="M19" s="213" t="s">
        <v>207</v>
      </c>
      <c r="N19" s="213">
        <v>2</v>
      </c>
      <c r="O19" s="215">
        <f>M14</f>
        <v>22</v>
      </c>
      <c r="P19" s="215">
        <f t="shared" ref="P19:P20" si="2">N19*O19</f>
        <v>44</v>
      </c>
    </row>
    <row r="20" spans="2:16">
      <c r="B20" s="213"/>
      <c r="C20" s="216" t="s">
        <v>245</v>
      </c>
      <c r="D20" s="214"/>
      <c r="E20" s="213"/>
      <c r="G20" s="213" t="str">
        <f>C47</f>
        <v>Depreciación y mantenimiento de máquinas</v>
      </c>
      <c r="H20" s="219">
        <f>C49</f>
        <v>15</v>
      </c>
      <c r="I20" s="215">
        <f>C50</f>
        <v>20</v>
      </c>
      <c r="J20" s="215">
        <f>C51</f>
        <v>10</v>
      </c>
      <c r="K20" s="217"/>
      <c r="M20" s="213" t="s">
        <v>208</v>
      </c>
      <c r="N20" s="213">
        <v>1</v>
      </c>
      <c r="O20" s="215">
        <f>M14</f>
        <v>22</v>
      </c>
      <c r="P20" s="215">
        <f t="shared" si="2"/>
        <v>22</v>
      </c>
    </row>
    <row r="21" spans="2:16">
      <c r="B21" s="213" t="s">
        <v>206</v>
      </c>
      <c r="C21" s="215">
        <f>D18*H13</f>
        <v>0</v>
      </c>
      <c r="D21" s="214">
        <f>H5</f>
        <v>28000</v>
      </c>
      <c r="E21" s="215">
        <f>C21/D21</f>
        <v>0</v>
      </c>
      <c r="G21" s="213" t="str">
        <f>C19</f>
        <v>Costos de recepción</v>
      </c>
      <c r="H21" s="215">
        <f>E21</f>
        <v>0</v>
      </c>
      <c r="I21" s="215">
        <f>E22</f>
        <v>0</v>
      </c>
      <c r="J21" s="215">
        <f>E23</f>
        <v>0</v>
      </c>
      <c r="K21" s="217"/>
    </row>
    <row r="22" spans="2:16">
      <c r="B22" s="213" t="s">
        <v>207</v>
      </c>
      <c r="C22" s="215">
        <f>D18*I13</f>
        <v>0</v>
      </c>
      <c r="D22" s="214">
        <f>I5</f>
        <v>18000</v>
      </c>
      <c r="E22" s="215">
        <f t="shared" ref="E22:E23" si="3">C22/D22</f>
        <v>0</v>
      </c>
      <c r="G22" s="213" t="str">
        <f>C26</f>
        <v>Costos de ingeniería</v>
      </c>
      <c r="H22" s="215">
        <f>E28</f>
        <v>0</v>
      </c>
      <c r="I22" s="215">
        <f>E29</f>
        <v>0</v>
      </c>
      <c r="J22" s="215">
        <f>E30</f>
        <v>0</v>
      </c>
    </row>
    <row r="23" spans="2:16">
      <c r="B23" s="213" t="s">
        <v>208</v>
      </c>
      <c r="C23" s="215">
        <f>D18*J13</f>
        <v>0</v>
      </c>
      <c r="D23" s="214">
        <f>J5</f>
        <v>6000</v>
      </c>
      <c r="E23" s="215">
        <f t="shared" si="3"/>
        <v>0</v>
      </c>
      <c r="G23" s="213" t="str">
        <f>C33</f>
        <v>Costos de carga de las máquinas</v>
      </c>
      <c r="H23" s="215">
        <f>E35</f>
        <v>0</v>
      </c>
      <c r="I23" s="215">
        <f>E36</f>
        <v>0</v>
      </c>
      <c r="J23" s="215">
        <f>E37</f>
        <v>0</v>
      </c>
    </row>
    <row r="24" spans="2:16">
      <c r="G24" s="213" t="str">
        <f>C40</f>
        <v>Costos de inspección</v>
      </c>
      <c r="H24" s="215">
        <f>E42</f>
        <v>0</v>
      </c>
      <c r="I24" s="215">
        <f>E43</f>
        <v>0</v>
      </c>
      <c r="J24" s="215">
        <f>E44</f>
        <v>0</v>
      </c>
      <c r="M24" s="209" t="s">
        <v>246</v>
      </c>
      <c r="N24" s="209" t="str">
        <f>N4</f>
        <v>Producto X</v>
      </c>
      <c r="O24" s="209" t="str">
        <f>O4</f>
        <v xml:space="preserve">Producto Y </v>
      </c>
      <c r="P24" s="209" t="str">
        <f>P4</f>
        <v>Producto Z</v>
      </c>
    </row>
    <row r="25" spans="2:16">
      <c r="B25" s="338" t="s">
        <v>247</v>
      </c>
      <c r="C25" s="340"/>
      <c r="D25" s="349"/>
      <c r="E25" s="350"/>
      <c r="G25" s="213" t="s">
        <v>223</v>
      </c>
      <c r="H25" s="215">
        <f>SUM(H20:H24)</f>
        <v>15</v>
      </c>
      <c r="I25" s="215">
        <f>SUM(I20:I24)</f>
        <v>20</v>
      </c>
      <c r="J25" s="215">
        <f>SUM(J20:J24)</f>
        <v>10</v>
      </c>
      <c r="M25" s="213" t="str">
        <f>M13</f>
        <v>Método tradicional</v>
      </c>
      <c r="N25" s="215">
        <f>N8</f>
        <v>65</v>
      </c>
      <c r="O25" s="215">
        <f>O8</f>
        <v>73</v>
      </c>
      <c r="P25" s="215">
        <f>P8</f>
        <v>45</v>
      </c>
    </row>
    <row r="26" spans="2:16">
      <c r="B26" s="210" t="s">
        <v>248</v>
      </c>
      <c r="C26" s="210" t="s">
        <v>221</v>
      </c>
      <c r="D26" s="210" t="s">
        <v>243</v>
      </c>
      <c r="E26" s="210" t="s">
        <v>244</v>
      </c>
      <c r="M26" s="213" t="s">
        <v>249</v>
      </c>
      <c r="N26" s="220">
        <f>H32</f>
        <v>47</v>
      </c>
      <c r="O26" s="220">
        <f>I32</f>
        <v>49</v>
      </c>
      <c r="P26" s="220">
        <f>J32</f>
        <v>33</v>
      </c>
    </row>
    <row r="27" spans="2:16">
      <c r="B27" s="213"/>
      <c r="C27" s="216" t="s">
        <v>250</v>
      </c>
      <c r="D27" s="214"/>
      <c r="E27" s="213"/>
      <c r="N27" s="213" t="s">
        <v>251</v>
      </c>
      <c r="O27" s="213" t="s">
        <v>251</v>
      </c>
      <c r="P27" s="213" t="s">
        <v>252</v>
      </c>
    </row>
    <row r="28" spans="2:16">
      <c r="B28" s="213" t="s">
        <v>206</v>
      </c>
      <c r="C28" s="215">
        <f>D25*H14</f>
        <v>0</v>
      </c>
      <c r="D28" s="214">
        <f>H5</f>
        <v>28000</v>
      </c>
      <c r="E28" s="215">
        <f>C28/D28</f>
        <v>0</v>
      </c>
      <c r="G28" s="209" t="s">
        <v>253</v>
      </c>
      <c r="H28" s="209" t="s">
        <v>206</v>
      </c>
      <c r="I28" s="209" t="s">
        <v>207</v>
      </c>
      <c r="J28" s="209" t="s">
        <v>208</v>
      </c>
    </row>
    <row r="29" spans="2:16">
      <c r="B29" s="213" t="s">
        <v>207</v>
      </c>
      <c r="C29" s="215">
        <f>D25*I14</f>
        <v>0</v>
      </c>
      <c r="D29" s="214">
        <f>I5</f>
        <v>18000</v>
      </c>
      <c r="E29" s="215">
        <f t="shared" ref="E29:E30" si="4">C29/D29</f>
        <v>0</v>
      </c>
      <c r="G29" s="221" t="s">
        <v>254</v>
      </c>
      <c r="H29" s="215">
        <f t="shared" ref="H29:J30" si="5">H6</f>
        <v>20</v>
      </c>
      <c r="I29" s="215">
        <f t="shared" si="5"/>
        <v>15</v>
      </c>
      <c r="J29" s="215">
        <f t="shared" si="5"/>
        <v>13</v>
      </c>
    </row>
    <row r="30" spans="2:16">
      <c r="B30" s="213" t="s">
        <v>208</v>
      </c>
      <c r="C30" s="215">
        <f>D25*J14</f>
        <v>0</v>
      </c>
      <c r="D30" s="214">
        <f>J5</f>
        <v>6000</v>
      </c>
      <c r="E30" s="215">
        <f t="shared" si="4"/>
        <v>0</v>
      </c>
      <c r="G30" s="221" t="s">
        <v>255</v>
      </c>
      <c r="H30" s="215">
        <f t="shared" si="5"/>
        <v>12</v>
      </c>
      <c r="I30" s="215">
        <f t="shared" si="5"/>
        <v>14</v>
      </c>
      <c r="J30" s="215">
        <f t="shared" si="5"/>
        <v>10</v>
      </c>
    </row>
    <row r="31" spans="2:16">
      <c r="G31" s="221" t="s">
        <v>256</v>
      </c>
      <c r="H31" s="215">
        <f>H25</f>
        <v>15</v>
      </c>
      <c r="I31" s="215">
        <f>I25</f>
        <v>20</v>
      </c>
      <c r="J31" s="215">
        <f>J25</f>
        <v>10</v>
      </c>
    </row>
    <row r="32" spans="2:16">
      <c r="B32" s="338" t="s">
        <v>257</v>
      </c>
      <c r="C32" s="340"/>
      <c r="D32" s="349"/>
      <c r="E32" s="350"/>
      <c r="G32" s="221" t="s">
        <v>244</v>
      </c>
      <c r="H32" s="215">
        <f>SUM(H29:H31)</f>
        <v>47</v>
      </c>
      <c r="I32" s="215">
        <f>SUM(I29:I31)</f>
        <v>49</v>
      </c>
      <c r="J32" s="215">
        <f>SUM(J29:J31)</f>
        <v>33</v>
      </c>
    </row>
    <row r="33" spans="2:10">
      <c r="B33" s="210" t="s">
        <v>258</v>
      </c>
      <c r="C33" s="210" t="s">
        <v>224</v>
      </c>
      <c r="D33" s="210" t="s">
        <v>243</v>
      </c>
      <c r="E33" s="210" t="s">
        <v>244</v>
      </c>
    </row>
    <row r="34" spans="2:10">
      <c r="B34" s="213"/>
      <c r="C34" s="216" t="s">
        <v>259</v>
      </c>
      <c r="D34" s="214"/>
      <c r="E34" s="213"/>
    </row>
    <row r="35" spans="2:10">
      <c r="B35" s="213" t="s">
        <v>206</v>
      </c>
      <c r="C35" s="215">
        <f>$D$32*H15</f>
        <v>0</v>
      </c>
      <c r="D35" s="214">
        <f>D21</f>
        <v>28000</v>
      </c>
      <c r="E35" s="215">
        <f>C35/D35</f>
        <v>0</v>
      </c>
    </row>
    <row r="36" spans="2:10">
      <c r="B36" s="213" t="s">
        <v>207</v>
      </c>
      <c r="C36" s="215">
        <f>$D$32*I15</f>
        <v>0</v>
      </c>
      <c r="D36" s="214">
        <f t="shared" ref="D36:D37" si="6">D22</f>
        <v>18000</v>
      </c>
      <c r="E36" s="215">
        <f t="shared" ref="E36:E37" si="7">C36/D36</f>
        <v>0</v>
      </c>
    </row>
    <row r="37" spans="2:10">
      <c r="B37" s="213" t="s">
        <v>208</v>
      </c>
      <c r="C37" s="215">
        <f>$D$32*J15</f>
        <v>0</v>
      </c>
      <c r="D37" s="214">
        <f t="shared" si="6"/>
        <v>6000</v>
      </c>
      <c r="E37" s="215">
        <f t="shared" si="7"/>
        <v>0</v>
      </c>
    </row>
    <row r="39" spans="2:10">
      <c r="B39" s="338" t="s">
        <v>260</v>
      </c>
      <c r="C39" s="340"/>
      <c r="D39" s="349"/>
      <c r="E39" s="350"/>
    </row>
    <row r="40" spans="2:10">
      <c r="B40" s="210" t="s">
        <v>261</v>
      </c>
      <c r="C40" s="210" t="s">
        <v>225</v>
      </c>
      <c r="D40" s="210" t="s">
        <v>243</v>
      </c>
      <c r="E40" s="210" t="s">
        <v>244</v>
      </c>
    </row>
    <row r="41" spans="2:10">
      <c r="B41" s="213"/>
      <c r="C41" s="216" t="s">
        <v>262</v>
      </c>
      <c r="D41" s="214"/>
      <c r="E41" s="213"/>
    </row>
    <row r="42" spans="2:10">
      <c r="B42" s="213" t="s">
        <v>206</v>
      </c>
      <c r="C42" s="215">
        <f>$D$39*H16</f>
        <v>0</v>
      </c>
      <c r="D42" s="214">
        <f>D21</f>
        <v>28000</v>
      </c>
      <c r="E42" s="215">
        <f>C42/D42</f>
        <v>0</v>
      </c>
    </row>
    <row r="43" spans="2:10">
      <c r="B43" s="213" t="s">
        <v>207</v>
      </c>
      <c r="C43" s="215">
        <f>$D$39*I16</f>
        <v>0</v>
      </c>
      <c r="D43" s="214">
        <f t="shared" ref="D43:D44" si="8">D22</f>
        <v>18000</v>
      </c>
      <c r="E43" s="215">
        <f t="shared" ref="E43:E44" si="9">C43/D43</f>
        <v>0</v>
      </c>
    </row>
    <row r="44" spans="2:10">
      <c r="B44" s="213" t="s">
        <v>208</v>
      </c>
      <c r="C44" s="215">
        <f>$D$39*J16</f>
        <v>0</v>
      </c>
      <c r="D44" s="214">
        <f t="shared" si="8"/>
        <v>6000</v>
      </c>
      <c r="E44" s="215">
        <f t="shared" si="9"/>
        <v>0</v>
      </c>
    </row>
    <row r="46" spans="2:10">
      <c r="B46" s="338" t="s">
        <v>263</v>
      </c>
      <c r="C46" s="340"/>
      <c r="D46" s="351">
        <f>D6/K12</f>
        <v>10</v>
      </c>
      <c r="E46" s="350"/>
      <c r="G46" s="338" t="s">
        <v>263</v>
      </c>
      <c r="H46" s="340"/>
      <c r="I46" s="352">
        <f>D6/K12</f>
        <v>10</v>
      </c>
      <c r="J46" s="353"/>
    </row>
    <row r="47" spans="2:10">
      <c r="B47" s="210" t="s">
        <v>264</v>
      </c>
      <c r="C47" s="210" t="s">
        <v>265</v>
      </c>
      <c r="D47" s="212"/>
      <c r="E47" s="212"/>
      <c r="G47" s="210" t="s">
        <v>264</v>
      </c>
      <c r="H47" s="210" t="s">
        <v>265</v>
      </c>
      <c r="I47" s="212"/>
      <c r="J47" s="212"/>
    </row>
    <row r="48" spans="2:10">
      <c r="B48" s="213"/>
      <c r="C48" s="216" t="s">
        <v>266</v>
      </c>
      <c r="D48" s="222"/>
      <c r="G48" s="213"/>
      <c r="H48" s="216" t="s">
        <v>266</v>
      </c>
      <c r="I48" s="210" t="s">
        <v>243</v>
      </c>
      <c r="J48" s="210" t="s">
        <v>244</v>
      </c>
    </row>
    <row r="49" spans="2:10">
      <c r="B49" s="213" t="s">
        <v>206</v>
      </c>
      <c r="C49" s="215">
        <f>$D$46*1.5</f>
        <v>15</v>
      </c>
      <c r="D49" s="222"/>
      <c r="E49" s="217"/>
      <c r="G49" s="213" t="s">
        <v>206</v>
      </c>
      <c r="H49" s="215">
        <f>I46*[1]ABC!B16</f>
        <v>420000</v>
      </c>
      <c r="I49" s="214">
        <v>28000</v>
      </c>
      <c r="J49" s="214">
        <f>H49/I49</f>
        <v>15</v>
      </c>
    </row>
    <row r="50" spans="2:10">
      <c r="B50" s="213" t="s">
        <v>207</v>
      </c>
      <c r="C50" s="215">
        <f>$D$46*2</f>
        <v>20</v>
      </c>
      <c r="D50" s="222"/>
      <c r="E50" s="217"/>
      <c r="G50" s="213" t="s">
        <v>207</v>
      </c>
      <c r="H50" s="215">
        <f>I46*[1]ABC!C16</f>
        <v>360000</v>
      </c>
      <c r="I50" s="214">
        <v>18000</v>
      </c>
      <c r="J50" s="214">
        <f t="shared" ref="J50:J51" si="10">H50/I50</f>
        <v>20</v>
      </c>
    </row>
    <row r="51" spans="2:10">
      <c r="B51" s="213" t="s">
        <v>208</v>
      </c>
      <c r="C51" s="215">
        <f>$D$46*1</f>
        <v>10</v>
      </c>
      <c r="D51" s="222"/>
      <c r="E51" s="217"/>
      <c r="G51" s="213" t="s">
        <v>208</v>
      </c>
      <c r="H51" s="215">
        <f>I46*[1]ABC!D16</f>
        <v>60000</v>
      </c>
      <c r="I51" s="214">
        <v>6000</v>
      </c>
      <c r="J51" s="214">
        <f t="shared" si="10"/>
        <v>10</v>
      </c>
    </row>
  </sheetData>
  <mergeCells count="17">
    <mergeCell ref="B46:C46"/>
    <mergeCell ref="D46:E46"/>
    <mergeCell ref="G46:H46"/>
    <mergeCell ref="I46:J46"/>
    <mergeCell ref="B25:C25"/>
    <mergeCell ref="D25:E25"/>
    <mergeCell ref="B32:C32"/>
    <mergeCell ref="D32:E32"/>
    <mergeCell ref="B39:C39"/>
    <mergeCell ref="D39:E39"/>
    <mergeCell ref="B2:D2"/>
    <mergeCell ref="B4:D4"/>
    <mergeCell ref="N13:P13"/>
    <mergeCell ref="N14:P14"/>
    <mergeCell ref="B18:C18"/>
    <mergeCell ref="D18:E18"/>
    <mergeCell ref="H18:J18"/>
  </mergeCells>
  <conditionalFormatting sqref="E48:E51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88"/>
  <sheetViews>
    <sheetView showGridLines="0" topLeftCell="A55" zoomScale="80" zoomScaleNormal="80" workbookViewId="0">
      <selection activeCell="L65" sqref="L65"/>
    </sheetView>
  </sheetViews>
  <sheetFormatPr baseColWidth="10" defaultRowHeight="14.25"/>
  <cols>
    <col min="1" max="1" width="11.42578125" style="128"/>
    <col min="2" max="2" width="13.140625" style="128" customWidth="1"/>
    <col min="3" max="4" width="13.5703125" style="128" customWidth="1"/>
    <col min="5" max="5" width="16.42578125" style="128" customWidth="1"/>
    <col min="6" max="6" width="13.5703125" style="128" customWidth="1"/>
    <col min="7" max="7" width="14.28515625" style="128" customWidth="1"/>
    <col min="8" max="8" width="23" style="128" customWidth="1"/>
    <col min="9" max="9" width="18.7109375" style="128" bestFit="1" customWidth="1"/>
    <col min="10" max="10" width="18.7109375" style="128" customWidth="1"/>
    <col min="11" max="11" width="11.42578125" style="128"/>
    <col min="12" max="12" width="49.140625" style="128" customWidth="1"/>
    <col min="13" max="13" width="16.85546875" style="128" bestFit="1" customWidth="1"/>
    <col min="14" max="16384" width="11.42578125" style="128"/>
  </cols>
  <sheetData>
    <row r="2" spans="2:16" ht="57.75" customHeight="1" thickBot="1">
      <c r="L2" s="364" t="s">
        <v>335</v>
      </c>
      <c r="M2" s="364"/>
      <c r="N2" s="364"/>
    </row>
    <row r="3" spans="2:16" ht="15.75" hidden="1" thickBot="1">
      <c r="B3" s="128" t="s">
        <v>126</v>
      </c>
      <c r="C3" s="128" t="s">
        <v>127</v>
      </c>
      <c r="D3" s="128" t="s">
        <v>128</v>
      </c>
      <c r="E3" s="128" t="s">
        <v>129</v>
      </c>
      <c r="F3" s="128" t="s">
        <v>130</v>
      </c>
      <c r="G3" s="128" t="s">
        <v>131</v>
      </c>
      <c r="H3" s="128" t="s">
        <v>132</v>
      </c>
      <c r="I3" s="128" t="s">
        <v>133</v>
      </c>
      <c r="L3" s="73"/>
      <c r="M3" s="73"/>
      <c r="N3" s="73"/>
    </row>
    <row r="4" spans="2:16" ht="15.75" customHeight="1" thickBot="1">
      <c r="B4" s="129"/>
      <c r="C4" s="130"/>
      <c r="D4" s="130"/>
      <c r="E4" s="131"/>
      <c r="F4" s="132" t="s">
        <v>134</v>
      </c>
      <c r="G4" s="130"/>
      <c r="H4" s="130"/>
      <c r="I4" s="133"/>
      <c r="J4" s="135"/>
      <c r="L4" s="365" t="s">
        <v>336</v>
      </c>
      <c r="M4" s="73"/>
      <c r="N4" s="366"/>
    </row>
    <row r="5" spans="2:16" ht="15.75" customHeight="1">
      <c r="B5" s="134"/>
      <c r="C5" s="135"/>
      <c r="D5" s="135"/>
      <c r="E5" s="136"/>
      <c r="F5" s="137" t="s">
        <v>135</v>
      </c>
      <c r="G5" s="135"/>
      <c r="H5" s="135"/>
      <c r="I5" s="138"/>
      <c r="J5" s="135"/>
      <c r="L5" s="367" t="s">
        <v>136</v>
      </c>
      <c r="M5" s="214">
        <v>23000</v>
      </c>
      <c r="N5" s="366"/>
      <c r="O5" s="139"/>
      <c r="P5" s="139"/>
    </row>
    <row r="6" spans="2:16" ht="16.5" customHeight="1">
      <c r="B6" s="134"/>
      <c r="C6" s="135"/>
      <c r="D6" s="135"/>
      <c r="E6" s="136"/>
      <c r="F6" s="137" t="s">
        <v>337</v>
      </c>
      <c r="G6" s="135"/>
      <c r="H6" s="135"/>
      <c r="I6" s="138"/>
      <c r="J6" s="135"/>
      <c r="L6" s="213" t="s">
        <v>338</v>
      </c>
      <c r="M6" s="214">
        <v>45000</v>
      </c>
      <c r="N6" s="366"/>
      <c r="O6" s="139"/>
      <c r="P6" s="139"/>
    </row>
    <row r="7" spans="2:16" ht="18.75" thickBot="1">
      <c r="B7" s="140"/>
      <c r="C7" s="141"/>
      <c r="D7" s="141"/>
      <c r="E7" s="142"/>
      <c r="F7" s="143" t="s">
        <v>137</v>
      </c>
      <c r="G7" s="141"/>
      <c r="H7" s="141"/>
      <c r="I7" s="144"/>
      <c r="J7" s="135"/>
      <c r="L7" s="213" t="s">
        <v>138</v>
      </c>
      <c r="M7" s="214">
        <v>900000</v>
      </c>
      <c r="N7" s="366"/>
      <c r="O7" s="139"/>
      <c r="P7" s="139"/>
    </row>
    <row r="8" spans="2:16" ht="15.75">
      <c r="B8" s="145"/>
      <c r="C8" s="130"/>
      <c r="D8" s="130"/>
      <c r="E8" s="130"/>
      <c r="F8" s="130"/>
      <c r="G8" s="130"/>
      <c r="H8" s="130"/>
      <c r="I8" s="133"/>
      <c r="J8" s="135"/>
      <c r="L8" s="213" t="s">
        <v>140</v>
      </c>
      <c r="M8" s="214">
        <v>13680</v>
      </c>
      <c r="N8" s="366"/>
      <c r="O8" s="139"/>
      <c r="P8" s="139"/>
    </row>
    <row r="9" spans="2:16" ht="15.75" customHeight="1">
      <c r="B9" s="146"/>
      <c r="C9" s="136" t="s">
        <v>139</v>
      </c>
      <c r="D9" s="136"/>
      <c r="E9" s="136"/>
      <c r="F9" s="136"/>
      <c r="G9" s="136"/>
      <c r="H9" s="147"/>
      <c r="I9" s="148">
        <f>M5</f>
        <v>23000</v>
      </c>
      <c r="J9" s="368"/>
      <c r="L9" s="213" t="s">
        <v>143</v>
      </c>
      <c r="M9" s="214">
        <v>229352</v>
      </c>
      <c r="N9" s="366"/>
      <c r="O9" s="139"/>
      <c r="P9" s="139"/>
    </row>
    <row r="10" spans="2:16" ht="18">
      <c r="B10" s="134" t="s">
        <v>141</v>
      </c>
      <c r="C10" s="149" t="s">
        <v>142</v>
      </c>
      <c r="D10" s="149"/>
      <c r="E10" s="149"/>
      <c r="F10" s="149"/>
      <c r="G10" s="149"/>
      <c r="H10" s="150"/>
      <c r="I10" s="151">
        <f>M22</f>
        <v>122400</v>
      </c>
      <c r="J10" s="167"/>
      <c r="L10" s="213" t="s">
        <v>146</v>
      </c>
      <c r="M10" s="214">
        <v>24800</v>
      </c>
      <c r="N10" s="366"/>
      <c r="O10" s="139"/>
      <c r="P10" s="139"/>
    </row>
    <row r="11" spans="2:16" ht="18">
      <c r="B11" s="134" t="s">
        <v>144</v>
      </c>
      <c r="C11" s="136" t="s">
        <v>145</v>
      </c>
      <c r="D11" s="136"/>
      <c r="E11" s="136"/>
      <c r="F11" s="136"/>
      <c r="G11" s="136"/>
      <c r="H11" s="147"/>
      <c r="I11" s="152">
        <f>I9+I10</f>
        <v>145400</v>
      </c>
      <c r="J11" s="167"/>
      <c r="L11" s="213" t="s">
        <v>149</v>
      </c>
      <c r="M11" s="214">
        <v>100996</v>
      </c>
      <c r="N11" s="366"/>
      <c r="O11" s="139"/>
      <c r="P11" s="139"/>
    </row>
    <row r="12" spans="2:16" ht="18">
      <c r="B12" s="134" t="s">
        <v>147</v>
      </c>
      <c r="C12" s="149" t="s">
        <v>148</v>
      </c>
      <c r="D12" s="149"/>
      <c r="E12" s="149"/>
      <c r="F12" s="149"/>
      <c r="G12" s="149"/>
      <c r="H12" s="150"/>
      <c r="I12" s="151">
        <f>M8</f>
        <v>13680</v>
      </c>
      <c r="J12" s="167"/>
      <c r="K12" s="153"/>
      <c r="L12" s="213" t="s">
        <v>151</v>
      </c>
      <c r="M12" s="214">
        <v>30200</v>
      </c>
      <c r="N12" s="366"/>
      <c r="O12" s="139"/>
      <c r="P12" s="139"/>
    </row>
    <row r="13" spans="2:16" ht="18">
      <c r="B13" s="134" t="s">
        <v>144</v>
      </c>
      <c r="C13" s="136" t="s">
        <v>150</v>
      </c>
      <c r="D13" s="136"/>
      <c r="E13" s="136"/>
      <c r="F13" s="136"/>
      <c r="G13" s="136"/>
      <c r="H13" s="147"/>
      <c r="I13" s="152">
        <f>I11-I12</f>
        <v>131720</v>
      </c>
      <c r="J13" s="167"/>
      <c r="K13" s="153"/>
      <c r="L13" s="213" t="s">
        <v>339</v>
      </c>
      <c r="M13" s="214">
        <v>42000</v>
      </c>
      <c r="N13" s="73"/>
      <c r="O13" s="139"/>
      <c r="P13" s="139"/>
    </row>
    <row r="14" spans="2:16" ht="18">
      <c r="B14" s="134" t="s">
        <v>141</v>
      </c>
      <c r="C14" s="149" t="s">
        <v>152</v>
      </c>
      <c r="D14" s="149"/>
      <c r="E14" s="149"/>
      <c r="F14" s="149"/>
      <c r="G14" s="149"/>
      <c r="H14" s="154"/>
      <c r="I14" s="151">
        <f>M23</f>
        <v>114700</v>
      </c>
      <c r="J14" s="167"/>
      <c r="K14" s="153"/>
      <c r="L14" s="213" t="s">
        <v>154</v>
      </c>
      <c r="M14" s="214">
        <v>7000</v>
      </c>
      <c r="N14" s="73"/>
    </row>
    <row r="15" spans="2:16" ht="18">
      <c r="B15" s="134" t="s">
        <v>144</v>
      </c>
      <c r="C15" s="136" t="s">
        <v>153</v>
      </c>
      <c r="D15" s="136"/>
      <c r="E15" s="136"/>
      <c r="F15" s="136"/>
      <c r="G15" s="136"/>
      <c r="H15" s="147"/>
      <c r="I15" s="155">
        <f>I13+I14</f>
        <v>246420</v>
      </c>
      <c r="J15" s="369"/>
      <c r="K15" s="153"/>
      <c r="L15" s="213" t="s">
        <v>340</v>
      </c>
      <c r="M15" s="214">
        <v>300000</v>
      </c>
      <c r="N15" s="73"/>
    </row>
    <row r="16" spans="2:16" ht="18">
      <c r="B16" s="134" t="s">
        <v>141</v>
      </c>
      <c r="C16" s="149" t="s">
        <v>155</v>
      </c>
      <c r="D16" s="149"/>
      <c r="E16" s="149"/>
      <c r="F16" s="149"/>
      <c r="G16" s="149"/>
      <c r="H16" s="150"/>
      <c r="I16" s="151">
        <f>M11</f>
        <v>100996</v>
      </c>
      <c r="J16" s="167"/>
      <c r="K16" s="153"/>
      <c r="L16" s="213" t="s">
        <v>157</v>
      </c>
      <c r="M16" s="214">
        <v>220000</v>
      </c>
      <c r="N16" s="73"/>
    </row>
    <row r="17" spans="2:14" ht="18">
      <c r="B17" s="134" t="s">
        <v>144</v>
      </c>
      <c r="C17" s="136" t="s">
        <v>156</v>
      </c>
      <c r="D17" s="136"/>
      <c r="E17" s="136"/>
      <c r="F17" s="136"/>
      <c r="G17" s="136"/>
      <c r="H17" s="147"/>
      <c r="I17" s="155">
        <f>SUM(I15:I16)</f>
        <v>347416</v>
      </c>
      <c r="J17" s="369"/>
      <c r="K17" s="153"/>
      <c r="L17" s="213" t="s">
        <v>159</v>
      </c>
      <c r="M17" s="214">
        <v>49637</v>
      </c>
      <c r="N17" s="73"/>
    </row>
    <row r="18" spans="2:14" ht="18">
      <c r="B18" s="134" t="s">
        <v>141</v>
      </c>
      <c r="C18" s="149" t="s">
        <v>158</v>
      </c>
      <c r="D18" s="149"/>
      <c r="E18" s="149"/>
      <c r="F18" s="149"/>
      <c r="G18" s="149"/>
      <c r="H18" s="150"/>
      <c r="I18" s="151">
        <f>M14</f>
        <v>7000</v>
      </c>
      <c r="J18" s="167"/>
      <c r="K18" s="153"/>
      <c r="L18" s="213" t="s">
        <v>161</v>
      </c>
      <c r="M18" s="214">
        <v>12000</v>
      </c>
      <c r="N18" s="73"/>
    </row>
    <row r="19" spans="2:14" ht="18">
      <c r="B19" s="134" t="s">
        <v>144</v>
      </c>
      <c r="C19" s="136" t="s">
        <v>160</v>
      </c>
      <c r="D19" s="136"/>
      <c r="E19" s="136"/>
      <c r="F19" s="136"/>
      <c r="G19" s="136"/>
      <c r="H19" s="147"/>
      <c r="I19" s="152">
        <f>I17+I18</f>
        <v>354416</v>
      </c>
      <c r="J19" s="167"/>
      <c r="K19" s="153"/>
      <c r="L19" s="213" t="s">
        <v>163</v>
      </c>
      <c r="M19" s="214">
        <v>9000</v>
      </c>
      <c r="N19" s="73"/>
    </row>
    <row r="20" spans="2:14" ht="18">
      <c r="B20" s="134" t="s">
        <v>147</v>
      </c>
      <c r="C20" s="149" t="s">
        <v>162</v>
      </c>
      <c r="D20" s="149"/>
      <c r="E20" s="149"/>
      <c r="F20" s="149"/>
      <c r="G20" s="149"/>
      <c r="H20" s="150"/>
      <c r="I20" s="151">
        <f>M17</f>
        <v>49637</v>
      </c>
      <c r="J20" s="167"/>
      <c r="K20" s="153"/>
      <c r="L20" s="213" t="s">
        <v>165</v>
      </c>
      <c r="M20" s="214">
        <v>167902.8</v>
      </c>
      <c r="N20" s="73"/>
    </row>
    <row r="21" spans="2:14" ht="18">
      <c r="B21" s="134" t="s">
        <v>144</v>
      </c>
      <c r="C21" s="136" t="s">
        <v>164</v>
      </c>
      <c r="D21" s="136"/>
      <c r="E21" s="136"/>
      <c r="F21" s="136"/>
      <c r="G21" s="136"/>
      <c r="H21" s="147"/>
      <c r="I21" s="152">
        <f>I19-I20</f>
        <v>304779</v>
      </c>
      <c r="J21" s="167"/>
      <c r="K21" s="153"/>
      <c r="L21" s="213" t="s">
        <v>167</v>
      </c>
      <c r="M21" s="214">
        <v>28455</v>
      </c>
      <c r="N21" s="73"/>
    </row>
    <row r="22" spans="2:14" ht="18">
      <c r="B22" s="134" t="s">
        <v>141</v>
      </c>
      <c r="C22" s="149" t="s">
        <v>166</v>
      </c>
      <c r="D22" s="149"/>
      <c r="E22" s="149"/>
      <c r="F22" s="149"/>
      <c r="G22" s="149"/>
      <c r="H22" s="150"/>
      <c r="I22" s="151">
        <f>M19</f>
        <v>9000</v>
      </c>
      <c r="J22" s="167"/>
      <c r="K22" s="153"/>
      <c r="L22" s="213" t="s">
        <v>169</v>
      </c>
      <c r="M22" s="214">
        <v>122400</v>
      </c>
      <c r="N22" s="73"/>
    </row>
    <row r="23" spans="2:14" ht="18">
      <c r="B23" s="134" t="s">
        <v>144</v>
      </c>
      <c r="C23" s="136" t="s">
        <v>168</v>
      </c>
      <c r="D23" s="136"/>
      <c r="E23" s="136"/>
      <c r="F23" s="136"/>
      <c r="G23" s="136"/>
      <c r="H23" s="147"/>
      <c r="I23" s="152">
        <f>I21+I22</f>
        <v>313779</v>
      </c>
      <c r="J23" s="167"/>
      <c r="L23" s="213" t="s">
        <v>171</v>
      </c>
      <c r="M23" s="214">
        <v>114700</v>
      </c>
      <c r="N23" s="73"/>
    </row>
    <row r="24" spans="2:14" ht="18">
      <c r="B24" s="134" t="s">
        <v>147</v>
      </c>
      <c r="C24" s="149" t="s">
        <v>170</v>
      </c>
      <c r="D24" s="149"/>
      <c r="E24" s="149"/>
      <c r="F24" s="149"/>
      <c r="G24" s="149"/>
      <c r="H24" s="150"/>
      <c r="I24" s="151">
        <f>M21</f>
        <v>28455</v>
      </c>
      <c r="J24" s="167"/>
      <c r="L24" s="213" t="s">
        <v>173</v>
      </c>
      <c r="M24" s="214">
        <v>167552</v>
      </c>
      <c r="N24" s="73"/>
    </row>
    <row r="25" spans="2:14" ht="15.75" customHeight="1">
      <c r="B25" s="134" t="s">
        <v>144</v>
      </c>
      <c r="C25" s="156" t="s">
        <v>172</v>
      </c>
      <c r="D25" s="156"/>
      <c r="E25" s="156"/>
      <c r="F25" s="156"/>
      <c r="G25" s="156"/>
      <c r="H25" s="147"/>
      <c r="I25" s="157">
        <f>I23-I24</f>
        <v>285324</v>
      </c>
      <c r="J25" s="370"/>
    </row>
    <row r="26" spans="2:14">
      <c r="B26" s="158"/>
      <c r="C26" s="135"/>
      <c r="D26" s="135"/>
      <c r="E26" s="135"/>
      <c r="F26" s="135"/>
      <c r="G26" s="135"/>
      <c r="H26" s="135"/>
      <c r="I26" s="138"/>
      <c r="J26" s="135"/>
    </row>
    <row r="27" spans="2:14">
      <c r="B27" s="135"/>
      <c r="C27" s="135"/>
      <c r="D27" s="135"/>
      <c r="E27" s="135"/>
      <c r="F27" s="135"/>
      <c r="G27" s="135"/>
      <c r="H27" s="135"/>
      <c r="I27" s="135"/>
      <c r="J27" s="135"/>
    </row>
    <row r="28" spans="2:14" ht="15" thickBot="1">
      <c r="B28" s="141"/>
      <c r="C28" s="141"/>
      <c r="D28" s="135"/>
      <c r="E28" s="141"/>
      <c r="F28" s="141"/>
      <c r="G28" s="135"/>
      <c r="H28" s="141"/>
      <c r="I28" s="141"/>
      <c r="J28" s="135"/>
    </row>
    <row r="29" spans="2:14" ht="15">
      <c r="B29" s="354" t="s">
        <v>174</v>
      </c>
      <c r="C29" s="354"/>
      <c r="D29" s="159"/>
      <c r="E29" s="355" t="s">
        <v>175</v>
      </c>
      <c r="F29" s="355"/>
      <c r="G29" s="159"/>
      <c r="H29" s="355" t="s">
        <v>176</v>
      </c>
      <c r="I29" s="355"/>
      <c r="J29" s="282"/>
    </row>
    <row r="31" spans="2:14" ht="15" thickBot="1">
      <c r="B31" s="160"/>
      <c r="C31" s="160"/>
      <c r="D31" s="160"/>
      <c r="E31" s="160"/>
      <c r="F31" s="160"/>
      <c r="G31" s="160"/>
      <c r="H31" s="160"/>
      <c r="I31" s="160"/>
      <c r="J31" s="160"/>
    </row>
    <row r="32" spans="2:14" ht="18">
      <c r="B32" s="129"/>
      <c r="C32" s="130"/>
      <c r="D32" s="130"/>
      <c r="E32" s="131"/>
      <c r="F32" s="132" t="s">
        <v>134</v>
      </c>
      <c r="G32" s="130"/>
      <c r="H32" s="130"/>
      <c r="I32" s="133"/>
      <c r="J32" s="135"/>
    </row>
    <row r="33" spans="2:11" ht="18">
      <c r="B33" s="134"/>
      <c r="C33" s="135"/>
      <c r="D33" s="135"/>
      <c r="E33" s="136"/>
      <c r="F33" s="137" t="s">
        <v>177</v>
      </c>
      <c r="G33" s="135"/>
      <c r="H33" s="135"/>
      <c r="I33" s="138"/>
      <c r="J33" s="135"/>
    </row>
    <row r="34" spans="2:11" ht="18.75" thickBot="1">
      <c r="B34" s="134"/>
      <c r="C34" s="135"/>
      <c r="D34" s="135"/>
      <c r="E34" s="136"/>
      <c r="F34" s="137" t="str">
        <f>F6</f>
        <v>DEL  01   DE ENERO AL 28 ABRIL DEL 2023.</v>
      </c>
      <c r="G34" s="135"/>
      <c r="H34" s="135"/>
      <c r="I34" s="138"/>
      <c r="J34" s="135"/>
    </row>
    <row r="35" spans="2:11" ht="18.75" thickBot="1">
      <c r="B35" s="140"/>
      <c r="C35" s="141"/>
      <c r="D35" s="141"/>
      <c r="E35" s="142"/>
      <c r="F35" s="143" t="s">
        <v>137</v>
      </c>
      <c r="G35" s="141"/>
      <c r="H35" s="141"/>
      <c r="I35" s="144"/>
      <c r="J35" s="371" t="s">
        <v>341</v>
      </c>
      <c r="K35" s="372"/>
    </row>
    <row r="36" spans="2:11">
      <c r="B36" s="145"/>
      <c r="C36" s="130"/>
      <c r="D36" s="130"/>
      <c r="E36" s="130"/>
      <c r="F36" s="130"/>
      <c r="G36" s="130"/>
      <c r="H36" s="130"/>
      <c r="I36" s="133"/>
      <c r="J36" s="135"/>
    </row>
    <row r="37" spans="2:11" ht="15">
      <c r="B37" s="146"/>
      <c r="C37" s="136" t="s">
        <v>138</v>
      </c>
      <c r="D37" s="136"/>
      <c r="E37" s="136"/>
      <c r="F37" s="136"/>
      <c r="G37" s="136"/>
      <c r="H37" s="147"/>
      <c r="I37" s="148">
        <v>900000</v>
      </c>
      <c r="J37" s="373">
        <v>1</v>
      </c>
      <c r="K37" s="374"/>
    </row>
    <row r="38" spans="2:11" ht="18">
      <c r="B38" s="134" t="s">
        <v>147</v>
      </c>
      <c r="C38" s="136" t="s">
        <v>172</v>
      </c>
      <c r="D38" s="136"/>
      <c r="E38" s="136"/>
      <c r="F38" s="136"/>
      <c r="G38" s="136"/>
      <c r="H38" s="147"/>
      <c r="I38" s="161">
        <f>I25</f>
        <v>285324</v>
      </c>
      <c r="J38" s="375">
        <f>I38/$I$37</f>
        <v>0.31702666666666668</v>
      </c>
      <c r="K38" s="374"/>
    </row>
    <row r="39" spans="2:11" ht="18">
      <c r="B39" s="134" t="s">
        <v>144</v>
      </c>
      <c r="C39" s="163" t="s">
        <v>178</v>
      </c>
      <c r="D39" s="136"/>
      <c r="E39" s="136"/>
      <c r="F39" s="136"/>
      <c r="G39" s="136"/>
      <c r="H39" s="147"/>
      <c r="I39" s="152">
        <f>I37-I38</f>
        <v>614676</v>
      </c>
      <c r="J39" s="375">
        <f t="shared" ref="J39:J43" si="0">I39/$I$37</f>
        <v>0.68297333333333332</v>
      </c>
      <c r="K39" s="374"/>
    </row>
    <row r="40" spans="2:11" ht="18">
      <c r="B40" s="134" t="s">
        <v>147</v>
      </c>
      <c r="C40" s="136" t="s">
        <v>342</v>
      </c>
      <c r="H40" s="147"/>
      <c r="I40" s="151">
        <f>F52</f>
        <v>55000</v>
      </c>
      <c r="J40" s="375">
        <f t="shared" si="0"/>
        <v>6.1111111111111109E-2</v>
      </c>
      <c r="K40" s="374"/>
    </row>
    <row r="41" spans="2:11" ht="18">
      <c r="B41" s="134" t="s">
        <v>144</v>
      </c>
      <c r="C41" s="136" t="s">
        <v>181</v>
      </c>
      <c r="D41" s="136"/>
      <c r="E41" s="136"/>
      <c r="F41" s="136"/>
      <c r="G41" s="136"/>
      <c r="H41" s="147"/>
      <c r="I41" s="155">
        <f>I39-I40</f>
        <v>559676</v>
      </c>
      <c r="J41" s="375">
        <f t="shared" si="0"/>
        <v>0.62186222222222221</v>
      </c>
      <c r="K41" s="374"/>
    </row>
    <row r="42" spans="2:11" ht="18">
      <c r="B42" s="134" t="s">
        <v>147</v>
      </c>
      <c r="C42" s="136" t="s">
        <v>165</v>
      </c>
      <c r="D42" s="136"/>
      <c r="E42" s="136"/>
      <c r="F42" s="136"/>
      <c r="G42" s="136"/>
      <c r="H42" s="147"/>
      <c r="I42" s="151">
        <f>M20</f>
        <v>167902.8</v>
      </c>
      <c r="J42" s="375">
        <f t="shared" si="0"/>
        <v>0.18655866666666665</v>
      </c>
      <c r="K42" s="374"/>
    </row>
    <row r="43" spans="2:11" ht="18">
      <c r="B43" s="134" t="s">
        <v>144</v>
      </c>
      <c r="C43" s="163" t="s">
        <v>182</v>
      </c>
      <c r="D43" s="136"/>
      <c r="E43" s="136"/>
      <c r="F43" s="136"/>
      <c r="G43" s="136"/>
      <c r="H43" s="147"/>
      <c r="I43" s="164">
        <f>I41-I42</f>
        <v>391773.2</v>
      </c>
      <c r="J43" s="375">
        <f t="shared" si="0"/>
        <v>0.43530355555555555</v>
      </c>
      <c r="K43" s="374"/>
    </row>
    <row r="44" spans="2:11" ht="18.75" thickBot="1">
      <c r="B44" s="140"/>
      <c r="C44" s="142"/>
      <c r="D44" s="142"/>
      <c r="E44" s="142"/>
      <c r="F44" s="142"/>
      <c r="G44" s="142"/>
      <c r="H44" s="165"/>
      <c r="I44" s="166"/>
      <c r="J44" s="167"/>
    </row>
    <row r="45" spans="2:11" ht="15" thickBot="1">
      <c r="B45" s="141"/>
      <c r="C45" s="141"/>
      <c r="D45" s="135"/>
      <c r="E45" s="141"/>
      <c r="F45" s="141"/>
      <c r="G45" s="135"/>
      <c r="H45" s="141"/>
      <c r="I45" s="141"/>
      <c r="J45" s="135"/>
    </row>
    <row r="46" spans="2:11" ht="15">
      <c r="B46" s="354" t="s">
        <v>174</v>
      </c>
      <c r="C46" s="354"/>
      <c r="D46" s="159"/>
      <c r="E46" s="355" t="s">
        <v>175</v>
      </c>
      <c r="F46" s="355"/>
      <c r="G46" s="159"/>
      <c r="H46" s="355" t="s">
        <v>176</v>
      </c>
      <c r="I46" s="355"/>
      <c r="J46" s="282"/>
    </row>
    <row r="47" spans="2:11" ht="15">
      <c r="B47" s="281"/>
      <c r="C47" s="281"/>
      <c r="D47" s="159"/>
      <c r="E47" s="282"/>
      <c r="F47" s="282"/>
      <c r="G47" s="159"/>
      <c r="H47" s="282"/>
      <c r="I47" s="282"/>
      <c r="J47" s="282"/>
    </row>
    <row r="48" spans="2:11" ht="15.75" thickBot="1">
      <c r="B48" s="281" t="s">
        <v>343</v>
      </c>
      <c r="C48" s="281"/>
      <c r="D48" s="159"/>
      <c r="E48" s="282"/>
      <c r="F48" s="282"/>
      <c r="G48" s="159"/>
      <c r="H48" s="282"/>
      <c r="I48" s="282"/>
      <c r="J48" s="282"/>
    </row>
    <row r="49" spans="2:10" ht="16.5" thickBot="1">
      <c r="B49" s="376" t="s">
        <v>334</v>
      </c>
      <c r="C49" s="131"/>
      <c r="D49" s="131"/>
      <c r="E49" s="131"/>
      <c r="F49" s="377"/>
      <c r="G49" s="159"/>
      <c r="H49" s="282"/>
      <c r="I49" s="282"/>
      <c r="J49" s="282"/>
    </row>
    <row r="50" spans="2:10" ht="15.75">
      <c r="B50" s="376" t="s">
        <v>179</v>
      </c>
      <c r="C50" s="131"/>
      <c r="D50" s="131"/>
      <c r="E50" s="131"/>
      <c r="F50" s="378">
        <v>24800</v>
      </c>
      <c r="G50" s="159"/>
      <c r="H50" s="282"/>
      <c r="I50" s="282"/>
      <c r="J50" s="282"/>
    </row>
    <row r="51" spans="2:10" ht="16.5" thickBot="1">
      <c r="B51" s="379" t="s">
        <v>180</v>
      </c>
      <c r="C51" s="142"/>
      <c r="D51" s="142"/>
      <c r="E51" s="142"/>
      <c r="F51" s="378">
        <v>30200</v>
      </c>
      <c r="G51" s="159"/>
      <c r="H51" s="282"/>
      <c r="I51" s="282"/>
      <c r="J51" s="282"/>
    </row>
    <row r="52" spans="2:10" ht="18.75" thickBot="1">
      <c r="B52" s="140" t="s">
        <v>270</v>
      </c>
      <c r="C52" s="142"/>
      <c r="D52" s="142"/>
      <c r="E52" s="142"/>
      <c r="F52" s="380">
        <f>SUM(F50:F51)</f>
        <v>55000</v>
      </c>
      <c r="G52" s="136"/>
      <c r="H52" s="147"/>
      <c r="I52" s="167"/>
      <c r="J52" s="167"/>
    </row>
    <row r="54" spans="2:10" ht="15" thickBot="1"/>
    <row r="55" spans="2:10" ht="18">
      <c r="B55" s="129"/>
      <c r="C55" s="130"/>
      <c r="D55" s="130"/>
      <c r="E55" s="131"/>
      <c r="F55" s="132" t="s">
        <v>134</v>
      </c>
      <c r="G55" s="130"/>
      <c r="H55" s="130"/>
      <c r="I55" s="133"/>
      <c r="J55" s="135"/>
    </row>
    <row r="56" spans="2:10" ht="18">
      <c r="B56" s="134"/>
      <c r="C56" s="135"/>
      <c r="D56" s="135"/>
      <c r="E56" s="136"/>
      <c r="F56" s="137" t="s">
        <v>183</v>
      </c>
      <c r="G56" s="135"/>
      <c r="H56" s="135"/>
      <c r="I56" s="138"/>
      <c r="J56" s="135"/>
    </row>
    <row r="57" spans="2:10" ht="18">
      <c r="B57" s="134"/>
      <c r="C57" s="135"/>
      <c r="D57" s="135"/>
      <c r="E57" s="136"/>
      <c r="F57" s="137" t="s">
        <v>344</v>
      </c>
      <c r="G57" s="135"/>
      <c r="H57" s="135"/>
      <c r="I57" s="138"/>
      <c r="J57" s="135"/>
    </row>
    <row r="58" spans="2:10" ht="18">
      <c r="B58" s="134"/>
      <c r="C58" s="135"/>
      <c r="D58" s="135"/>
      <c r="E58" s="136"/>
      <c r="F58" s="137" t="s">
        <v>137</v>
      </c>
      <c r="G58" s="135"/>
      <c r="H58" s="135"/>
      <c r="I58" s="138"/>
      <c r="J58" s="135"/>
    </row>
    <row r="59" spans="2:10">
      <c r="B59" s="158"/>
      <c r="C59" s="135"/>
      <c r="D59" s="135"/>
      <c r="E59" s="135"/>
      <c r="F59" s="135"/>
      <c r="G59" s="135"/>
      <c r="H59" s="135"/>
      <c r="I59" s="138"/>
      <c r="J59" s="135"/>
    </row>
    <row r="60" spans="2:10" ht="15.75">
      <c r="B60" s="168" t="s">
        <v>184</v>
      </c>
      <c r="C60" s="136"/>
      <c r="D60" s="136"/>
      <c r="E60" s="136"/>
      <c r="F60" s="136"/>
      <c r="G60" s="169" t="s">
        <v>185</v>
      </c>
      <c r="H60" s="147"/>
      <c r="I60" s="148"/>
      <c r="J60" s="368"/>
    </row>
    <row r="61" spans="2:10" ht="15.75">
      <c r="B61" s="170" t="s">
        <v>186</v>
      </c>
      <c r="C61" s="136"/>
      <c r="D61" s="136"/>
      <c r="E61" s="136"/>
      <c r="F61" s="136"/>
      <c r="G61" s="163" t="s">
        <v>187</v>
      </c>
      <c r="H61" s="147"/>
      <c r="I61" s="152"/>
      <c r="J61" s="167"/>
    </row>
    <row r="62" spans="2:10" ht="18">
      <c r="B62" s="134"/>
      <c r="C62" s="136"/>
      <c r="D62" s="136"/>
      <c r="E62" s="136"/>
      <c r="F62" s="136"/>
      <c r="G62" s="136"/>
      <c r="H62" s="147"/>
      <c r="I62" s="152"/>
      <c r="J62" s="167"/>
    </row>
    <row r="63" spans="2:10" ht="15">
      <c r="B63" s="173" t="s">
        <v>345</v>
      </c>
      <c r="C63" s="136"/>
      <c r="D63" s="136"/>
      <c r="E63" s="162">
        <v>229352</v>
      </c>
      <c r="F63" s="381">
        <f>E63/$E$77</f>
        <v>0.27510927506609284</v>
      </c>
      <c r="G63" s="162" t="s">
        <v>346</v>
      </c>
      <c r="H63" s="171"/>
      <c r="I63" s="172">
        <v>42000</v>
      </c>
      <c r="J63" s="383">
        <f>I63/$I$77</f>
        <v>5.0379284038403409E-2</v>
      </c>
    </row>
    <row r="64" spans="2:10" ht="15">
      <c r="B64" s="173" t="s">
        <v>347</v>
      </c>
      <c r="C64" s="136"/>
      <c r="D64" s="136"/>
      <c r="E64" s="162">
        <f>22500*2</f>
        <v>45000</v>
      </c>
      <c r="F64" s="381">
        <f t="shared" ref="F64:F77" si="1">E64/$E$77</f>
        <v>5.3977804326860793E-2</v>
      </c>
      <c r="G64" s="162" t="s">
        <v>188</v>
      </c>
      <c r="H64" s="171"/>
      <c r="I64" s="172">
        <f>I42</f>
        <v>167902.8</v>
      </c>
      <c r="J64" s="383">
        <f>I64/$I$77</f>
        <v>0.20140054409626759</v>
      </c>
    </row>
    <row r="65" spans="2:10" ht="15">
      <c r="B65" s="173" t="s">
        <v>348</v>
      </c>
      <c r="C65" s="136"/>
      <c r="D65" s="136"/>
      <c r="E65" s="162">
        <v>91772</v>
      </c>
      <c r="F65" s="381">
        <f t="shared" si="1"/>
        <v>0.11008113463743709</v>
      </c>
      <c r="G65" s="162"/>
      <c r="H65" s="171"/>
      <c r="I65" s="172"/>
      <c r="J65" s="383"/>
    </row>
    <row r="66" spans="2:10" ht="15.75">
      <c r="B66" s="174"/>
      <c r="C66" s="136"/>
      <c r="D66" s="136"/>
      <c r="E66" s="169"/>
      <c r="F66" s="381"/>
      <c r="G66" s="162"/>
      <c r="H66" s="162"/>
      <c r="I66" s="172"/>
      <c r="J66" s="383"/>
    </row>
    <row r="67" spans="2:10" ht="15.75">
      <c r="B67" s="174"/>
      <c r="C67" s="136"/>
      <c r="D67" s="136"/>
      <c r="E67" s="175"/>
      <c r="F67" s="381"/>
      <c r="G67" s="176" t="s">
        <v>189</v>
      </c>
      <c r="H67" s="177"/>
      <c r="I67" s="178">
        <f>SUM(I63:I66)</f>
        <v>209902.8</v>
      </c>
      <c r="J67" s="383">
        <f>I67/$I$77</f>
        <v>0.25177982813467104</v>
      </c>
    </row>
    <row r="68" spans="2:10" ht="15.75">
      <c r="B68" s="179" t="s">
        <v>190</v>
      </c>
      <c r="C68" s="180"/>
      <c r="D68" s="180"/>
      <c r="E68" s="176">
        <f>SUM(E63:E67)</f>
        <v>366124</v>
      </c>
      <c r="F68" s="381">
        <f t="shared" si="1"/>
        <v>0.43916821403039069</v>
      </c>
      <c r="G68" s="171"/>
      <c r="H68" s="171"/>
      <c r="I68" s="172"/>
      <c r="J68" s="383"/>
    </row>
    <row r="69" spans="2:10" ht="15.75">
      <c r="B69" s="181"/>
      <c r="C69" s="163"/>
      <c r="D69" s="136"/>
      <c r="E69" s="162"/>
      <c r="F69" s="381"/>
      <c r="G69" s="162"/>
      <c r="H69" s="171"/>
      <c r="I69" s="182"/>
      <c r="J69" s="383"/>
    </row>
    <row r="70" spans="2:10" ht="15.75">
      <c r="B70" s="181" t="s">
        <v>191</v>
      </c>
      <c r="C70" s="136"/>
      <c r="D70" s="136"/>
      <c r="E70" s="162"/>
      <c r="F70" s="381"/>
      <c r="G70" s="169" t="s">
        <v>192</v>
      </c>
      <c r="H70" s="171"/>
      <c r="I70" s="172"/>
      <c r="J70" s="383"/>
    </row>
    <row r="71" spans="2:10" ht="15">
      <c r="B71" s="183"/>
      <c r="C71" s="184"/>
      <c r="D71" s="184"/>
      <c r="E71" s="171"/>
      <c r="F71" s="381"/>
      <c r="G71" s="171"/>
      <c r="H71" s="171"/>
      <c r="I71" s="172"/>
      <c r="J71" s="383"/>
    </row>
    <row r="72" spans="2:10" ht="15">
      <c r="B72" s="183" t="s">
        <v>193</v>
      </c>
      <c r="C72" s="184"/>
      <c r="D72" s="184"/>
      <c r="E72" s="171">
        <v>300000</v>
      </c>
      <c r="F72" s="381">
        <f t="shared" si="1"/>
        <v>0.35985202884573864</v>
      </c>
      <c r="G72" s="171" t="s">
        <v>194</v>
      </c>
      <c r="H72" s="171"/>
      <c r="I72" s="172">
        <v>220000</v>
      </c>
      <c r="J72" s="383">
        <f>I72/$I$77</f>
        <v>0.26389148782020833</v>
      </c>
    </row>
    <row r="73" spans="2:10" ht="15">
      <c r="B73" s="183" t="s">
        <v>195</v>
      </c>
      <c r="C73" s="184"/>
      <c r="D73" s="184"/>
      <c r="E73" s="185">
        <v>167552</v>
      </c>
      <c r="F73" s="381">
        <f t="shared" si="1"/>
        <v>0.20097975712387067</v>
      </c>
      <c r="G73" s="171" t="s">
        <v>196</v>
      </c>
      <c r="H73" s="171"/>
      <c r="I73" s="172">
        <v>12000</v>
      </c>
      <c r="J73" s="383">
        <f>I73/$I$77</f>
        <v>1.4394081153829546E-2</v>
      </c>
    </row>
    <row r="74" spans="2:10" ht="15.75">
      <c r="B74" s="183"/>
      <c r="C74" s="184"/>
      <c r="D74" s="184"/>
      <c r="E74" s="171"/>
      <c r="F74" s="381"/>
      <c r="G74" s="186" t="s">
        <v>197</v>
      </c>
      <c r="H74" s="171"/>
      <c r="I74" s="187">
        <f>I43</f>
        <v>391773.2</v>
      </c>
      <c r="J74" s="383">
        <f>I74/$I$77</f>
        <v>0.46993460289129113</v>
      </c>
    </row>
    <row r="75" spans="2:10" ht="15.75">
      <c r="B75" s="179" t="s">
        <v>198</v>
      </c>
      <c r="C75" s="188"/>
      <c r="D75" s="188"/>
      <c r="E75" s="189">
        <f>SUM(E72:E73)</f>
        <v>467552</v>
      </c>
      <c r="F75" s="381">
        <f t="shared" si="1"/>
        <v>0.56083178596960925</v>
      </c>
      <c r="G75" s="189" t="s">
        <v>199</v>
      </c>
      <c r="H75" s="177"/>
      <c r="I75" s="178">
        <f>SUM(I72:I74)</f>
        <v>623773.19999999995</v>
      </c>
      <c r="J75" s="383">
        <f>I75/$I$77</f>
        <v>0.74822017186532896</v>
      </c>
    </row>
    <row r="76" spans="2:10" ht="15.75" thickBot="1">
      <c r="B76" s="183"/>
      <c r="C76" s="184"/>
      <c r="D76" s="184"/>
      <c r="E76" s="171"/>
      <c r="F76" s="381"/>
      <c r="G76" s="171"/>
      <c r="H76" s="171"/>
      <c r="I76" s="172"/>
      <c r="J76" s="383"/>
    </row>
    <row r="77" spans="2:10" ht="16.5" thickBot="1">
      <c r="B77" s="190" t="s">
        <v>200</v>
      </c>
      <c r="C77" s="191"/>
      <c r="D77" s="191"/>
      <c r="E77" s="192">
        <f>E68+E75</f>
        <v>833676</v>
      </c>
      <c r="F77" s="381">
        <f t="shared" si="1"/>
        <v>1</v>
      </c>
      <c r="G77" s="193" t="s">
        <v>201</v>
      </c>
      <c r="H77" s="194"/>
      <c r="I77" s="192">
        <f>I75+I67</f>
        <v>833676</v>
      </c>
      <c r="J77" s="383">
        <f>I77/$I$77</f>
        <v>1</v>
      </c>
    </row>
    <row r="78" spans="2:10" ht="15.75" thickBot="1">
      <c r="B78" s="195"/>
      <c r="C78" s="196"/>
      <c r="D78" s="196"/>
      <c r="E78" s="197"/>
      <c r="F78" s="197"/>
      <c r="G78" s="197"/>
      <c r="H78" s="197"/>
      <c r="I78" s="198"/>
    </row>
    <row r="79" spans="2:10" ht="15">
      <c r="B79" s="184"/>
      <c r="C79" s="184"/>
      <c r="D79" s="184"/>
      <c r="E79" s="171"/>
      <c r="F79" s="171"/>
      <c r="G79" s="171"/>
      <c r="H79" s="171"/>
      <c r="I79" s="171"/>
      <c r="J79" s="171"/>
    </row>
    <row r="80" spans="2:10" ht="15">
      <c r="B80" s="184"/>
      <c r="C80" s="184"/>
      <c r="D80" s="184"/>
      <c r="E80" s="171"/>
      <c r="F80" s="171"/>
      <c r="G80" s="171"/>
      <c r="H80" s="171"/>
      <c r="I80" s="171"/>
      <c r="J80" s="171"/>
    </row>
    <row r="81" spans="2:10" ht="15.75" thickBot="1">
      <c r="B81" s="159" t="s">
        <v>349</v>
      </c>
      <c r="C81" s="160"/>
      <c r="D81" s="160"/>
      <c r="E81" s="160"/>
      <c r="F81" s="160"/>
      <c r="G81" s="160"/>
      <c r="H81" s="160"/>
      <c r="I81" s="160"/>
      <c r="J81" s="160"/>
    </row>
    <row r="82" spans="2:10" ht="15.75">
      <c r="B82" s="199" t="s">
        <v>267</v>
      </c>
      <c r="C82" s="131"/>
      <c r="D82" s="131"/>
      <c r="E82" s="200">
        <v>13680</v>
      </c>
      <c r="F82" s="160"/>
      <c r="G82" s="160"/>
      <c r="H82" s="160"/>
      <c r="I82" s="160"/>
      <c r="J82" s="160"/>
    </row>
    <row r="83" spans="2:10" ht="15.75">
      <c r="B83" s="174" t="s">
        <v>268</v>
      </c>
      <c r="C83" s="136"/>
      <c r="D83" s="136"/>
      <c r="E83" s="201">
        <v>49637</v>
      </c>
      <c r="F83" s="160"/>
      <c r="G83" s="160"/>
      <c r="H83" s="160"/>
      <c r="I83" s="160"/>
    </row>
    <row r="84" spans="2:10" ht="16.5" thickBot="1">
      <c r="B84" s="202" t="s">
        <v>269</v>
      </c>
      <c r="C84" s="142"/>
      <c r="D84" s="142"/>
      <c r="E84" s="203">
        <v>28455</v>
      </c>
      <c r="F84" s="160"/>
      <c r="G84" s="160"/>
      <c r="H84" s="160"/>
      <c r="I84" s="160"/>
      <c r="J84" s="160"/>
    </row>
    <row r="85" spans="2:10" ht="15">
      <c r="B85" s="159" t="s">
        <v>270</v>
      </c>
      <c r="C85" s="160"/>
      <c r="D85" s="160"/>
      <c r="E85" s="382">
        <f>SUM(E82:E84)</f>
        <v>91772</v>
      </c>
      <c r="F85" s="160"/>
      <c r="G85" s="160"/>
      <c r="H85" s="160"/>
      <c r="I85" s="160"/>
      <c r="J85" s="160"/>
    </row>
    <row r="86" spans="2:10">
      <c r="B86" s="160"/>
      <c r="C86" s="160"/>
      <c r="D86" s="160"/>
      <c r="E86" s="160"/>
      <c r="F86" s="160"/>
      <c r="G86" s="160"/>
      <c r="H86" s="160"/>
      <c r="I86" s="160"/>
      <c r="J86" s="160"/>
    </row>
    <row r="87" spans="2:10" ht="15" thickBot="1">
      <c r="B87" s="141"/>
      <c r="C87" s="141"/>
      <c r="D87" s="135"/>
      <c r="E87" s="141"/>
      <c r="G87" s="135"/>
      <c r="H87" s="141"/>
      <c r="I87" s="141"/>
      <c r="J87" s="135"/>
    </row>
    <row r="88" spans="2:10" ht="15">
      <c r="B88" s="354" t="s">
        <v>174</v>
      </c>
      <c r="C88" s="354"/>
      <c r="D88" s="159"/>
      <c r="E88" s="355" t="s">
        <v>175</v>
      </c>
      <c r="F88" s="355"/>
      <c r="G88" s="159"/>
      <c r="H88" s="355" t="s">
        <v>176</v>
      </c>
      <c r="I88" s="355"/>
      <c r="J88" s="282"/>
    </row>
  </sheetData>
  <mergeCells count="10">
    <mergeCell ref="B88:C88"/>
    <mergeCell ref="E88:F88"/>
    <mergeCell ref="H88:I88"/>
    <mergeCell ref="L2:N2"/>
    <mergeCell ref="B29:C29"/>
    <mergeCell ref="E29:F29"/>
    <mergeCell ref="H29:I29"/>
    <mergeCell ref="B46:C46"/>
    <mergeCell ref="E46:F46"/>
    <mergeCell ref="H46:I46"/>
  </mergeCells>
  <pageMargins left="0" right="0" top="0" bottom="0" header="0" footer="0"/>
  <pageSetup paperSize="9" scale="50" orientation="portrait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34" workbookViewId="0">
      <selection activeCell="B42" sqref="B42"/>
    </sheetView>
  </sheetViews>
  <sheetFormatPr baseColWidth="10" defaultRowHeight="15"/>
  <sheetData>
    <row r="1" spans="1:8" ht="18">
      <c r="A1" s="129"/>
      <c r="B1" s="130"/>
      <c r="C1" s="283"/>
      <c r="D1" s="284"/>
      <c r="E1" s="285" t="s">
        <v>329</v>
      </c>
      <c r="F1" s="283"/>
      <c r="G1" s="130"/>
      <c r="H1" s="133"/>
    </row>
    <row r="2" spans="1:8" ht="18">
      <c r="A2" s="134"/>
      <c r="B2" s="135"/>
      <c r="C2" s="286"/>
      <c r="D2" s="287"/>
      <c r="E2" s="288" t="s">
        <v>135</v>
      </c>
      <c r="F2" s="286"/>
      <c r="G2" s="135"/>
      <c r="H2" s="138"/>
    </row>
    <row r="3" spans="1:8" ht="18">
      <c r="A3" s="134"/>
      <c r="B3" s="135"/>
      <c r="C3" s="286"/>
      <c r="D3" s="287"/>
      <c r="E3" s="288" t="s">
        <v>371</v>
      </c>
      <c r="F3" s="286"/>
      <c r="G3" s="135"/>
      <c r="H3" s="138"/>
    </row>
    <row r="4" spans="1:8" ht="18.75" thickBot="1">
      <c r="A4" s="140"/>
      <c r="B4" s="141"/>
      <c r="C4" s="289"/>
      <c r="D4" s="290"/>
      <c r="E4" s="291" t="s">
        <v>137</v>
      </c>
      <c r="F4" s="289"/>
      <c r="G4" s="141"/>
      <c r="H4" s="144"/>
    </row>
    <row r="5" spans="1:8">
      <c r="A5" s="145"/>
      <c r="B5" s="130"/>
      <c r="C5" s="130"/>
      <c r="D5" s="130"/>
      <c r="E5" s="130"/>
      <c r="F5" s="130"/>
      <c r="G5" s="130"/>
      <c r="H5" s="133"/>
    </row>
    <row r="6" spans="1:8">
      <c r="A6" s="292"/>
      <c r="B6" s="287" t="s">
        <v>139</v>
      </c>
      <c r="C6" s="287"/>
      <c r="D6" s="287"/>
      <c r="E6" s="287"/>
      <c r="F6" s="287"/>
      <c r="G6" s="293"/>
      <c r="H6" s="294"/>
    </row>
    <row r="7" spans="1:8">
      <c r="A7" s="295" t="s">
        <v>141</v>
      </c>
      <c r="B7" s="296" t="s">
        <v>142</v>
      </c>
      <c r="C7" s="296"/>
      <c r="D7" s="296"/>
      <c r="E7" s="296"/>
      <c r="F7" s="296"/>
      <c r="G7" s="297"/>
      <c r="H7" s="298"/>
    </row>
    <row r="8" spans="1:8">
      <c r="A8" s="295" t="s">
        <v>144</v>
      </c>
      <c r="B8" s="287" t="s">
        <v>145</v>
      </c>
      <c r="C8" s="287"/>
      <c r="D8" s="287"/>
      <c r="E8" s="287"/>
      <c r="F8" s="287"/>
      <c r="G8" s="293"/>
      <c r="H8" s="299"/>
    </row>
    <row r="9" spans="1:8">
      <c r="A9" s="295" t="s">
        <v>147</v>
      </c>
      <c r="B9" s="296" t="s">
        <v>148</v>
      </c>
      <c r="C9" s="296"/>
      <c r="D9" s="296"/>
      <c r="E9" s="296"/>
      <c r="F9" s="296"/>
      <c r="G9" s="297"/>
      <c r="H9" s="298"/>
    </row>
    <row r="10" spans="1:8">
      <c r="A10" s="295" t="s">
        <v>144</v>
      </c>
      <c r="B10" s="287" t="s">
        <v>150</v>
      </c>
      <c r="C10" s="287"/>
      <c r="D10" s="287"/>
      <c r="E10" s="287"/>
      <c r="F10" s="287"/>
      <c r="G10" s="293"/>
      <c r="H10" s="299"/>
    </row>
    <row r="11" spans="1:8">
      <c r="A11" s="295" t="s">
        <v>141</v>
      </c>
      <c r="B11" s="296" t="s">
        <v>152</v>
      </c>
      <c r="C11" s="296"/>
      <c r="D11" s="296"/>
      <c r="E11" s="296"/>
      <c r="F11" s="296"/>
      <c r="G11" s="296"/>
      <c r="H11" s="298"/>
    </row>
    <row r="12" spans="1:8">
      <c r="A12" s="295" t="s">
        <v>144</v>
      </c>
      <c r="B12" s="287" t="s">
        <v>153</v>
      </c>
      <c r="C12" s="287"/>
      <c r="D12" s="287"/>
      <c r="E12" s="287"/>
      <c r="F12" s="287"/>
      <c r="G12" s="293"/>
      <c r="H12" s="300"/>
    </row>
    <row r="13" spans="1:8">
      <c r="A13" s="295" t="s">
        <v>141</v>
      </c>
      <c r="B13" s="287" t="s">
        <v>155</v>
      </c>
      <c r="C13" s="287"/>
      <c r="D13" s="287"/>
      <c r="E13" s="287"/>
      <c r="F13" s="287"/>
      <c r="G13" s="293"/>
      <c r="H13" s="299"/>
    </row>
    <row r="14" spans="1:8">
      <c r="A14" s="295"/>
      <c r="B14" s="287" t="s">
        <v>330</v>
      </c>
      <c r="C14" s="287"/>
      <c r="D14" s="287"/>
      <c r="E14" s="287"/>
      <c r="F14" s="301"/>
      <c r="G14" s="293"/>
      <c r="H14" s="299"/>
    </row>
    <row r="15" spans="1:8">
      <c r="A15" s="295"/>
      <c r="B15" s="287" t="s">
        <v>331</v>
      </c>
      <c r="C15" s="287"/>
      <c r="D15" s="287"/>
      <c r="E15" s="287"/>
      <c r="F15" s="301"/>
      <c r="G15" s="293"/>
      <c r="H15" s="299"/>
    </row>
    <row r="16" spans="1:8">
      <c r="A16" s="295"/>
      <c r="B16" s="287" t="s">
        <v>332</v>
      </c>
      <c r="C16" s="287"/>
      <c r="D16" s="287"/>
      <c r="E16" s="287"/>
      <c r="F16" s="301"/>
      <c r="G16" s="293"/>
      <c r="H16" s="299"/>
    </row>
    <row r="17" spans="1:8">
      <c r="A17" s="295"/>
      <c r="B17" s="287" t="s">
        <v>333</v>
      </c>
      <c r="C17" s="287"/>
      <c r="D17" s="287"/>
      <c r="E17" s="287"/>
      <c r="F17" s="302"/>
      <c r="G17" s="297"/>
      <c r="H17" s="298"/>
    </row>
    <row r="18" spans="1:8">
      <c r="A18" s="295" t="s">
        <v>144</v>
      </c>
      <c r="B18" s="287" t="s">
        <v>156</v>
      </c>
      <c r="C18" s="287"/>
      <c r="D18" s="287"/>
      <c r="E18" s="287"/>
      <c r="F18" s="287"/>
      <c r="G18" s="293"/>
      <c r="H18" s="300"/>
    </row>
    <row r="19" spans="1:8">
      <c r="A19" s="295" t="s">
        <v>141</v>
      </c>
      <c r="B19" s="296" t="s">
        <v>158</v>
      </c>
      <c r="C19" s="296"/>
      <c r="D19" s="296"/>
      <c r="E19" s="296"/>
      <c r="F19" s="296"/>
      <c r="G19" s="297"/>
      <c r="H19" s="298"/>
    </row>
    <row r="20" spans="1:8">
      <c r="A20" s="295" t="s">
        <v>144</v>
      </c>
      <c r="B20" s="287" t="s">
        <v>160</v>
      </c>
      <c r="C20" s="287"/>
      <c r="D20" s="287"/>
      <c r="E20" s="287"/>
      <c r="F20" s="287"/>
      <c r="G20" s="293"/>
      <c r="H20" s="299"/>
    </row>
    <row r="21" spans="1:8">
      <c r="A21" s="295" t="s">
        <v>147</v>
      </c>
      <c r="B21" s="296" t="s">
        <v>162</v>
      </c>
      <c r="C21" s="296"/>
      <c r="D21" s="296"/>
      <c r="E21" s="296"/>
      <c r="F21" s="296"/>
      <c r="G21" s="297"/>
      <c r="H21" s="298"/>
    </row>
    <row r="22" spans="1:8">
      <c r="A22" s="295" t="s">
        <v>144</v>
      </c>
      <c r="B22" s="287" t="s">
        <v>164</v>
      </c>
      <c r="C22" s="287"/>
      <c r="D22" s="287"/>
      <c r="E22" s="287"/>
      <c r="F22" s="287"/>
      <c r="G22" s="293"/>
      <c r="H22" s="299"/>
    </row>
    <row r="23" spans="1:8">
      <c r="A23" s="295" t="s">
        <v>141</v>
      </c>
      <c r="B23" s="296" t="s">
        <v>166</v>
      </c>
      <c r="C23" s="296"/>
      <c r="D23" s="296"/>
      <c r="E23" s="296"/>
      <c r="F23" s="296"/>
      <c r="G23" s="297"/>
      <c r="H23" s="298"/>
    </row>
    <row r="24" spans="1:8">
      <c r="A24" s="295" t="s">
        <v>144</v>
      </c>
      <c r="B24" s="287" t="s">
        <v>168</v>
      </c>
      <c r="C24" s="287"/>
      <c r="D24" s="287"/>
      <c r="E24" s="287"/>
      <c r="F24" s="287"/>
      <c r="G24" s="293"/>
      <c r="H24" s="299"/>
    </row>
    <row r="25" spans="1:8">
      <c r="A25" s="295" t="s">
        <v>147</v>
      </c>
      <c r="B25" s="296" t="s">
        <v>170</v>
      </c>
      <c r="C25" s="296"/>
      <c r="D25" s="296"/>
      <c r="E25" s="296"/>
      <c r="F25" s="296"/>
      <c r="G25" s="297"/>
      <c r="H25" s="298"/>
    </row>
    <row r="26" spans="1:8">
      <c r="A26" s="295" t="s">
        <v>144</v>
      </c>
      <c r="B26" s="303" t="s">
        <v>172</v>
      </c>
      <c r="C26" s="303"/>
      <c r="D26" s="303"/>
      <c r="E26" s="303"/>
      <c r="F26" s="303"/>
      <c r="G26" s="293"/>
      <c r="H26" s="304"/>
    </row>
    <row r="27" spans="1:8" ht="15.75" thickBot="1">
      <c r="A27" s="305"/>
      <c r="B27" s="289"/>
      <c r="C27" s="289"/>
      <c r="D27" s="289"/>
      <c r="E27" s="289"/>
      <c r="F27" s="289"/>
      <c r="G27" s="289"/>
      <c r="H27" s="306"/>
    </row>
    <row r="28" spans="1:8">
      <c r="A28" s="286"/>
      <c r="B28" s="286"/>
      <c r="C28" s="286"/>
      <c r="D28" s="286"/>
      <c r="E28" s="286"/>
      <c r="F28" s="286"/>
      <c r="G28" s="286"/>
      <c r="H28" s="286"/>
    </row>
    <row r="29" spans="1:8" ht="15.75" thickBot="1">
      <c r="A29" s="289"/>
      <c r="B29" s="289"/>
      <c r="C29" s="286"/>
      <c r="D29" s="289"/>
      <c r="E29" s="289"/>
      <c r="F29" s="286"/>
      <c r="G29" s="289"/>
      <c r="H29" s="289"/>
    </row>
    <row r="30" spans="1:8">
      <c r="A30" s="356" t="s">
        <v>174</v>
      </c>
      <c r="B30" s="356"/>
      <c r="C30" s="307"/>
      <c r="D30" s="356" t="s">
        <v>175</v>
      </c>
      <c r="E30" s="356"/>
      <c r="F30" s="307"/>
      <c r="G30" s="356" t="s">
        <v>176</v>
      </c>
      <c r="H30" s="356"/>
    </row>
    <row r="31" spans="1:8">
      <c r="A31" s="308"/>
      <c r="B31" s="308"/>
      <c r="C31" s="308"/>
      <c r="D31" s="308"/>
      <c r="E31" s="308"/>
      <c r="F31" s="308"/>
      <c r="G31" s="308"/>
      <c r="H31" s="308"/>
    </row>
    <row r="32" spans="1:8" ht="15.75" thickBot="1">
      <c r="A32" s="308"/>
      <c r="B32" s="308"/>
      <c r="C32" s="308"/>
      <c r="D32" s="308"/>
      <c r="E32" s="308"/>
      <c r="F32" s="308"/>
      <c r="G32" s="308"/>
      <c r="H32" s="308"/>
    </row>
    <row r="33" spans="1:8">
      <c r="A33" s="309"/>
      <c r="B33" s="283"/>
      <c r="C33" s="283"/>
      <c r="D33" s="284"/>
      <c r="E33" s="285" t="str">
        <f>E1</f>
        <v>BRAITZ, S.A. DE C.V.</v>
      </c>
      <c r="F33" s="283"/>
      <c r="G33" s="283"/>
      <c r="H33" s="310"/>
    </row>
    <row r="34" spans="1:8">
      <c r="A34" s="295"/>
      <c r="B34" s="286"/>
      <c r="C34" s="286"/>
      <c r="D34" s="287"/>
      <c r="E34" s="288" t="s">
        <v>177</v>
      </c>
      <c r="F34" s="286"/>
      <c r="G34" s="286"/>
      <c r="H34" s="311"/>
    </row>
    <row r="35" spans="1:8">
      <c r="A35" s="295"/>
      <c r="B35" s="286"/>
      <c r="C35" s="286"/>
      <c r="D35" s="287"/>
      <c r="E35" s="288" t="str">
        <f>E3</f>
        <v>DEL  01   DE ENERO AL 28 DE ABRIL DEL 2023.</v>
      </c>
      <c r="F35" s="286"/>
      <c r="G35" s="286"/>
      <c r="H35" s="311"/>
    </row>
    <row r="36" spans="1:8" ht="15.75" thickBot="1">
      <c r="A36" s="312"/>
      <c r="B36" s="289"/>
      <c r="C36" s="289"/>
      <c r="D36" s="290"/>
      <c r="E36" s="291" t="s">
        <v>137</v>
      </c>
      <c r="F36" s="289"/>
      <c r="G36" s="289"/>
      <c r="H36" s="306"/>
    </row>
    <row r="37" spans="1:8">
      <c r="A37" s="313"/>
      <c r="B37" s="283"/>
      <c r="C37" s="283"/>
      <c r="D37" s="283"/>
      <c r="E37" s="283"/>
      <c r="F37" s="283"/>
      <c r="G37" s="283"/>
      <c r="H37" s="310"/>
    </row>
    <row r="38" spans="1:8">
      <c r="A38" s="292"/>
      <c r="B38" s="287" t="s">
        <v>138</v>
      </c>
      <c r="C38" s="287"/>
      <c r="D38" s="287"/>
      <c r="E38" s="287"/>
      <c r="F38" s="287"/>
      <c r="G38" s="293"/>
      <c r="H38" s="294"/>
    </row>
    <row r="39" spans="1:8">
      <c r="A39" s="295" t="s">
        <v>147</v>
      </c>
      <c r="B39" s="287" t="s">
        <v>172</v>
      </c>
      <c r="C39" s="287"/>
      <c r="D39" s="287"/>
      <c r="E39" s="287"/>
      <c r="F39" s="287"/>
      <c r="G39" s="293"/>
      <c r="H39" s="314"/>
    </row>
    <row r="40" spans="1:8">
      <c r="A40" s="295" t="s">
        <v>144</v>
      </c>
      <c r="B40" s="287" t="s">
        <v>178</v>
      </c>
      <c r="C40" s="287"/>
      <c r="D40" s="287"/>
      <c r="E40" s="287"/>
      <c r="F40" s="287"/>
      <c r="G40" s="293"/>
      <c r="H40" s="299"/>
    </row>
    <row r="41" spans="1:8">
      <c r="A41" s="295" t="s">
        <v>147</v>
      </c>
      <c r="B41" s="287" t="s">
        <v>334</v>
      </c>
      <c r="C41" s="287"/>
      <c r="D41" s="287"/>
      <c r="E41" s="287"/>
      <c r="F41" s="287"/>
      <c r="G41" s="293"/>
      <c r="H41" s="299"/>
    </row>
    <row r="42" spans="1:8">
      <c r="A42" s="295"/>
      <c r="B42" s="287" t="s">
        <v>179</v>
      </c>
      <c r="C42" s="287"/>
      <c r="D42" s="287"/>
      <c r="E42" s="287"/>
      <c r="F42" s="315"/>
      <c r="G42" s="293"/>
      <c r="H42" s="299"/>
    </row>
    <row r="43" spans="1:8">
      <c r="A43" s="295"/>
      <c r="B43" s="287" t="s">
        <v>180</v>
      </c>
      <c r="C43" s="287"/>
      <c r="D43" s="287"/>
      <c r="E43" s="287"/>
      <c r="F43" s="316"/>
      <c r="G43" s="287"/>
      <c r="H43" s="298"/>
    </row>
    <row r="44" spans="1:8">
      <c r="A44" s="295" t="s">
        <v>144</v>
      </c>
      <c r="B44" s="287" t="s">
        <v>181</v>
      </c>
      <c r="C44" s="287"/>
      <c r="D44" s="287"/>
      <c r="E44" s="287"/>
      <c r="F44" s="287"/>
      <c r="G44" s="293"/>
      <c r="H44" s="300"/>
    </row>
    <row r="45" spans="1:8">
      <c r="A45" s="295" t="s">
        <v>147</v>
      </c>
      <c r="B45" s="287" t="s">
        <v>165</v>
      </c>
      <c r="C45" s="287"/>
      <c r="D45" s="287"/>
      <c r="E45" s="287"/>
      <c r="F45" s="287"/>
      <c r="G45" s="293"/>
      <c r="H45" s="298"/>
    </row>
    <row r="46" spans="1:8">
      <c r="A46" s="295" t="s">
        <v>144</v>
      </c>
      <c r="B46" s="303" t="s">
        <v>182</v>
      </c>
      <c r="C46" s="287"/>
      <c r="D46" s="287"/>
      <c r="E46" s="287"/>
      <c r="F46" s="287"/>
      <c r="G46" s="293"/>
      <c r="H46" s="317"/>
    </row>
    <row r="47" spans="1:8" ht="15.75" thickBot="1">
      <c r="A47" s="312"/>
      <c r="B47" s="290"/>
      <c r="C47" s="290"/>
      <c r="D47" s="290"/>
      <c r="E47" s="290"/>
      <c r="F47" s="290"/>
      <c r="G47" s="318"/>
      <c r="H47" s="319"/>
    </row>
    <row r="48" spans="1:8" ht="15.75" thickBot="1">
      <c r="A48" s="289"/>
      <c r="B48" s="289"/>
      <c r="C48" s="286"/>
      <c r="D48" s="289"/>
      <c r="E48" s="289"/>
      <c r="F48" s="286"/>
      <c r="G48" s="289"/>
      <c r="H48" s="289"/>
    </row>
    <row r="49" spans="1:8">
      <c r="A49" s="356" t="s">
        <v>174</v>
      </c>
      <c r="B49" s="356"/>
      <c r="C49" s="307"/>
      <c r="D49" s="356" t="s">
        <v>175</v>
      </c>
      <c r="E49" s="356"/>
      <c r="F49" s="307"/>
      <c r="G49" s="356" t="s">
        <v>176</v>
      </c>
      <c r="H49" s="356"/>
    </row>
    <row r="50" spans="1:8">
      <c r="A50" s="320"/>
      <c r="B50" s="287"/>
      <c r="C50" s="287"/>
      <c r="D50" s="287"/>
      <c r="E50" s="287"/>
      <c r="F50" s="287"/>
      <c r="G50" s="293"/>
      <c r="H50" s="321"/>
    </row>
    <row r="51" spans="1:8">
      <c r="A51" s="322"/>
      <c r="B51" s="322"/>
      <c r="C51" s="322"/>
      <c r="D51" s="322"/>
      <c r="E51" s="322"/>
      <c r="F51" s="322"/>
      <c r="G51" s="322"/>
      <c r="H51" s="322"/>
    </row>
  </sheetData>
  <mergeCells count="6">
    <mergeCell ref="A30:B30"/>
    <mergeCell ref="D30:E30"/>
    <mergeCell ref="G30:H30"/>
    <mergeCell ref="A49:B49"/>
    <mergeCell ref="D49:E49"/>
    <mergeCell ref="G49:H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LOTE</vt:lpstr>
      <vt:lpstr>EOQ</vt:lpstr>
      <vt:lpstr>EOQ-E</vt:lpstr>
      <vt:lpstr>H-h</vt:lpstr>
      <vt:lpstr>H-Ociosas</vt:lpstr>
      <vt:lpstr>CC</vt:lpstr>
      <vt:lpstr>Cargos Indirectos Costeo ABC</vt:lpstr>
      <vt:lpstr>Estado de costo </vt:lpstr>
      <vt:lpstr>CTO.SUDADERAS</vt:lpstr>
      <vt:lpstr>Gtos Op ABC</vt:lpstr>
      <vt:lpstr>Por Línea de producto</vt:lpstr>
      <vt:lpstr>Por Región</vt:lpstr>
      <vt:lpstr>'Estado de costo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cpana26@yahoo.com.mx</dc:creator>
  <cp:lastModifiedBy>cpana26@yahoo.com.mx</cp:lastModifiedBy>
  <dcterms:created xsi:type="dcterms:W3CDTF">2021-05-26T17:39:44Z</dcterms:created>
  <dcterms:modified xsi:type="dcterms:W3CDTF">2023-04-24T15:09:28Z</dcterms:modified>
</cp:coreProperties>
</file>