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EEFF anual/2026/"/>
    </mc:Choice>
  </mc:AlternateContent>
  <xr:revisionPtr revIDLastSave="0" documentId="8_{C6AB9B8C-EDDD-451F-9577-0CF611E672A6}" xr6:coauthVersionLast="47" xr6:coauthVersionMax="47" xr10:uidLastSave="{00000000-0000-0000-0000-000000000000}"/>
  <bookViews>
    <workbookView xWindow="-120" yWindow="-120" windowWidth="29040" windowHeight="15720" firstSheet="7" activeTab="8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 Indirecto" sheetId="13" r:id="rId10"/>
    <sheet name="Caso Flujo Directo" sheetId="18" r:id="rId11"/>
    <sheet name="Caso Variaciones" sheetId="14" r:id="rId12"/>
    <sheet name="Resultados 2" sheetId="4" state="hidden" r:id="rId13"/>
    <sheet name="Variaciones" sheetId="11" state="hidden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14" l="1"/>
  <c r="H22" i="14"/>
  <c r="E18" i="14"/>
  <c r="I9" i="14"/>
  <c r="H9" i="14"/>
  <c r="F9" i="14"/>
  <c r="E9" i="14"/>
  <c r="D9" i="14"/>
  <c r="D14" i="18"/>
  <c r="D9" i="18"/>
  <c r="D7" i="18"/>
  <c r="D31" i="18"/>
  <c r="D27" i="18"/>
  <c r="D26" i="18"/>
  <c r="D24" i="18"/>
  <c r="D20" i="18"/>
  <c r="D18" i="18"/>
  <c r="D13" i="18"/>
  <c r="D12" i="18"/>
  <c r="D11" i="18"/>
  <c r="D10" i="18"/>
  <c r="D8" i="18"/>
  <c r="D39" i="13"/>
  <c r="D35" i="13"/>
  <c r="D33" i="13"/>
  <c r="D28" i="13"/>
  <c r="D22" i="13"/>
  <c r="D21" i="13"/>
  <c r="D20" i="13"/>
  <c r="D19" i="13"/>
  <c r="D18" i="13"/>
  <c r="D17" i="13"/>
  <c r="D12" i="13"/>
  <c r="D10" i="13"/>
  <c r="D7" i="13"/>
  <c r="L35" i="3"/>
  <c r="K34" i="3"/>
  <c r="L33" i="3"/>
  <c r="K32" i="3"/>
  <c r="K28" i="3"/>
  <c r="K25" i="3"/>
  <c r="L24" i="3"/>
  <c r="K23" i="3"/>
  <c r="K18" i="3"/>
  <c r="K17" i="3"/>
  <c r="L16" i="3"/>
  <c r="L13" i="3"/>
  <c r="K12" i="3"/>
  <c r="K11" i="3"/>
  <c r="L10" i="3"/>
  <c r="H10" i="3"/>
  <c r="H11" i="3"/>
  <c r="H12" i="3"/>
  <c r="H13" i="3"/>
  <c r="H9" i="3"/>
  <c r="L38" i="10"/>
  <c r="L36" i="10"/>
  <c r="L34" i="10"/>
  <c r="L32" i="10"/>
  <c r="L30" i="10"/>
  <c r="L28" i="10"/>
  <c r="L26" i="10"/>
  <c r="L24" i="10"/>
  <c r="L22" i="10"/>
  <c r="L17" i="10"/>
  <c r="L18" i="10"/>
  <c r="L19" i="10"/>
  <c r="L20" i="10"/>
  <c r="L16" i="10"/>
  <c r="L14" i="10"/>
  <c r="L12" i="10"/>
  <c r="L10" i="10"/>
  <c r="K40" i="10"/>
  <c r="K38" i="10"/>
  <c r="K36" i="10"/>
  <c r="K34" i="10"/>
  <c r="K32" i="10"/>
  <c r="K30" i="10"/>
  <c r="K28" i="10"/>
  <c r="K26" i="10"/>
  <c r="K24" i="10"/>
  <c r="K22" i="10"/>
  <c r="K20" i="10"/>
  <c r="K19" i="10"/>
  <c r="K18" i="10"/>
  <c r="K17" i="10"/>
  <c r="K16" i="10"/>
  <c r="K12" i="10"/>
  <c r="K10" i="10"/>
  <c r="P30" i="8"/>
  <c r="P26" i="8"/>
  <c r="P27" i="8"/>
  <c r="P28" i="8"/>
  <c r="P25" i="8"/>
  <c r="P22" i="8"/>
  <c r="P20" i="8"/>
  <c r="P19" i="8"/>
  <c r="P13" i="8"/>
  <c r="P14" i="8"/>
  <c r="P15" i="8"/>
  <c r="P16" i="8"/>
  <c r="P12" i="8"/>
  <c r="L30" i="8"/>
  <c r="L24" i="8"/>
  <c r="L25" i="8"/>
  <c r="L26" i="8"/>
  <c r="L23" i="8"/>
  <c r="L13" i="8"/>
  <c r="L14" i="8"/>
  <c r="L15" i="8"/>
  <c r="L16" i="8"/>
  <c r="L17" i="8"/>
  <c r="L18" i="8"/>
  <c r="L12" i="8"/>
  <c r="N36" i="8"/>
  <c r="N35" i="8"/>
  <c r="N34" i="8"/>
  <c r="N33" i="8"/>
  <c r="O27" i="8"/>
  <c r="O26" i="8"/>
  <c r="O25" i="8"/>
  <c r="O19" i="8"/>
  <c r="O15" i="8"/>
  <c r="O14" i="8"/>
  <c r="O13" i="8"/>
  <c r="O12" i="8"/>
  <c r="K25" i="8"/>
  <c r="K24" i="8"/>
  <c r="K23" i="8"/>
  <c r="K18" i="8"/>
  <c r="K17" i="8"/>
  <c r="K16" i="8"/>
  <c r="K15" i="8"/>
  <c r="K14" i="8"/>
  <c r="K13" i="8"/>
  <c r="K12" i="8"/>
  <c r="D65" i="18" l="1"/>
  <c r="D52" i="18"/>
  <c r="D51" i="18"/>
  <c r="D58" i="18"/>
  <c r="D50" i="18"/>
  <c r="I25" i="14"/>
  <c r="I22" i="14"/>
  <c r="H15" i="14"/>
  <c r="H27" i="14" s="1"/>
  <c r="F15" i="14"/>
  <c r="D15" i="14"/>
  <c r="D30" i="13"/>
  <c r="D66" i="18"/>
  <c r="D60" i="18"/>
  <c r="H32" i="3"/>
  <c r="H33" i="3"/>
  <c r="H34" i="3"/>
  <c r="E64" i="14" s="1"/>
  <c r="H31" i="3"/>
  <c r="H28" i="3"/>
  <c r="D79" i="13" s="1"/>
  <c r="H24" i="3"/>
  <c r="H25" i="3"/>
  <c r="H23" i="3"/>
  <c r="I23" i="3" s="1"/>
  <c r="H17" i="3"/>
  <c r="H18" i="3"/>
  <c r="H16" i="3"/>
  <c r="K14" i="10"/>
  <c r="O28" i="8"/>
  <c r="O20" i="8"/>
  <c r="O16" i="8"/>
  <c r="K26" i="8"/>
  <c r="L23" i="16"/>
  <c r="L24" i="16"/>
  <c r="L16" i="16"/>
  <c r="D54" i="18"/>
  <c r="D71" i="18"/>
  <c r="D67" i="18"/>
  <c r="D53" i="18"/>
  <c r="D74" i="18"/>
  <c r="D75" i="18"/>
  <c r="D34" i="18"/>
  <c r="I19" i="14"/>
  <c r="G15" i="14"/>
  <c r="G27" i="14" s="1"/>
  <c r="E15" i="14"/>
  <c r="D42" i="13"/>
  <c r="F43" i="3"/>
  <c r="I31" i="3"/>
  <c r="I28" i="3"/>
  <c r="I24" i="3"/>
  <c r="I25" i="3"/>
  <c r="I17" i="3"/>
  <c r="I18" i="3"/>
  <c r="I16" i="3"/>
  <c r="I10" i="3"/>
  <c r="I11" i="3"/>
  <c r="I12" i="3"/>
  <c r="I13" i="3"/>
  <c r="I14" i="3"/>
  <c r="I9" i="3"/>
  <c r="H19" i="3"/>
  <c r="H14" i="3"/>
  <c r="G20" i="3"/>
  <c r="G19" i="3"/>
  <c r="G18" i="3"/>
  <c r="G17" i="3"/>
  <c r="G16" i="3"/>
  <c r="G14" i="3"/>
  <c r="G13" i="3"/>
  <c r="G12" i="3"/>
  <c r="G11" i="3"/>
  <c r="G10" i="3"/>
  <c r="G9" i="3"/>
  <c r="E17" i="3"/>
  <c r="E18" i="3"/>
  <c r="E19" i="3"/>
  <c r="E20" i="3"/>
  <c r="E16" i="3"/>
  <c r="E14" i="3"/>
  <c r="E10" i="3"/>
  <c r="E11" i="3"/>
  <c r="E12" i="3"/>
  <c r="E13" i="3"/>
  <c r="E9" i="3"/>
  <c r="E67" i="15"/>
  <c r="E43" i="15"/>
  <c r="C43" i="15"/>
  <c r="E27" i="15"/>
  <c r="G44" i="16"/>
  <c r="G45" i="16" s="1"/>
  <c r="G30" i="16"/>
  <c r="E66" i="15" s="1"/>
  <c r="E22" i="16"/>
  <c r="G22" i="16"/>
  <c r="E23" i="15" s="1"/>
  <c r="F45" i="16"/>
  <c r="E15" i="16"/>
  <c r="F44" i="16" s="1"/>
  <c r="G41" i="16"/>
  <c r="G36" i="16"/>
  <c r="E45" i="16"/>
  <c r="E30" i="16"/>
  <c r="C66" i="15" s="1"/>
  <c r="E41" i="16"/>
  <c r="F41" i="16" s="1"/>
  <c r="E36" i="16"/>
  <c r="F36" i="16" s="1"/>
  <c r="E18" i="15"/>
  <c r="C18" i="15"/>
  <c r="E14" i="15"/>
  <c r="C14" i="15"/>
  <c r="E8" i="15"/>
  <c r="E6" i="15"/>
  <c r="C8" i="15"/>
  <c r="C6" i="15"/>
  <c r="O22" i="8" l="1"/>
  <c r="O30" i="8" s="1"/>
  <c r="K30" i="8"/>
  <c r="D48" i="18"/>
  <c r="D47" i="18"/>
  <c r="D15" i="18"/>
  <c r="I23" i="14"/>
  <c r="I34" i="3"/>
  <c r="H26" i="3"/>
  <c r="D64" i="18"/>
  <c r="D68" i="18" s="1"/>
  <c r="D49" i="18"/>
  <c r="D61" i="18"/>
  <c r="H20" i="3"/>
  <c r="I20" i="3" s="1"/>
  <c r="D23" i="13"/>
  <c r="D28" i="18"/>
  <c r="D27" i="14"/>
  <c r="D21" i="18"/>
  <c r="I32" i="3"/>
  <c r="I15" i="14"/>
  <c r="C56" i="15"/>
  <c r="F15" i="16"/>
  <c r="F30" i="16"/>
  <c r="F33" i="16"/>
  <c r="E23" i="16"/>
  <c r="F23" i="16" s="1"/>
  <c r="C33" i="15" s="1"/>
  <c r="F22" i="16"/>
  <c r="C21" i="15"/>
  <c r="C63" i="15"/>
  <c r="F40" i="16"/>
  <c r="C67" i="15"/>
  <c r="C49" i="15"/>
  <c r="E48" i="16"/>
  <c r="F34" i="16"/>
  <c r="F35" i="16"/>
  <c r="G15" i="16"/>
  <c r="H36" i="16" s="1"/>
  <c r="F39" i="16"/>
  <c r="E63" i="15"/>
  <c r="C23" i="15"/>
  <c r="C25" i="15" s="1"/>
  <c r="C29" i="15" s="1"/>
  <c r="C27" i="15"/>
  <c r="F27" i="14"/>
  <c r="I19" i="3"/>
  <c r="H40" i="16"/>
  <c r="H44" i="16"/>
  <c r="H39" i="16"/>
  <c r="H22" i="16"/>
  <c r="H34" i="16"/>
  <c r="H33" i="16"/>
  <c r="G23" i="16"/>
  <c r="H23" i="16" s="1"/>
  <c r="E33" i="15" s="1"/>
  <c r="E31" i="16"/>
  <c r="E68" i="15"/>
  <c r="C68" i="15"/>
  <c r="D55" i="18" l="1"/>
  <c r="D70" i="18" s="1"/>
  <c r="D72" i="18" s="1"/>
  <c r="D77" i="18" s="1"/>
  <c r="H29" i="3"/>
  <c r="I29" i="3" s="1"/>
  <c r="I26" i="3"/>
  <c r="H41" i="16"/>
  <c r="C62" i="15"/>
  <c r="C64" i="15" s="1"/>
  <c r="C54" i="15" s="1"/>
  <c r="C57" i="15" s="1"/>
  <c r="H45" i="16"/>
  <c r="E62" i="15"/>
  <c r="E64" i="15" s="1"/>
  <c r="E54" i="15" s="1"/>
  <c r="E49" i="15"/>
  <c r="E21" i="15"/>
  <c r="E25" i="15" s="1"/>
  <c r="E29" i="15" s="1"/>
  <c r="G48" i="16"/>
  <c r="E56" i="15"/>
  <c r="H35" i="16"/>
  <c r="H15" i="16"/>
  <c r="H30" i="16"/>
  <c r="D30" i="18"/>
  <c r="D32" i="18" s="1"/>
  <c r="E37" i="16"/>
  <c r="F31" i="16"/>
  <c r="C35" i="15" s="1"/>
  <c r="G31" i="16"/>
  <c r="G37" i="16" s="1"/>
  <c r="E57" i="15" l="1"/>
  <c r="E42" i="16"/>
  <c r="F37" i="16"/>
  <c r="H31" i="16"/>
  <c r="E35" i="15" s="1"/>
  <c r="G42" i="16"/>
  <c r="H37" i="16"/>
  <c r="E46" i="16" l="1"/>
  <c r="F42" i="16"/>
  <c r="G46" i="16"/>
  <c r="H42" i="16"/>
  <c r="D13" i="13" l="1"/>
  <c r="D25" i="13" s="1"/>
  <c r="F46" i="16"/>
  <c r="C37" i="15" s="1"/>
  <c r="C47" i="15" s="1"/>
  <c r="C51" i="15" s="1"/>
  <c r="H46" i="16"/>
  <c r="E37" i="15" s="1"/>
  <c r="E47" i="15" s="1"/>
  <c r="E51" i="15" s="1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5" i="13"/>
  <c r="H35" i="3" l="1"/>
  <c r="I51" i="14"/>
  <c r="I57" i="14" s="1"/>
  <c r="H36" i="3" l="1"/>
  <c r="E60" i="14"/>
  <c r="D36" i="13"/>
  <c r="D38" i="13" s="1"/>
  <c r="D40" i="13" s="1"/>
  <c r="I33" i="3"/>
  <c r="F23" i="3"/>
  <c r="D23" i="3"/>
  <c r="D70" i="13"/>
  <c r="D58" i="13"/>
  <c r="D68" i="13"/>
  <c r="D75" i="13"/>
  <c r="D77" i="13" s="1"/>
  <c r="D65" i="13"/>
  <c r="D60" i="13"/>
  <c r="D67" i="13"/>
  <c r="F19" i="3"/>
  <c r="F12" i="3"/>
  <c r="F14" i="3" s="1"/>
  <c r="D10" i="3"/>
  <c r="D19" i="3"/>
  <c r="F35" i="3"/>
  <c r="D35" i="3"/>
  <c r="K85" i="8"/>
  <c r="K86" i="8"/>
  <c r="K87" i="8"/>
  <c r="K88" i="8"/>
  <c r="K89" i="8"/>
  <c r="K90" i="8"/>
  <c r="K96" i="8"/>
  <c r="K97" i="8"/>
  <c r="K98" i="8"/>
  <c r="K99" i="8" l="1"/>
  <c r="K91" i="8"/>
  <c r="I18" i="14"/>
  <c r="I27" i="14" s="1"/>
  <c r="E27" i="14"/>
  <c r="C12" i="15"/>
  <c r="C41" i="15"/>
  <c r="F45" i="3"/>
  <c r="F42" i="3"/>
  <c r="F44" i="3" s="1"/>
  <c r="F46" i="3" s="1"/>
  <c r="E12" i="15"/>
  <c r="E41" i="15"/>
  <c r="I35" i="3"/>
  <c r="H64" i="14"/>
  <c r="H69" i="14" s="1"/>
  <c r="F64" i="14"/>
  <c r="D81" i="13"/>
  <c r="D61" i="13"/>
  <c r="D66" i="13"/>
  <c r="D26" i="3"/>
  <c r="D29" i="3" s="1"/>
  <c r="D36" i="3" s="1"/>
  <c r="F26" i="3"/>
  <c r="F29" i="3" s="1"/>
  <c r="F36" i="3" s="1"/>
  <c r="G35" i="3" s="1"/>
  <c r="D14" i="3"/>
  <c r="D20" i="3" s="1"/>
  <c r="F20" i="3"/>
  <c r="F38" i="3" s="1"/>
  <c r="F27" i="11"/>
  <c r="G27" i="11"/>
  <c r="I25" i="11"/>
  <c r="I23" i="11"/>
  <c r="I20" i="11"/>
  <c r="I19" i="11"/>
  <c r="I14" i="11"/>
  <c r="I13" i="11"/>
  <c r="G16" i="11"/>
  <c r="H16" i="11"/>
  <c r="H27" i="11" s="1"/>
  <c r="E84" i="10"/>
  <c r="E83" i="10"/>
  <c r="E82" i="10"/>
  <c r="C146" i="10"/>
  <c r="K168" i="10" s="1"/>
  <c r="C142" i="10"/>
  <c r="K167" i="10" s="1"/>
  <c r="C134" i="10"/>
  <c r="C128" i="10"/>
  <c r="C127" i="10"/>
  <c r="C126" i="10"/>
  <c r="C122" i="10"/>
  <c r="E29" i="10"/>
  <c r="N109" i="8"/>
  <c r="N108" i="8"/>
  <c r="N107" i="8"/>
  <c r="N106" i="8"/>
  <c r="O100" i="8"/>
  <c r="O99" i="8"/>
  <c r="E10" i="11" s="1"/>
  <c r="E16" i="11" s="1"/>
  <c r="E27" i="11" s="1"/>
  <c r="O98" i="8"/>
  <c r="D10" i="11" s="1"/>
  <c r="O92" i="8"/>
  <c r="O88" i="8"/>
  <c r="O87" i="8"/>
  <c r="O85" i="8"/>
  <c r="E13" i="8"/>
  <c r="E97" i="8"/>
  <c r="O86" i="8" s="1"/>
  <c r="K103" i="8" l="1"/>
  <c r="L103" i="8" s="1"/>
  <c r="G23" i="3"/>
  <c r="G36" i="3"/>
  <c r="G26" i="3"/>
  <c r="G24" i="3"/>
  <c r="G32" i="3"/>
  <c r="G29" i="3"/>
  <c r="G28" i="3"/>
  <c r="G25" i="3"/>
  <c r="G34" i="3"/>
  <c r="G31" i="3"/>
  <c r="G33" i="3"/>
  <c r="I36" i="3"/>
  <c r="E36" i="3"/>
  <c r="E32" i="3"/>
  <c r="E29" i="3"/>
  <c r="E23" i="3"/>
  <c r="E31" i="3"/>
  <c r="E28" i="3"/>
  <c r="E26" i="3"/>
  <c r="E24" i="3"/>
  <c r="E25" i="3"/>
  <c r="E34" i="3"/>
  <c r="E33" i="3"/>
  <c r="E35" i="3"/>
  <c r="D82" i="13"/>
  <c r="D69" i="13"/>
  <c r="D71" i="13" s="1"/>
  <c r="D73" i="13" s="1"/>
  <c r="I10" i="11"/>
  <c r="I16" i="11" s="1"/>
  <c r="I27" i="11" s="1"/>
  <c r="D16" i="11"/>
  <c r="D27" i="11" s="1"/>
  <c r="I60" i="14"/>
  <c r="O93" i="8"/>
  <c r="F65" i="14"/>
  <c r="E65" i="14" s="1"/>
  <c r="I65" i="14" s="1"/>
  <c r="I64" i="14"/>
  <c r="C130" i="10"/>
  <c r="D38" i="3"/>
  <c r="C120" i="10"/>
  <c r="C124" i="10" s="1"/>
  <c r="D12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L96" i="8" l="1"/>
  <c r="L98" i="8"/>
  <c r="L89" i="8"/>
  <c r="L90" i="8"/>
  <c r="L85" i="8"/>
  <c r="L88" i="8"/>
  <c r="L86" i="8"/>
  <c r="L99" i="8"/>
  <c r="L87" i="8"/>
  <c r="L91" i="8"/>
  <c r="L97" i="8"/>
  <c r="D84" i="13"/>
  <c r="D86" i="13" s="1"/>
  <c r="D91" i="13" s="1"/>
  <c r="H38" i="3"/>
  <c r="F69" i="14"/>
  <c r="I69" i="14"/>
  <c r="E69" i="14"/>
  <c r="O95" i="8"/>
  <c r="C132" i="10"/>
  <c r="C136" i="10" s="1"/>
  <c r="K166" i="10" s="1"/>
  <c r="K169" i="10" s="1"/>
  <c r="D127" i="10"/>
  <c r="D138" i="10"/>
  <c r="D134" i="10"/>
  <c r="D142" i="10"/>
  <c r="D129" i="10"/>
  <c r="D126" i="10"/>
  <c r="D128" i="10"/>
  <c r="D130" i="10"/>
  <c r="D120" i="10"/>
  <c r="D146" i="10"/>
  <c r="D12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136" i="10"/>
  <c r="C140" i="10"/>
  <c r="D140" i="10" s="1"/>
  <c r="D13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44" i="10"/>
  <c r="D144" i="10" s="1"/>
  <c r="C148" i="10" l="1"/>
  <c r="D148" i="10" s="1"/>
  <c r="C150" i="10" l="1"/>
</calcChain>
</file>

<file path=xl/sharedStrings.xml><?xml version="1.0" encoding="utf-8"?>
<sst xmlns="http://schemas.openxmlformats.org/spreadsheetml/2006/main" count="884" uniqueCount="300">
  <si>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</si>
  <si>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</si>
  <si>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</si>
  <si>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</si>
  <si>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</si>
  <si>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</si>
  <si>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</si>
  <si>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</si>
  <si>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</si>
  <si>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</si>
  <si>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</si>
  <si>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</si>
  <si>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</si>
  <si>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</si>
  <si>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</si>
  <si>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</si>
  <si>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</si>
  <si>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</si>
  <si>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</si>
  <si>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</si>
  <si>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</si>
  <si>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</si>
  <si>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</si>
  <si>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</si>
  <si>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</si>
  <si>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</si>
  <si>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</si>
  <si>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</si>
  <si>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</si>
  <si>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</si>
  <si>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</si>
  <si>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</si>
  <si>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</si>
  <si>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</si>
  <si>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</si>
  <si>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</si>
  <si>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</si>
  <si>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</si>
  <si>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</si>
  <si>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</si>
  <si>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</si>
  <si>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</si>
  <si>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</si>
  <si>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</si>
  <si>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</si>
  <si>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</si>
  <si>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</si>
  <si>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</si>
  <si>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</si>
  <si>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</si>
  <si>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</si>
  <si>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</si>
  <si>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</si>
  <si>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</si>
  <si>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</si>
  <si>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</si>
  <si>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</si>
  <si>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</si>
  <si>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</si>
  <si>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</si>
  <si>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</si>
  <si>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</si>
  <si>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</si>
  <si>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</si>
  <si>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</si>
  <si>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</si>
  <si>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</si>
  <si>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</si>
  <si>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</si>
  <si>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</si>
  <si>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</si>
  <si>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</si>
  <si>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</si>
  <si>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</si>
  <si>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</si>
  <si>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</si>
  <si>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</si>
  <si>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</si>
  <si>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</si>
  <si>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</si>
  <si>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</si>
  <si>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</si>
  <si>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</si>
  <si>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</si>
  <si>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</si>
  <si>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</si>
  <si>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</si>
  <si>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</si>
  <si>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</si>
  <si>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</si>
  <si>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</si>
  <si>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</si>
  <si>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</si>
  <si>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</si>
  <si>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</si>
  <si>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</si>
  <si>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</si>
  <si>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</si>
  <si>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</si>
  <si>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</si>
  <si>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</si>
  <si>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</si>
  <si>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</si>
  <si>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</si>
  <si>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</si>
  <si>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</si>
  <si>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</si>
  <si>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</si>
  <si>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</si>
  <si>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</si>
  <si>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</si>
  <si>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</si>
  <si>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</si>
  <si>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</si>
  <si>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</si>
  <si>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</si>
  <si>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</si>
  <si>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</si>
  <si>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</si>
  <si>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</si>
  <si>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</si>
  <si>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</si>
  <si>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</si>
  <si>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</si>
  <si>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</si>
  <si>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</si>
  <si>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</si>
  <si>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</si>
  <si>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</si>
  <si>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</si>
  <si>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</si>
  <si>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</si>
  <si>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</si>
  <si>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</si>
  <si>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</si>
  <si>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</si>
  <si>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</si>
  <si>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</si>
  <si>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</si>
  <si>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</si>
  <si>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</si>
  <si>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</si>
  <si>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</si>
  <si>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</si>
  <si>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</si>
  <si>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</si>
  <si>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</si>
  <si>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</si>
  <si>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</si>
  <si>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</si>
  <si>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</si>
  <si>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</si>
  <si>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</si>
  <si>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</si>
  <si>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</si>
  <si>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</si>
  <si>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</si>
  <si>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</si>
  <si>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</si>
  <si>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</si>
  <si>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</si>
  <si>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</si>
  <si>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</si>
  <si>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</si>
  <si>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</si>
  <si>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</si>
  <si>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</si>
  <si>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</si>
  <si>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</si>
  <si>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</si>
  <si>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</si>
  <si>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</si>
  <si>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</si>
  <si>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</si>
  <si>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</si>
  <si>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</si>
  <si>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</si>
  <si>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</si>
  <si>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</si>
  <si>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</si>
  <si>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</si>
  <si>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</si>
  <si>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</si>
  <si>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</si>
  <si>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</si>
  <si>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</si>
  <si>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</si>
  <si>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</si>
  <si>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</si>
  <si>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</si>
  <si>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</si>
  <si>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</si>
  <si>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</si>
  <si>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</si>
  <si>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</si>
  <si>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</si>
  <si>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</si>
  <si>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</si>
  <si>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</si>
  <si>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</si>
  <si>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</si>
  <si>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</si>
  <si>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</si>
  <si>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</si>
  <si>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</si>
  <si>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</si>
  <si>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</si>
  <si>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</si>
  <si>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</si>
  <si>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</si>
  <si>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</si>
  <si>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</si>
  <si>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</si>
  <si>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</si>
  <si>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</si>
  <si>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</si>
  <si>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</si>
  <si>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</si>
  <si>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</si>
  <si>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</si>
  <si>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</si>
  <si>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</si>
  <si>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</si>
  <si>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</si>
  <si>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</si>
  <si>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</si>
  <si>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</si>
  <si>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</si>
  <si>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</si>
  <si>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</si>
  <si>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</si>
  <si>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</si>
  <si>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</si>
  <si>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</si>
  <si>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</si>
  <si>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</si>
  <si>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</si>
  <si>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</si>
  <si>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</si>
  <si>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</si>
  <si>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</si>
  <si>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</si>
  <si>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</si>
  <si>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</si>
  <si>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</si>
  <si>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</si>
  <si>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</si>
  <si>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</si>
  <si>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</si>
  <si>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</si>
  <si>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</si>
  <si>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</si>
  <si>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</si>
  <si>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</si>
  <si>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</si>
  <si>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</si>
  <si>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</si>
  <si>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</si>
  <si>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</si>
  <si>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</si>
  <si>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</si>
  <si>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</si>
  <si>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</si>
  <si>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</si>
  <si>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</si>
  <si>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</si>
  <si>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</si>
  <si>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</si>
  <si>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</si>
  <si>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</si>
  <si>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</si>
  <si>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</si>
  <si>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</si>
  <si>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</si>
  <si>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</si>
  <si>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</si>
  <si>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</si>
  <si>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Capital Año 1</t>
  </si>
  <si>
    <t>Utilidad del año 2</t>
  </si>
  <si>
    <t>Capital teórico Año 2</t>
  </si>
  <si>
    <t>Capital Real año 2</t>
  </si>
  <si>
    <t>= Dividendos</t>
  </si>
  <si>
    <t>Tasa efectiva</t>
  </si>
  <si>
    <t>Pago a Proveedores</t>
  </si>
  <si>
    <t>Estado de flujo de efectivo al año 2 (indirecto)</t>
  </si>
  <si>
    <t>Estado de flujo de efectivo al año 2 (Directo)</t>
  </si>
  <si>
    <t>Cobro a Clientes</t>
  </si>
  <si>
    <t>Equipo de cómputo</t>
  </si>
  <si>
    <t>Depreciación de activo fijo</t>
  </si>
  <si>
    <t>Impuestos a la utilidad</t>
  </si>
  <si>
    <t>Inv Inicial</t>
  </si>
  <si>
    <t>Compras</t>
  </si>
  <si>
    <t>Inv final</t>
  </si>
  <si>
    <t>Balance general al 31 de Diciembre de 2023</t>
  </si>
  <si>
    <t>Ventas</t>
  </si>
  <si>
    <t>Impuestos</t>
  </si>
  <si>
    <t>Patrimoinio</t>
  </si>
  <si>
    <t>nes a realizarse en 2027</t>
  </si>
  <si>
    <t>Genera</t>
  </si>
  <si>
    <t>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</si>
</sst>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4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0" fillId="0" borderId="0" xfId="0" quotePrefix="1"/>
    <xf numFmtId="164" fontId="4" fillId="0" borderId="0" xfId="1" quotePrefix="1" applyNumberFormat="1" applyFont="1" applyFill="1" applyBorder="1" applyAlignment="1">
      <alignment horizontal="right"/>
    </xf>
    <xf numFmtId="0" fontId="30" fillId="0" borderId="0" xfId="0" applyFont="1"/>
    <xf numFmtId="164" fontId="4" fillId="5" borderId="2" xfId="1" applyNumberFormat="1" applyFont="1" applyFill="1" applyBorder="1" applyAlignment="1"/>
    <xf numFmtId="164" fontId="11" fillId="5" borderId="0" xfId="1" applyNumberFormat="1" applyFont="1" applyFill="1" applyBorder="1" applyAlignment="1"/>
    <xf numFmtId="164" fontId="11" fillId="5" borderId="5" xfId="1" applyNumberFormat="1" applyFont="1" applyFill="1" applyBorder="1" applyAlignment="1"/>
    <xf numFmtId="164" fontId="11" fillId="2" borderId="0" xfId="1" applyNumberFormat="1" applyFont="1" applyFill="1" applyBorder="1" applyAlignment="1"/>
    <xf numFmtId="164" fontId="4" fillId="2" borderId="22" xfId="1" applyNumberFormat="1" applyFont="1" applyFill="1" applyBorder="1" applyAlignment="1"/>
    <xf numFmtId="164" fontId="11" fillId="6" borderId="0" xfId="1" applyNumberFormat="1" applyFont="1" applyFill="1" applyBorder="1" applyAlignment="1"/>
    <xf numFmtId="164" fontId="30" fillId="6" borderId="0" xfId="0" applyNumberFormat="1" applyFont="1" applyFill="1"/>
    <xf numFmtId="0" fontId="31" fillId="0" borderId="0" xfId="0" applyFont="1" applyAlignment="1">
      <alignment horizontal="center"/>
    </xf>
    <xf numFmtId="164" fontId="12" fillId="7" borderId="1" xfId="1" applyNumberFormat="1" applyFont="1" applyFill="1" applyBorder="1" applyAlignment="1"/>
    <xf numFmtId="167" fontId="16" fillId="7" borderId="5" xfId="1" applyNumberFormat="1" applyFont="1" applyFill="1" applyBorder="1"/>
    <xf numFmtId="167" fontId="0" fillId="7" borderId="5" xfId="1" applyNumberFormat="1" applyFont="1" applyFill="1" applyBorder="1"/>
    <xf numFmtId="164" fontId="0" fillId="0" borderId="5" xfId="0" applyNumberFormat="1" applyBorder="1"/>
    <xf numFmtId="10" fontId="16" fillId="0" borderId="5" xfId="2" applyNumberFormat="1" applyFont="1" applyBorder="1"/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116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M11" sqref="M10:M11"/>
    </sheetView>
  </sheetViews>
  <sheetFormatPr baseColWidth="10" defaultRowHeight="15" x14ac:dyDescent="0.25"/>
  <sheetData>
    <row r="7" spans="4:12" x14ac:dyDescent="0.25">
      <c r="D7" s="223" t="s">
        <v>234</v>
      </c>
      <c r="E7" s="224"/>
      <c r="F7" s="224"/>
      <c r="G7" s="224"/>
      <c r="I7" s="223" t="s">
        <v>235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190</v>
      </c>
      <c r="E10" s="119"/>
      <c r="F10" s="255" t="s">
        <v>193</v>
      </c>
      <c r="G10" s="119"/>
      <c r="I10" s="119" t="s">
        <v>190</v>
      </c>
      <c r="J10" s="119"/>
      <c r="K10" s="255" t="s">
        <v>193</v>
      </c>
      <c r="L10" s="119"/>
    </row>
    <row r="11" spans="4:12" x14ac:dyDescent="0.25">
      <c r="D11" s="119" t="s">
        <v>191</v>
      </c>
      <c r="E11" s="119"/>
      <c r="F11" s="255" t="s">
        <v>194</v>
      </c>
      <c r="G11" s="119"/>
      <c r="I11" s="119" t="s">
        <v>191</v>
      </c>
      <c r="J11" s="119"/>
      <c r="K11" s="255" t="s">
        <v>194</v>
      </c>
      <c r="L11" s="119"/>
    </row>
    <row r="12" spans="4:12" x14ac:dyDescent="0.25">
      <c r="D12" s="119" t="s">
        <v>192</v>
      </c>
      <c r="E12" s="119"/>
      <c r="F12" s="255" t="s">
        <v>195</v>
      </c>
      <c r="G12" s="119"/>
      <c r="I12" s="119" t="s">
        <v>192</v>
      </c>
      <c r="J12" s="119"/>
      <c r="K12" s="255" t="s">
        <v>195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196</v>
      </c>
      <c r="E16" s="119"/>
      <c r="F16" s="255" t="s">
        <v>197</v>
      </c>
      <c r="G16" s="119"/>
      <c r="I16" s="119" t="s">
        <v>196</v>
      </c>
      <c r="J16" s="119"/>
      <c r="K16" s="255" t="s">
        <v>197</v>
      </c>
      <c r="L16" s="119"/>
    </row>
    <row r="17" spans="4:12" x14ac:dyDescent="0.25">
      <c r="D17" s="119" t="s">
        <v>198</v>
      </c>
      <c r="E17" s="119"/>
      <c r="F17" s="255" t="s">
        <v>199</v>
      </c>
      <c r="G17" s="119"/>
      <c r="I17" s="119" t="s">
        <v>198</v>
      </c>
      <c r="J17" s="119"/>
      <c r="K17" s="255" t="s">
        <v>199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zoomScale="140" zoomScaleNormal="140" workbookViewId="0">
      <selection activeCell="D40" sqref="D40"/>
    </sheetView>
  </sheetViews>
  <sheetFormatPr baseColWidth="10" defaultRowHeight="15" x14ac:dyDescent="0.25"/>
  <cols>
    <col min="2" max="2" width="52.285156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284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70</v>
      </c>
      <c r="C7" s="198"/>
      <c r="D7" s="263">
        <f>'Resultados Comparativo'!E46</f>
        <v>25233.568439999988</v>
      </c>
    </row>
    <row r="8" spans="2:4" x14ac:dyDescent="0.25">
      <c r="B8" s="200" t="s">
        <v>204</v>
      </c>
      <c r="C8" s="198"/>
      <c r="D8" s="201"/>
    </row>
    <row r="9" spans="2:4" x14ac:dyDescent="0.25">
      <c r="B9" s="200" t="s">
        <v>205</v>
      </c>
      <c r="C9" s="198"/>
      <c r="D9" s="201"/>
    </row>
    <row r="10" spans="2:4" x14ac:dyDescent="0.25">
      <c r="B10" s="197" t="s">
        <v>206</v>
      </c>
      <c r="C10" s="198"/>
      <c r="D10" s="202">
        <f>'Balance comparativo'!K17</f>
        <v>625</v>
      </c>
    </row>
    <row r="11" spans="2:4" x14ac:dyDescent="0.25">
      <c r="B11" s="197" t="s">
        <v>207</v>
      </c>
      <c r="C11" s="198"/>
      <c r="D11" s="202">
        <v>0</v>
      </c>
    </row>
    <row r="12" spans="2:4" x14ac:dyDescent="0.25">
      <c r="B12" s="197" t="s">
        <v>208</v>
      </c>
      <c r="C12" s="198"/>
      <c r="D12" s="211">
        <f>'Balance comparativo'!K11</f>
        <v>3027.5177899999999</v>
      </c>
    </row>
    <row r="13" spans="2:4" x14ac:dyDescent="0.25">
      <c r="B13" s="203" t="s">
        <v>222</v>
      </c>
      <c r="C13" s="198"/>
      <c r="D13" s="212">
        <f>D7+D10+D11+D12</f>
        <v>28886.086229999986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223</v>
      </c>
      <c r="C15" s="198"/>
      <c r="D15" s="201"/>
    </row>
    <row r="16" spans="2:4" x14ac:dyDescent="0.25">
      <c r="B16" s="200" t="s">
        <v>209</v>
      </c>
      <c r="C16" s="198"/>
      <c r="D16" s="201"/>
    </row>
    <row r="17" spans="2:4" x14ac:dyDescent="0.25">
      <c r="B17" s="197" t="s">
        <v>4</v>
      </c>
      <c r="C17" s="198"/>
      <c r="D17" s="202">
        <f>'Balance comparativo'!L10*-1</f>
        <v>-30286.797030000002</v>
      </c>
    </row>
    <row r="18" spans="2:4" x14ac:dyDescent="0.25">
      <c r="B18" s="197" t="s">
        <v>7</v>
      </c>
      <c r="C18" s="198"/>
      <c r="D18" s="202">
        <f>'Balance comparativo'!K12</f>
        <v>13834.140149999992</v>
      </c>
    </row>
    <row r="19" spans="2:4" x14ac:dyDescent="0.25">
      <c r="B19" s="197" t="s">
        <v>10</v>
      </c>
      <c r="C19" s="198"/>
      <c r="D19" s="202">
        <f>'Balance comparativo'!L13*-1</f>
        <v>-1013.9608499999995</v>
      </c>
    </row>
    <row r="20" spans="2:4" x14ac:dyDescent="0.25">
      <c r="B20" s="197" t="s">
        <v>15</v>
      </c>
      <c r="C20" s="198"/>
      <c r="D20" s="202">
        <f>'Balance comparativo'!K18</f>
        <v>182.66600000000005</v>
      </c>
    </row>
    <row r="21" spans="2:4" x14ac:dyDescent="0.25">
      <c r="B21" s="204" t="s">
        <v>22</v>
      </c>
      <c r="C21" s="198"/>
      <c r="D21" s="205">
        <f>'Balance comparativo'!K23</f>
        <v>5280.5116500109943</v>
      </c>
    </row>
    <row r="22" spans="2:4" x14ac:dyDescent="0.25">
      <c r="B22" s="197" t="s">
        <v>28</v>
      </c>
      <c r="C22" s="198"/>
      <c r="D22" s="213">
        <f>'Balance comparativo'!K25</f>
        <v>1764.94308</v>
      </c>
    </row>
    <row r="23" spans="2:4" x14ac:dyDescent="0.25">
      <c r="B23" s="206" t="s">
        <v>224</v>
      </c>
      <c r="C23" s="207"/>
      <c r="D23" s="214">
        <f>SUM(D17:D22)</f>
        <v>-10238.496999989013</v>
      </c>
    </row>
    <row r="24" spans="2:4" ht="7.15" customHeight="1" x14ac:dyDescent="0.25">
      <c r="B24" s="50"/>
      <c r="C24" s="2"/>
      <c r="D24" s="73"/>
    </row>
    <row r="25" spans="2:4" x14ac:dyDescent="0.25">
      <c r="B25" s="191" t="s">
        <v>210</v>
      </c>
      <c r="C25" s="2"/>
      <c r="D25" s="215">
        <f>D13+D23</f>
        <v>18647.589230010974</v>
      </c>
    </row>
    <row r="26" spans="2:4" ht="6.95" customHeight="1" x14ac:dyDescent="0.25">
      <c r="B26" s="191"/>
      <c r="C26" s="2"/>
      <c r="D26" s="259"/>
    </row>
    <row r="27" spans="2:4" x14ac:dyDescent="0.25">
      <c r="B27" s="193" t="s">
        <v>213</v>
      </c>
      <c r="C27" s="194"/>
      <c r="D27" s="195"/>
    </row>
    <row r="28" spans="2:4" x14ac:dyDescent="0.25">
      <c r="B28" s="197" t="s">
        <v>214</v>
      </c>
      <c r="C28" s="198"/>
      <c r="D28" s="202">
        <f>'Balance comparativo'!L16*-1</f>
        <v>-350</v>
      </c>
    </row>
    <row r="29" spans="2:4" x14ac:dyDescent="0.25">
      <c r="B29" s="197" t="s">
        <v>215</v>
      </c>
      <c r="C29" s="198"/>
      <c r="D29" s="216">
        <v>0</v>
      </c>
    </row>
    <row r="30" spans="2:4" x14ac:dyDescent="0.25">
      <c r="B30" s="203" t="s">
        <v>225</v>
      </c>
      <c r="C30" s="198"/>
      <c r="D30" s="212">
        <f>D28+D29</f>
        <v>-350</v>
      </c>
    </row>
    <row r="31" spans="2:4" ht="6.95" customHeight="1" x14ac:dyDescent="0.25">
      <c r="B31" s="191"/>
      <c r="C31" s="2"/>
      <c r="D31" s="21"/>
    </row>
    <row r="32" spans="2:4" x14ac:dyDescent="0.25">
      <c r="B32" s="193" t="s">
        <v>211</v>
      </c>
      <c r="C32" s="194"/>
      <c r="D32" s="195"/>
    </row>
    <row r="33" spans="2:4" x14ac:dyDescent="0.25">
      <c r="B33" s="197" t="s">
        <v>212</v>
      </c>
      <c r="C33" s="198"/>
      <c r="D33" s="202">
        <f>'Balance comparativo'!K28-'Balance comparativo'!L24</f>
        <v>-5833.3849799999953</v>
      </c>
    </row>
    <row r="34" spans="2:4" x14ac:dyDescent="0.25">
      <c r="B34" s="197" t="s">
        <v>227</v>
      </c>
      <c r="C34" s="198"/>
      <c r="D34" s="202">
        <v>0</v>
      </c>
    </row>
    <row r="35" spans="2:4" x14ac:dyDescent="0.25">
      <c r="B35" s="197" t="s">
        <v>176</v>
      </c>
      <c r="C35" s="198"/>
      <c r="D35" s="211">
        <f>'Balance comparativo'!L35*-1</f>
        <v>-10000</v>
      </c>
    </row>
    <row r="36" spans="2:4" x14ac:dyDescent="0.25">
      <c r="B36" s="203" t="s">
        <v>226</v>
      </c>
      <c r="C36" s="198"/>
      <c r="D36" s="212">
        <f>D33+D34+D35</f>
        <v>-15833.384979999995</v>
      </c>
    </row>
    <row r="37" spans="2:4" ht="7.15" customHeight="1" x14ac:dyDescent="0.25">
      <c r="B37" s="78"/>
      <c r="C37" s="2"/>
      <c r="D37" s="68"/>
    </row>
    <row r="38" spans="2:4" x14ac:dyDescent="0.25">
      <c r="B38" s="208" t="s">
        <v>216</v>
      </c>
      <c r="C38" s="209"/>
      <c r="D38" s="212">
        <f>D25+D30+D36</f>
        <v>2464.2042500109783</v>
      </c>
    </row>
    <row r="39" spans="2:4" x14ac:dyDescent="0.25">
      <c r="B39" s="210" t="s">
        <v>217</v>
      </c>
      <c r="C39" s="209"/>
      <c r="D39" s="217">
        <f>'Balance comparativo'!F9</f>
        <v>9871.6702100000002</v>
      </c>
    </row>
    <row r="40" spans="2:4" ht="15.75" thickBot="1" x14ac:dyDescent="0.3">
      <c r="B40" s="208" t="s">
        <v>228</v>
      </c>
      <c r="C40" s="209"/>
      <c r="D40" s="265">
        <f>D38+D39</f>
        <v>12335.874460010979</v>
      </c>
    </row>
    <row r="41" spans="2:4" ht="15.75" thickTop="1" x14ac:dyDescent="0.25"/>
    <row r="42" spans="2:4" x14ac:dyDescent="0.25">
      <c r="D42" s="93">
        <f>'Balance comparativo'!D9</f>
        <v>12336.36773</v>
      </c>
    </row>
    <row r="51" spans="2:4" ht="20.25" x14ac:dyDescent="0.3">
      <c r="B51" s="1" t="s">
        <v>40</v>
      </c>
      <c r="C51" s="1"/>
      <c r="D51" s="1"/>
    </row>
    <row r="52" spans="2:4" ht="15.75" x14ac:dyDescent="0.25">
      <c r="B52" s="46" t="s">
        <v>221</v>
      </c>
      <c r="C52" s="47"/>
      <c r="D52" s="47"/>
    </row>
    <row r="53" spans="2:4" x14ac:dyDescent="0.25">
      <c r="B53" s="3" t="s">
        <v>0</v>
      </c>
      <c r="C53" s="3"/>
      <c r="D53" s="3"/>
    </row>
    <row r="54" spans="2:4" x14ac:dyDescent="0.25">
      <c r="B54" s="193" t="s">
        <v>203</v>
      </c>
      <c r="C54" s="194"/>
      <c r="D54" s="195"/>
    </row>
    <row r="55" spans="2:4" x14ac:dyDescent="0.25">
      <c r="B55" s="197" t="s">
        <v>70</v>
      </c>
      <c r="C55" s="198"/>
      <c r="D55" s="199">
        <f>'Balance comparativo'!D32</f>
        <v>25234.063229999996</v>
      </c>
    </row>
    <row r="56" spans="2:4" x14ac:dyDescent="0.25">
      <c r="B56" s="200" t="s">
        <v>204</v>
      </c>
      <c r="C56" s="198"/>
      <c r="D56" s="201"/>
    </row>
    <row r="57" spans="2:4" x14ac:dyDescent="0.25">
      <c r="B57" s="200" t="s">
        <v>205</v>
      </c>
      <c r="C57" s="198"/>
      <c r="D57" s="201"/>
    </row>
    <row r="58" spans="2:4" x14ac:dyDescent="0.25">
      <c r="B58" s="197" t="s">
        <v>206</v>
      </c>
      <c r="C58" s="198"/>
      <c r="D58" s="202">
        <f>-'Balance comparativo'!H17</f>
        <v>625</v>
      </c>
    </row>
    <row r="59" spans="2:4" x14ac:dyDescent="0.25">
      <c r="B59" s="197" t="s">
        <v>207</v>
      </c>
      <c r="C59" s="198"/>
      <c r="D59" s="202">
        <v>0</v>
      </c>
    </row>
    <row r="60" spans="2:4" x14ac:dyDescent="0.25">
      <c r="B60" s="197" t="s">
        <v>208</v>
      </c>
      <c r="C60" s="198"/>
      <c r="D60" s="211">
        <f>-'Balance comparativo'!H11</f>
        <v>3027.5177899999999</v>
      </c>
    </row>
    <row r="61" spans="2:4" x14ac:dyDescent="0.25">
      <c r="B61" s="203" t="s">
        <v>222</v>
      </c>
      <c r="C61" s="198"/>
      <c r="D61" s="212">
        <f>SUM(D58:D60)+D55</f>
        <v>28886.581019999998</v>
      </c>
    </row>
    <row r="62" spans="2:4" x14ac:dyDescent="0.25">
      <c r="B62" s="50"/>
      <c r="C62" s="2"/>
      <c r="D62" s="73"/>
    </row>
    <row r="63" spans="2:4" x14ac:dyDescent="0.25">
      <c r="B63" s="200" t="s">
        <v>223</v>
      </c>
      <c r="C63" s="198"/>
      <c r="D63" s="201"/>
    </row>
    <row r="64" spans="2:4" x14ac:dyDescent="0.25">
      <c r="B64" s="200" t="s">
        <v>209</v>
      </c>
      <c r="C64" s="198"/>
      <c r="D64" s="201"/>
    </row>
    <row r="65" spans="2:4" x14ac:dyDescent="0.25">
      <c r="B65" s="197" t="s">
        <v>4</v>
      </c>
      <c r="C65" s="198"/>
      <c r="D65" s="202">
        <f>-'Balance comparativo'!H10</f>
        <v>-30286.797030000002</v>
      </c>
    </row>
    <row r="66" spans="2:4" x14ac:dyDescent="0.25">
      <c r="B66" s="197" t="s">
        <v>7</v>
      </c>
      <c r="C66" s="198"/>
      <c r="D66" s="202">
        <f>-'Balance comparativo'!H12</f>
        <v>13834.140149999992</v>
      </c>
    </row>
    <row r="67" spans="2:4" x14ac:dyDescent="0.25">
      <c r="B67" s="197" t="s">
        <v>10</v>
      </c>
      <c r="C67" s="198"/>
      <c r="D67" s="202">
        <f>-'Balance comparativo'!H13</f>
        <v>-1013.9608499999995</v>
      </c>
    </row>
    <row r="68" spans="2:4" x14ac:dyDescent="0.25">
      <c r="B68" s="197" t="s">
        <v>15</v>
      </c>
      <c r="C68" s="198"/>
      <c r="D68" s="202">
        <f>-'Balance comparativo'!H18</f>
        <v>182.66600000000005</v>
      </c>
    </row>
    <row r="69" spans="2:4" x14ac:dyDescent="0.25">
      <c r="B69" s="204" t="s">
        <v>22</v>
      </c>
      <c r="C69" s="198"/>
      <c r="D69" s="205">
        <f>'Balance comparativo'!H23</f>
        <v>5280.5116500109943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224</v>
      </c>
      <c r="C71" s="207"/>
      <c r="D71" s="214">
        <f>SUM(D65:D70)</f>
        <v>-10238.496999989013</v>
      </c>
    </row>
    <row r="72" spans="2:4" x14ac:dyDescent="0.25">
      <c r="B72" s="50"/>
      <c r="C72" s="2"/>
      <c r="D72" s="73"/>
    </row>
    <row r="73" spans="2:4" x14ac:dyDescent="0.25">
      <c r="B73" s="191" t="s">
        <v>210</v>
      </c>
      <c r="C73" s="2"/>
      <c r="D73" s="215">
        <f>D61+D71</f>
        <v>18648.084020010985</v>
      </c>
    </row>
    <row r="74" spans="2:4" x14ac:dyDescent="0.25">
      <c r="B74" s="193" t="s">
        <v>213</v>
      </c>
      <c r="C74" s="194"/>
      <c r="D74" s="195"/>
    </row>
    <row r="75" spans="2:4" x14ac:dyDescent="0.25">
      <c r="B75" s="197" t="s">
        <v>214</v>
      </c>
      <c r="C75" s="198"/>
      <c r="D75" s="202">
        <f>-'Balance comparativo'!H16</f>
        <v>-350</v>
      </c>
    </row>
    <row r="76" spans="2:4" x14ac:dyDescent="0.25">
      <c r="B76" s="197" t="s">
        <v>215</v>
      </c>
      <c r="C76" s="198"/>
      <c r="D76" s="216">
        <v>0</v>
      </c>
    </row>
    <row r="77" spans="2:4" x14ac:dyDescent="0.25">
      <c r="B77" s="203" t="s">
        <v>225</v>
      </c>
      <c r="C77" s="198"/>
      <c r="D77" s="212">
        <f>SUM(D75:D76)</f>
        <v>-350</v>
      </c>
    </row>
    <row r="78" spans="2:4" x14ac:dyDescent="0.25">
      <c r="B78" s="193" t="s">
        <v>211</v>
      </c>
      <c r="C78" s="194"/>
      <c r="D78" s="195"/>
    </row>
    <row r="79" spans="2:4" x14ac:dyDescent="0.25">
      <c r="B79" s="197" t="s">
        <v>212</v>
      </c>
      <c r="C79" s="198"/>
      <c r="D79" s="202">
        <f>'Balance comparativo'!H28+'Balance comparativo'!H24</f>
        <v>-5833.3849799999953</v>
      </c>
    </row>
    <row r="80" spans="2:4" x14ac:dyDescent="0.25">
      <c r="B80" s="197" t="s">
        <v>227</v>
      </c>
      <c r="C80" s="198"/>
      <c r="D80" s="202">
        <v>0</v>
      </c>
    </row>
    <row r="81" spans="2:4" x14ac:dyDescent="0.25">
      <c r="B81" s="197" t="s">
        <v>176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226</v>
      </c>
      <c r="C82" s="198"/>
      <c r="D82" s="212">
        <f>SUM(D79:D81)</f>
        <v>-15833.384979999992</v>
      </c>
    </row>
    <row r="83" spans="2:4" x14ac:dyDescent="0.25">
      <c r="B83" s="78"/>
      <c r="C83" s="2"/>
      <c r="D83" s="68"/>
    </row>
    <row r="84" spans="2:4" x14ac:dyDescent="0.25">
      <c r="B84" s="208" t="s">
        <v>216</v>
      </c>
      <c r="C84" s="209"/>
      <c r="D84" s="212">
        <f>D73+D77+D82</f>
        <v>2464.6990400109935</v>
      </c>
    </row>
    <row r="85" spans="2:4" x14ac:dyDescent="0.25">
      <c r="B85" s="210" t="s">
        <v>217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218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219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7F0E2-11AB-4B81-8D8D-B91E1E377739}">
  <dimension ref="B3:D77"/>
  <sheetViews>
    <sheetView showGridLines="0" zoomScale="112" zoomScaleNormal="112" workbookViewId="0">
      <selection activeCell="D35" sqref="D35"/>
    </sheetView>
  </sheetViews>
  <sheetFormatPr baseColWidth="10" defaultRowHeight="15" x14ac:dyDescent="0.25"/>
  <cols>
    <col min="2" max="2" width="67.57031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285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286</v>
      </c>
      <c r="C7" s="198"/>
      <c r="D7" s="199">
        <f>'Resultados Comparativo'!E15-'Balance comparativo'!L10+'Balance comparativo'!K10</f>
        <v>221958.45292999997</v>
      </c>
    </row>
    <row r="8" spans="2:4" x14ac:dyDescent="0.25">
      <c r="B8" s="197" t="s">
        <v>5</v>
      </c>
      <c r="C8" s="198"/>
      <c r="D8" s="202">
        <f>'Balance comparativo'!K11</f>
        <v>3027.5177899999999</v>
      </c>
    </row>
    <row r="9" spans="2:4" x14ac:dyDescent="0.25">
      <c r="B9" s="197" t="s">
        <v>283</v>
      </c>
      <c r="C9" s="198"/>
      <c r="D9" s="202">
        <f>-'Resultados Comparativo'!E22+'Balance comparativo'!K23-'Balance comparativo'!L23+'Balance comparativo'!K12-'Balance comparativo'!L12</f>
        <v>-145018.06329998901</v>
      </c>
    </row>
    <row r="10" spans="2:4" x14ac:dyDescent="0.25">
      <c r="B10" s="197" t="s">
        <v>10</v>
      </c>
      <c r="C10" s="198"/>
      <c r="D10" s="211">
        <f>'Balance comparativo'!L13*-1</f>
        <v>-1013.9608499999995</v>
      </c>
    </row>
    <row r="11" spans="2:4" x14ac:dyDescent="0.25">
      <c r="B11" s="197" t="s">
        <v>15</v>
      </c>
      <c r="C11" s="198"/>
      <c r="D11" s="202">
        <f>'Balance comparativo'!K18</f>
        <v>182.66600000000005</v>
      </c>
    </row>
    <row r="12" spans="2:4" x14ac:dyDescent="0.25">
      <c r="B12" s="197" t="s">
        <v>28</v>
      </c>
      <c r="C12" s="198"/>
      <c r="D12" s="211">
        <f>'Balance comparativo'!K25</f>
        <v>1764.94308</v>
      </c>
    </row>
    <row r="13" spans="2:4" x14ac:dyDescent="0.25">
      <c r="B13" s="197" t="s">
        <v>289</v>
      </c>
      <c r="C13" s="198"/>
      <c r="D13" s="213">
        <f>'Resultados Comparativo'!E44*-1</f>
        <v>-6540.308</v>
      </c>
    </row>
    <row r="14" spans="2:4" x14ac:dyDescent="0.25">
      <c r="B14" s="197" t="s">
        <v>57</v>
      </c>
      <c r="C14" s="198"/>
      <c r="D14" s="213">
        <f>('Resultados Comparativo'!E30*-1)+'Resultados Comparativo'!E41</f>
        <v>-57935.817009999992</v>
      </c>
    </row>
    <row r="15" spans="2:4" x14ac:dyDescent="0.25">
      <c r="B15" s="206" t="s">
        <v>224</v>
      </c>
      <c r="C15" s="207"/>
      <c r="D15" s="214">
        <f>SUM(D7:D14)</f>
        <v>16425.430640010971</v>
      </c>
    </row>
    <row r="16" spans="2:4" ht="7.35" customHeight="1" x14ac:dyDescent="0.25">
      <c r="B16" s="50"/>
      <c r="C16" s="2"/>
      <c r="D16" s="73"/>
    </row>
    <row r="17" spans="2:4" x14ac:dyDescent="0.25">
      <c r="B17" s="193" t="s">
        <v>213</v>
      </c>
      <c r="C17" s="194"/>
      <c r="D17" s="195"/>
    </row>
    <row r="18" spans="2:4" x14ac:dyDescent="0.25">
      <c r="B18" s="197" t="s">
        <v>13</v>
      </c>
      <c r="C18" s="198"/>
      <c r="D18" s="202">
        <f>'Balance comparativo'!L16*-1</f>
        <v>-350</v>
      </c>
    </row>
    <row r="19" spans="2:4" x14ac:dyDescent="0.25">
      <c r="B19" s="197" t="s">
        <v>287</v>
      </c>
      <c r="C19" s="198"/>
      <c r="D19" s="211">
        <v>0</v>
      </c>
    </row>
    <row r="20" spans="2:4" x14ac:dyDescent="0.25">
      <c r="B20" s="197" t="s">
        <v>288</v>
      </c>
      <c r="C20" s="198"/>
      <c r="D20" s="211">
        <f>'Balance comparativo'!K17</f>
        <v>625</v>
      </c>
    </row>
    <row r="21" spans="2:4" x14ac:dyDescent="0.25">
      <c r="B21" s="206" t="s">
        <v>225</v>
      </c>
      <c r="C21" s="198"/>
      <c r="D21" s="212">
        <f>D18+D20</f>
        <v>275</v>
      </c>
    </row>
    <row r="22" spans="2:4" ht="7.35" customHeight="1" x14ac:dyDescent="0.25">
      <c r="B22" s="54"/>
      <c r="C22" s="2"/>
      <c r="D22" s="21"/>
    </row>
    <row r="23" spans="2:4" x14ac:dyDescent="0.25">
      <c r="B23" s="193" t="s">
        <v>211</v>
      </c>
      <c r="C23" s="194"/>
      <c r="D23" s="195"/>
    </row>
    <row r="24" spans="2:4" x14ac:dyDescent="0.25">
      <c r="B24" s="197" t="s">
        <v>23</v>
      </c>
      <c r="C24" s="198"/>
      <c r="D24" s="202">
        <f>'Balance comparativo'!K28-'Balance comparativo'!L24</f>
        <v>-5833.3849799999953</v>
      </c>
    </row>
    <row r="25" spans="2:4" x14ac:dyDescent="0.25">
      <c r="B25" s="197" t="s">
        <v>227</v>
      </c>
      <c r="C25" s="198"/>
      <c r="D25" s="202">
        <v>0</v>
      </c>
    </row>
    <row r="26" spans="2:4" x14ac:dyDescent="0.25">
      <c r="B26" s="197" t="s">
        <v>176</v>
      </c>
      <c r="C26" s="198"/>
      <c r="D26" s="211">
        <f>'Balance comparativo'!L35*-1</f>
        <v>-10000</v>
      </c>
    </row>
    <row r="27" spans="2:4" x14ac:dyDescent="0.25">
      <c r="B27" s="197" t="s">
        <v>274</v>
      </c>
      <c r="C27" s="198"/>
      <c r="D27" s="211">
        <f>'Resultados Comparativo'!E36</f>
        <v>1597.1585900000002</v>
      </c>
    </row>
    <row r="28" spans="2:4" x14ac:dyDescent="0.25">
      <c r="B28" s="206" t="s">
        <v>226</v>
      </c>
      <c r="C28" s="198"/>
      <c r="D28" s="212">
        <f>SUM(D24:D27)</f>
        <v>-14236.226389999994</v>
      </c>
    </row>
    <row r="29" spans="2:4" ht="7.15" customHeight="1" x14ac:dyDescent="0.25">
      <c r="B29" s="78"/>
      <c r="C29" s="2"/>
      <c r="D29" s="68"/>
    </row>
    <row r="30" spans="2:4" x14ac:dyDescent="0.25">
      <c r="B30" s="208" t="s">
        <v>216</v>
      </c>
      <c r="C30" s="209"/>
      <c r="D30" s="212">
        <f>D15+D21+D28</f>
        <v>2464.2042500109765</v>
      </c>
    </row>
    <row r="31" spans="2:4" x14ac:dyDescent="0.25">
      <c r="B31" s="210" t="s">
        <v>217</v>
      </c>
      <c r="C31" s="209"/>
      <c r="D31" s="217">
        <f>'Balance comparativo'!F9</f>
        <v>9871.6702100000002</v>
      </c>
    </row>
    <row r="32" spans="2:4" ht="15.75" thickBot="1" x14ac:dyDescent="0.3">
      <c r="B32" s="208" t="s">
        <v>228</v>
      </c>
      <c r="C32" s="209"/>
      <c r="D32" s="265">
        <f>D30+D31</f>
        <v>12335.874460010977</v>
      </c>
    </row>
    <row r="33" spans="2:4" ht="15.75" thickTop="1" x14ac:dyDescent="0.25"/>
    <row r="34" spans="2:4" x14ac:dyDescent="0.25">
      <c r="D34" s="93">
        <f>'Balance comparativo'!D9</f>
        <v>12336.36773</v>
      </c>
    </row>
    <row r="35" spans="2:4" x14ac:dyDescent="0.25">
      <c r="D35" s="190"/>
    </row>
    <row r="43" spans="2:4" ht="20.25" x14ac:dyDescent="0.3">
      <c r="B43" s="1" t="s">
        <v>40</v>
      </c>
      <c r="C43" s="1"/>
      <c r="D43" s="1"/>
    </row>
    <row r="44" spans="2:4" ht="15.75" x14ac:dyDescent="0.25">
      <c r="B44" s="46" t="s">
        <v>285</v>
      </c>
      <c r="C44" s="47"/>
      <c r="D44" s="47"/>
    </row>
    <row r="45" spans="2:4" x14ac:dyDescent="0.25">
      <c r="B45" s="3" t="s">
        <v>0</v>
      </c>
      <c r="C45" s="3"/>
      <c r="D45" s="3"/>
    </row>
    <row r="46" spans="2:4" x14ac:dyDescent="0.25">
      <c r="B46" s="193" t="s">
        <v>203</v>
      </c>
      <c r="C46" s="194"/>
      <c r="D46" s="195"/>
    </row>
    <row r="47" spans="2:4" x14ac:dyDescent="0.25">
      <c r="B47" s="197" t="s">
        <v>286</v>
      </c>
      <c r="C47" s="198"/>
      <c r="D47" s="199">
        <f>'Resultados Comparativo'!E15+'Balance comparativo'!K10-'Balance comparativo'!L10</f>
        <v>221958.45292999997</v>
      </c>
    </row>
    <row r="48" spans="2:4" x14ac:dyDescent="0.25">
      <c r="B48" s="197" t="s">
        <v>5</v>
      </c>
      <c r="C48" s="198"/>
      <c r="D48" s="202">
        <f>'Balance comparativo'!K11-'Balance comparativo'!L11</f>
        <v>3027.5177899999999</v>
      </c>
    </row>
    <row r="49" spans="2:4" x14ac:dyDescent="0.25">
      <c r="B49" s="197" t="s">
        <v>283</v>
      </c>
      <c r="C49" s="198"/>
      <c r="D49" s="202">
        <f>-'Resultados Comparativo'!E22+'Balance comparativo'!K12-'Balance comparativo'!L12+'Balance comparativo'!K23-'Balance comparativo'!L23</f>
        <v>-145018.06329998901</v>
      </c>
    </row>
    <row r="50" spans="2:4" x14ac:dyDescent="0.25">
      <c r="B50" s="197" t="s">
        <v>10</v>
      </c>
      <c r="C50" s="198"/>
      <c r="D50" s="211">
        <f>'Balance comparativo'!K13-'Balance comparativo'!L13</f>
        <v>-1013.9608499999995</v>
      </c>
    </row>
    <row r="51" spans="2:4" x14ac:dyDescent="0.25">
      <c r="B51" s="197" t="s">
        <v>15</v>
      </c>
      <c r="C51" s="198"/>
      <c r="D51" s="202">
        <f>'Balance comparativo'!K18-'Balance comparativo'!L18</f>
        <v>182.66600000000005</v>
      </c>
    </row>
    <row r="52" spans="2:4" x14ac:dyDescent="0.25">
      <c r="B52" s="197" t="s">
        <v>28</v>
      </c>
      <c r="C52" s="198"/>
      <c r="D52" s="211">
        <f>'Balance comparativo'!K25-'Balance comparativo'!L25</f>
        <v>1764.94308</v>
      </c>
    </row>
    <row r="53" spans="2:4" x14ac:dyDescent="0.25">
      <c r="B53" s="197" t="s">
        <v>289</v>
      </c>
      <c r="C53" s="198"/>
      <c r="D53" s="213">
        <f>'Resultados Comparativo'!E44*-1</f>
        <v>-6540.308</v>
      </c>
    </row>
    <row r="54" spans="2:4" x14ac:dyDescent="0.25">
      <c r="B54" s="197" t="s">
        <v>57</v>
      </c>
      <c r="C54" s="198"/>
      <c r="D54" s="213">
        <f>-'Resultados Comparativo'!E30-'Resultados Comparativo'!E40+'Resultados Comparativo'!E39</f>
        <v>-57935.817009999992</v>
      </c>
    </row>
    <row r="55" spans="2:4" x14ac:dyDescent="0.25">
      <c r="B55" s="206" t="s">
        <v>224</v>
      </c>
      <c r="C55" s="207"/>
      <c r="D55" s="214">
        <f>SUM(D47:D54)</f>
        <v>16425.430640010971</v>
      </c>
    </row>
    <row r="56" spans="2:4" x14ac:dyDescent="0.25">
      <c r="B56" s="50"/>
      <c r="C56" s="2"/>
      <c r="D56" s="73"/>
    </row>
    <row r="57" spans="2:4" x14ac:dyDescent="0.25">
      <c r="B57" s="193" t="s">
        <v>213</v>
      </c>
      <c r="C57" s="194"/>
      <c r="D57" s="195"/>
    </row>
    <row r="58" spans="2:4" x14ac:dyDescent="0.25">
      <c r="B58" s="197" t="s">
        <v>13</v>
      </c>
      <c r="C58" s="198"/>
      <c r="D58" s="202">
        <f>'Balance comparativo'!K16-'Balance comparativo'!L16</f>
        <v>-350</v>
      </c>
    </row>
    <row r="59" spans="2:4" x14ac:dyDescent="0.25">
      <c r="B59" s="197" t="s">
        <v>287</v>
      </c>
      <c r="C59" s="198"/>
      <c r="D59" s="211">
        <v>0</v>
      </c>
    </row>
    <row r="60" spans="2:4" x14ac:dyDescent="0.25">
      <c r="B60" s="197" t="s">
        <v>288</v>
      </c>
      <c r="C60" s="198"/>
      <c r="D60" s="211">
        <f>'Balance comparativo'!K17-'Balance comparativo'!L17</f>
        <v>625</v>
      </c>
    </row>
    <row r="61" spans="2:4" x14ac:dyDescent="0.25">
      <c r="B61" s="206" t="s">
        <v>225</v>
      </c>
      <c r="C61" s="198"/>
      <c r="D61" s="212">
        <f>D58+D60</f>
        <v>275</v>
      </c>
    </row>
    <row r="62" spans="2:4" x14ac:dyDescent="0.25">
      <c r="B62" s="54"/>
      <c r="C62" s="2"/>
      <c r="D62" s="21"/>
    </row>
    <row r="63" spans="2:4" x14ac:dyDescent="0.25">
      <c r="B63" s="193" t="s">
        <v>211</v>
      </c>
      <c r="C63" s="194"/>
      <c r="D63" s="195"/>
    </row>
    <row r="64" spans="2:4" x14ac:dyDescent="0.25">
      <c r="B64" s="197" t="s">
        <v>23</v>
      </c>
      <c r="C64" s="198"/>
      <c r="D64" s="202">
        <f>'Balance comparativo'!K24-'Balance comparativo'!L24+'Balance comparativo'!K28-'Balance comparativo'!L28</f>
        <v>-5833.3849799999953</v>
      </c>
    </row>
    <row r="65" spans="2:4" x14ac:dyDescent="0.25">
      <c r="B65" s="197" t="s">
        <v>227</v>
      </c>
      <c r="C65" s="198"/>
      <c r="D65" s="202">
        <f>'Balance comparativo'!K31-'Balance comparativo'!L31</f>
        <v>0</v>
      </c>
    </row>
    <row r="66" spans="2:4" x14ac:dyDescent="0.25">
      <c r="B66" s="197" t="s">
        <v>176</v>
      </c>
      <c r="C66" s="198"/>
      <c r="D66" s="211">
        <f>'Balance comparativo'!K35-'Balance comparativo'!L35</f>
        <v>-10000</v>
      </c>
    </row>
    <row r="67" spans="2:4" x14ac:dyDescent="0.25">
      <c r="B67" s="197" t="s">
        <v>274</v>
      </c>
      <c r="C67" s="198"/>
      <c r="D67" s="211">
        <f>'Resultados Comparativo'!E36</f>
        <v>1597.1585900000002</v>
      </c>
    </row>
    <row r="68" spans="2:4" x14ac:dyDescent="0.25">
      <c r="B68" s="206" t="s">
        <v>226</v>
      </c>
      <c r="C68" s="198"/>
      <c r="D68" s="212">
        <f>SUM(D64:D67)</f>
        <v>-14236.226389999994</v>
      </c>
    </row>
    <row r="69" spans="2:4" x14ac:dyDescent="0.25">
      <c r="B69" s="78"/>
      <c r="C69" s="2"/>
      <c r="D69" s="68"/>
    </row>
    <row r="70" spans="2:4" x14ac:dyDescent="0.25">
      <c r="B70" s="208" t="s">
        <v>216</v>
      </c>
      <c r="C70" s="209"/>
      <c r="D70" s="212">
        <f>D55+D61+D68</f>
        <v>2464.2042500109765</v>
      </c>
    </row>
    <row r="71" spans="2:4" x14ac:dyDescent="0.25">
      <c r="B71" s="210" t="s">
        <v>217</v>
      </c>
      <c r="C71" s="209"/>
      <c r="D71" s="217">
        <f>'Balance comparativo'!F9</f>
        <v>9871.6702100000002</v>
      </c>
    </row>
    <row r="72" spans="2:4" ht="15.75" thickBot="1" x14ac:dyDescent="0.3">
      <c r="B72" s="208" t="s">
        <v>228</v>
      </c>
      <c r="C72" s="209"/>
      <c r="D72" s="218">
        <f>D70+D71</f>
        <v>12335.874460010977</v>
      </c>
    </row>
    <row r="73" spans="2:4" ht="15.75" thickTop="1" x14ac:dyDescent="0.25"/>
    <row r="74" spans="2:4" x14ac:dyDescent="0.25">
      <c r="D74" s="93">
        <f>'Balance comparativo'!D49</f>
        <v>0</v>
      </c>
    </row>
    <row r="75" spans="2:4" x14ac:dyDescent="0.25">
      <c r="B75" s="192" t="s">
        <v>219</v>
      </c>
      <c r="C75" s="2"/>
      <c r="D75" s="64">
        <f>'Balance comparativo'!D9</f>
        <v>12336.36773</v>
      </c>
    </row>
    <row r="76" spans="2:4" x14ac:dyDescent="0.25">
      <c r="B76" s="192"/>
      <c r="C76" s="2"/>
      <c r="D76" s="64"/>
    </row>
    <row r="77" spans="2:4" x14ac:dyDescent="0.25">
      <c r="B77" s="192" t="s">
        <v>220</v>
      </c>
      <c r="C77" s="2"/>
      <c r="D77" s="53">
        <f>D72-D75</f>
        <v>-0.49326998902324704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zoomScale="110" zoomScaleNormal="110" workbookViewId="0">
      <selection activeCell="D27" sqref="D27:I27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229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182</v>
      </c>
      <c r="F7" s="222" t="s">
        <v>34</v>
      </c>
      <c r="G7" s="222" t="s">
        <v>183</v>
      </c>
      <c r="H7" s="222" t="s">
        <v>37</v>
      </c>
      <c r="I7" s="222" t="s">
        <v>184</v>
      </c>
    </row>
    <row r="8" spans="3:9" ht="7.15" customHeight="1" x14ac:dyDescent="0.25"/>
    <row r="9" spans="3:9" x14ac:dyDescent="0.25">
      <c r="C9" s="112" t="s">
        <v>230</v>
      </c>
      <c r="D9" s="113">
        <f>'Balance comparativo'!F31</f>
        <v>92279.950980000009</v>
      </c>
      <c r="E9" s="113">
        <f>'Balance comparativo'!F33</f>
        <v>36753.678979999997</v>
      </c>
      <c r="F9" s="113">
        <f>'Balance comparativo'!F32</f>
        <v>4607.3715200000197</v>
      </c>
      <c r="G9" s="113">
        <v>0</v>
      </c>
      <c r="H9" s="113">
        <f>'Balance comparativo'!F34</f>
        <v>3033.4967999999999</v>
      </c>
      <c r="I9" s="271">
        <f>SUM(D9:H9)</f>
        <v>136674.49828000003</v>
      </c>
    </row>
    <row r="11" spans="3:9" x14ac:dyDescent="0.25">
      <c r="C11" s="124" t="s">
        <v>171</v>
      </c>
    </row>
    <row r="12" spans="3:9" x14ac:dyDescent="0.25">
      <c r="C12" s="112" t="s">
        <v>172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173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174</v>
      </c>
      <c r="D15" s="113">
        <f>D9+D12+D13</f>
        <v>92279.950980000009</v>
      </c>
      <c r="E15" s="113">
        <f t="shared" ref="E15:I15" si="0">E9+E12+E13</f>
        <v>36753.678979999997</v>
      </c>
      <c r="F15" s="113">
        <f t="shared" si="0"/>
        <v>4607.3715200000197</v>
      </c>
      <c r="G15" s="113">
        <f t="shared" si="0"/>
        <v>0</v>
      </c>
      <c r="H15" s="113">
        <f t="shared" si="0"/>
        <v>3033.4967999999999</v>
      </c>
      <c r="I15" s="113">
        <f t="shared" si="0"/>
        <v>136674.49828000003</v>
      </c>
    </row>
    <row r="17" spans="3:9" x14ac:dyDescent="0.25">
      <c r="C17" s="124" t="s">
        <v>175</v>
      </c>
    </row>
    <row r="18" spans="3:9" x14ac:dyDescent="0.25">
      <c r="C18" s="112" t="s">
        <v>176</v>
      </c>
      <c r="D18" s="113"/>
      <c r="E18" s="113">
        <f>-'Balance comparativo'!L35</f>
        <v>-10000</v>
      </c>
      <c r="F18" s="113"/>
      <c r="G18" s="113"/>
      <c r="H18" s="113"/>
      <c r="I18" s="113">
        <f>SUM(D18:H18)</f>
        <v>-10000</v>
      </c>
    </row>
    <row r="19" spans="3:9" x14ac:dyDescent="0.25">
      <c r="C19" s="186" t="s">
        <v>177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231</v>
      </c>
    </row>
    <row r="22" spans="3:9" x14ac:dyDescent="0.25">
      <c r="C22" s="112" t="s">
        <v>179</v>
      </c>
      <c r="D22" s="113"/>
      <c r="E22" s="113"/>
      <c r="F22" s="113">
        <v>-230</v>
      </c>
      <c r="G22" s="113"/>
      <c r="H22" s="113">
        <f>'Balance comparativo'!H34</f>
        <v>230</v>
      </c>
      <c r="I22" s="113">
        <f>SUM(D22:H22)</f>
        <v>0</v>
      </c>
    </row>
    <row r="23" spans="3:9" x14ac:dyDescent="0.25">
      <c r="C23" s="112" t="s">
        <v>232</v>
      </c>
      <c r="D23" s="113"/>
      <c r="E23" s="113">
        <v>4377</v>
      </c>
      <c r="F23" s="113">
        <v>-4377</v>
      </c>
      <c r="G23" s="113"/>
      <c r="H23" s="113"/>
      <c r="I23" s="113">
        <f>SUM(D23:H23)</f>
        <v>0</v>
      </c>
    </row>
    <row r="25" spans="3:9" x14ac:dyDescent="0.25">
      <c r="C25" s="149" t="s">
        <v>180</v>
      </c>
      <c r="D25" s="113"/>
      <c r="E25" s="113"/>
      <c r="F25" s="113">
        <f>'Balance comparativo'!D32</f>
        <v>25234.063229999996</v>
      </c>
      <c r="G25" s="113"/>
      <c r="H25" s="113"/>
      <c r="I25" s="113">
        <f>SUM(D25:H25)</f>
        <v>25234.063229999996</v>
      </c>
    </row>
    <row r="27" spans="3:9" x14ac:dyDescent="0.25">
      <c r="C27" s="149" t="s">
        <v>181</v>
      </c>
      <c r="D27" s="219">
        <f>SUM(D15:D25)</f>
        <v>92279.950980000009</v>
      </c>
      <c r="E27" s="219">
        <f t="shared" ref="E27:I27" si="1">SUM(E15:E25)</f>
        <v>31130.678979999997</v>
      </c>
      <c r="F27" s="219">
        <f t="shared" si="1"/>
        <v>25234.434750000015</v>
      </c>
      <c r="G27" s="219">
        <f t="shared" si="1"/>
        <v>0</v>
      </c>
      <c r="H27" s="219">
        <f t="shared" si="1"/>
        <v>3263.4967999999999</v>
      </c>
      <c r="I27" s="270">
        <f t="shared" si="1"/>
        <v>151908.56151000003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229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182</v>
      </c>
      <c r="F49" s="222" t="s">
        <v>34</v>
      </c>
      <c r="G49" s="222" t="s">
        <v>183</v>
      </c>
      <c r="H49" s="222" t="s">
        <v>37</v>
      </c>
      <c r="I49" s="222" t="s">
        <v>184</v>
      </c>
    </row>
    <row r="51" spans="3:9" x14ac:dyDescent="0.25">
      <c r="C51" s="112" t="s">
        <v>230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171</v>
      </c>
    </row>
    <row r="54" spans="3:9" x14ac:dyDescent="0.25">
      <c r="C54" s="112" t="s">
        <v>172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173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174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175</v>
      </c>
    </row>
    <row r="60" spans="3:9" x14ac:dyDescent="0.25">
      <c r="C60" s="112" t="s">
        <v>176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177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231</v>
      </c>
    </row>
    <row r="64" spans="3:9" x14ac:dyDescent="0.25">
      <c r="C64" s="112" t="s">
        <v>179</v>
      </c>
      <c r="D64" s="113"/>
      <c r="E64" s="113">
        <f>'Balance comparativo'!H34</f>
        <v>230</v>
      </c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230</v>
      </c>
    </row>
    <row r="65" spans="3:9" x14ac:dyDescent="0.25">
      <c r="C65" s="112" t="s">
        <v>232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180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181</v>
      </c>
      <c r="D69" s="219">
        <f>SUM(D57:D68)</f>
        <v>92279.950980000009</v>
      </c>
      <c r="E69" s="219">
        <f t="shared" ref="E69:I69" si="3">SUM(E57:E68)</f>
        <v>31361.050500000019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152138.56151000003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236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189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182</v>
      </c>
      <c r="F8" s="148" t="s">
        <v>34</v>
      </c>
      <c r="G8" s="148" t="s">
        <v>183</v>
      </c>
      <c r="H8" s="148" t="s">
        <v>37</v>
      </c>
      <c r="I8" s="148" t="s">
        <v>184</v>
      </c>
      <c r="J8" s="147"/>
    </row>
    <row r="10" spans="3:10" x14ac:dyDescent="0.25">
      <c r="C10" t="s">
        <v>233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171</v>
      </c>
    </row>
    <row r="13" spans="3:10" x14ac:dyDescent="0.25">
      <c r="C13" t="s">
        <v>172</v>
      </c>
      <c r="I13" s="95">
        <f>SUM(D13:H13)</f>
        <v>0</v>
      </c>
    </row>
    <row r="14" spans="3:10" x14ac:dyDescent="0.25">
      <c r="C14" t="s">
        <v>173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174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175</v>
      </c>
    </row>
    <row r="19" spans="3:9" x14ac:dyDescent="0.25">
      <c r="C19" t="s">
        <v>176</v>
      </c>
      <c r="I19" s="95">
        <f>SUM(D19:H19)</f>
        <v>0</v>
      </c>
    </row>
    <row r="20" spans="3:9" x14ac:dyDescent="0.25">
      <c r="C20" t="s">
        <v>177</v>
      </c>
      <c r="I20" s="95">
        <f>SUM(D20:H20)</f>
        <v>0</v>
      </c>
    </row>
    <row r="22" spans="3:9" x14ac:dyDescent="0.25">
      <c r="C22" s="124" t="s">
        <v>178</v>
      </c>
    </row>
    <row r="23" spans="3:9" x14ac:dyDescent="0.25">
      <c r="C23" t="s">
        <v>179</v>
      </c>
      <c r="I23" s="95">
        <f>SUM(D23:H23)</f>
        <v>0</v>
      </c>
    </row>
    <row r="25" spans="3:9" x14ac:dyDescent="0.25">
      <c r="C25" s="124" t="s">
        <v>180</v>
      </c>
      <c r="F25" s="95">
        <v>2442739</v>
      </c>
      <c r="I25" s="95">
        <f>SUM(D25:H25)</f>
        <v>2442739</v>
      </c>
    </row>
    <row r="27" spans="3:9" x14ac:dyDescent="0.25">
      <c r="C27" s="124" t="s">
        <v>181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6" sqref="E6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269</v>
      </c>
      <c r="C1" s="119"/>
      <c r="D1" s="119"/>
      <c r="E1" s="119"/>
      <c r="F1" s="119"/>
    </row>
    <row r="2" spans="1:11" ht="15.75" x14ac:dyDescent="0.25">
      <c r="A2" s="119"/>
      <c r="B2" s="226" t="s">
        <v>237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238</v>
      </c>
      <c r="J3" s="144" t="s">
        <v>239</v>
      </c>
      <c r="K3" s="144" t="s">
        <v>240</v>
      </c>
    </row>
    <row r="4" spans="1:11" ht="6.75" customHeight="1" x14ac:dyDescent="0.25"/>
    <row r="5" spans="1:11" x14ac:dyDescent="0.25">
      <c r="B5" s="229" t="s">
        <v>241</v>
      </c>
    </row>
    <row r="6" spans="1:11" x14ac:dyDescent="0.25">
      <c r="B6" s="230" t="s">
        <v>270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271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242</v>
      </c>
    </row>
    <row r="12" spans="1:11" x14ac:dyDescent="0.25">
      <c r="B12" s="230" t="s">
        <v>272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273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243</v>
      </c>
    </row>
    <row r="18" spans="2:11" x14ac:dyDescent="0.25">
      <c r="B18" s="230" t="s">
        <v>243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244</v>
      </c>
    </row>
    <row r="21" spans="2:11" x14ac:dyDescent="0.25">
      <c r="B21" s="230" t="s">
        <v>245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246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247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248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249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250</v>
      </c>
    </row>
    <row r="33" spans="2:11" x14ac:dyDescent="0.25">
      <c r="B33" s="230" t="s">
        <v>251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252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275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253</v>
      </c>
    </row>
    <row r="41" spans="2:11" x14ac:dyDescent="0.25">
      <c r="B41" s="230" t="s">
        <v>254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255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256</v>
      </c>
    </row>
    <row r="47" spans="2:11" x14ac:dyDescent="0.25">
      <c r="B47" s="230" t="s">
        <v>257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258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259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260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261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262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263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264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265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266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267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268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15" priority="179" operator="lessThan">
      <formula>$K$6</formula>
    </cfRule>
    <cfRule type="cellIs" dxfId="114" priority="178" operator="greaterThan">
      <formula>$I$6</formula>
    </cfRule>
    <cfRule type="cellIs" dxfId="113" priority="177" operator="between">
      <formula>$I$6</formula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2" operator="greaterThan">
      <formula>$I$8</formula>
    </cfRule>
    <cfRule type="cellIs" dxfId="110" priority="171" operator="lessThan">
      <formula>$K$8</formula>
    </cfRule>
    <cfRule type="cellIs" dxfId="109" priority="170" operator="between">
      <formula>$I$8</formula>
      <formula>$K$8</formula>
    </cfRule>
  </conditionalFormatting>
  <conditionalFormatting sqref="C12">
    <cfRule type="cellIs" dxfId="108" priority="166" operator="lessThan">
      <formula>$I$12</formula>
    </cfRule>
    <cfRule type="cellIs" dxfId="107" priority="165" operator="greaterThan">
      <formula>$K$12</formula>
    </cfRule>
    <cfRule type="cellIs" dxfId="106" priority="164" operator="between">
      <formula>$I$12</formula>
      <formula>$K$12</formula>
    </cfRule>
    <cfRule type="cellIs" dxfId="105" priority="163" operator="lessThan">
      <formula>0</formula>
    </cfRule>
  </conditionalFormatting>
  <conditionalFormatting sqref="C14">
    <cfRule type="cellIs" dxfId="104" priority="157" operator="greaterThan">
      <formula>$K$14</formula>
    </cfRule>
    <cfRule type="cellIs" dxfId="103" priority="156" operator="between">
      <formula>$I$14</formula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4" operator="lessThan">
      <formula>$I$27</formula>
    </cfRule>
    <cfRule type="cellIs" dxfId="91" priority="133" operator="greaterThan">
      <formula>$K$27</formula>
    </cfRule>
    <cfRule type="cellIs" dxfId="90" priority="132" operator="between">
      <formula>$I$27</formula>
      <formula>$K$27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8" operator="lessThan">
      <formula>$I$29</formula>
    </cfRule>
    <cfRule type="cellIs" dxfId="87" priority="127" operator="greaterThan">
      <formula>$K$29</formula>
    </cfRule>
  </conditionalFormatting>
  <conditionalFormatting sqref="C33">
    <cfRule type="cellIs" dxfId="86" priority="120" operator="between">
      <formula>$I$33</formula>
      <formula>$K$33</formula>
    </cfRule>
    <cfRule type="cellIs" dxfId="85" priority="122" operator="greaterThan">
      <formula>$I$33</formula>
    </cfRule>
    <cfRule type="cellIs" dxfId="84" priority="121" operator="lessThan">
      <formula>$K$33</formula>
    </cfRule>
  </conditionalFormatting>
  <conditionalFormatting sqref="C35">
    <cfRule type="cellIs" dxfId="83" priority="116" operator="greaterThan">
      <formula>$I$35</formula>
    </cfRule>
    <cfRule type="cellIs" dxfId="82" priority="115" operator="lessThan">
      <formula>$K$35</formula>
    </cfRule>
    <cfRule type="cellIs" dxfId="81" priority="114" operator="between">
      <formula>$I$35</formula>
      <formula>$K$35</formula>
    </cfRule>
  </conditionalFormatting>
  <conditionalFormatting sqref="C37">
    <cfRule type="cellIs" dxfId="80" priority="108" operator="between">
      <formula>$I$37</formula>
      <formula>$K$37</formula>
    </cfRule>
    <cfRule type="cellIs" dxfId="79" priority="109" operator="lessThan">
      <formula>$K$37</formula>
    </cfRule>
    <cfRule type="cellIs" dxfId="78" priority="110" operator="greaterThan">
      <formula>$I$37</formula>
    </cfRule>
  </conditionalFormatting>
  <conditionalFormatting sqref="C41">
    <cfRule type="cellIs" dxfId="77" priority="97" operator="lessThan">
      <formula>$K$41</formula>
    </cfRule>
    <cfRule type="cellIs" dxfId="76" priority="96" operator="between">
      <formula>$I$41</formula>
      <formula>$K$41</formula>
    </cfRule>
    <cfRule type="cellIs" dxfId="75" priority="98" operator="greaterThan">
      <formula>$I$41</formula>
    </cfRule>
  </conditionalFormatting>
  <conditionalFormatting sqref="C43">
    <cfRule type="cellIs" dxfId="74" priority="90" operator="between">
      <formula>$I$43</formula>
      <formula>$K$43</formula>
    </cfRule>
    <cfRule type="cellIs" dxfId="73" priority="91" operator="lessThan">
      <formula>$K$43</formula>
    </cfRule>
    <cfRule type="cellIs" dxfId="72" priority="92" operator="greaterThan">
      <formula>$I$43</formula>
    </cfRule>
  </conditionalFormatting>
  <conditionalFormatting sqref="C47">
    <cfRule type="cellIs" dxfId="71" priority="103" operator="lessThan">
      <formula>$K$37</formula>
    </cfRule>
    <cfRule type="cellIs" dxfId="70" priority="104" operator="greaterThan">
      <formula>$I$37</formula>
    </cfRule>
    <cfRule type="cellIs" dxfId="69" priority="102" operator="between">
      <formula>$I$37</formula>
      <formula>$K$37</formula>
    </cfRule>
  </conditionalFormatting>
  <conditionalFormatting sqref="C49">
    <cfRule type="cellIs" dxfId="68" priority="80" operator="greaterThan">
      <formula>$I$49</formula>
    </cfRule>
    <cfRule type="cellIs" dxfId="67" priority="78" operator="between">
      <formula>$I$49</formula>
      <formula>$K$49</formula>
    </cfRule>
    <cfRule type="cellIs" dxfId="66" priority="79" operator="lessThan">
      <formula>$K$49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C54">
    <cfRule type="cellIs" dxfId="62" priority="68" operator="lessThan">
      <formula>$C$56</formula>
    </cfRule>
    <cfRule type="cellIs" dxfId="61" priority="67" operator="greaterThan">
      <formula>$C$56</formula>
    </cfRule>
  </conditionalFormatting>
  <conditionalFormatting sqref="C57">
    <cfRule type="cellIs" dxfId="60" priority="74" operator="greaterThan">
      <formula>$I$57</formula>
    </cfRule>
    <cfRule type="cellIs" dxfId="59" priority="73" operator="lessThan">
      <formula>$K$57</formula>
    </cfRule>
    <cfRule type="cellIs" dxfId="58" priority="72" operator="between">
      <formula>$I$57</formula>
      <formula>$K$57</formula>
    </cfRule>
  </conditionalFormatting>
  <conditionalFormatting sqref="E6">
    <cfRule type="cellIs" dxfId="57" priority="50" operator="greaterThan">
      <formula>$I$6</formula>
    </cfRule>
    <cfRule type="cellIs" dxfId="56" priority="49" operator="lessThan">
      <formula>$K$6</formula>
    </cfRule>
    <cfRule type="cellIs" dxfId="55" priority="47" operator="between">
      <formula>$I$6</formula>
      <formula>$K$6</formula>
    </cfRule>
    <cfRule type="cellIs" dxfId="54" priority="48" operator="greaterThan">
      <formula>$I$6</formula>
    </cfRule>
  </conditionalFormatting>
  <conditionalFormatting sqref="E8">
    <cfRule type="cellIs" dxfId="53" priority="46" operator="greaterThan">
      <formula>$I$8</formula>
    </cfRule>
    <cfRule type="cellIs" dxfId="52" priority="45" operator="lessThan">
      <formula>$K$8</formula>
    </cfRule>
    <cfRule type="cellIs" dxfId="51" priority="44" operator="between">
      <formula>$I$8</formula>
      <formula>$K$8</formula>
    </cfRule>
  </conditionalFormatting>
  <conditionalFormatting sqref="E12">
    <cfRule type="cellIs" dxfId="50" priority="43" operator="lessThan">
      <formula>$I$12</formula>
    </cfRule>
    <cfRule type="cellIs" dxfId="49" priority="42" operator="greaterThan">
      <formula>$K$12</formula>
    </cfRule>
    <cfRule type="cellIs" dxfId="48" priority="40" operator="lessThan">
      <formula>0</formula>
    </cfRule>
    <cfRule type="cellIs" dxfId="47" priority="41" operator="between">
      <formula>$I$12</formula>
      <formula>$K$12</formula>
    </cfRule>
  </conditionalFormatting>
  <conditionalFormatting sqref="E14">
    <cfRule type="cellIs" dxfId="46" priority="38" operator="greaterThan">
      <formula>$K$14</formula>
    </cfRule>
    <cfRule type="cellIs" dxfId="45" priority="37" operator="between">
      <formula>$I$14</formula>
      <formula>$K$14</formula>
    </cfRule>
    <cfRule type="cellIs" dxfId="44" priority="39" operator="lessThan">
      <formula>$I$14</formula>
    </cfRule>
  </conditionalFormatting>
  <conditionalFormatting sqref="E18">
    <cfRule type="cellIs" dxfId="43" priority="34" operator="greaterThan">
      <formula>$G$18</formula>
    </cfRule>
    <cfRule type="cellIs" dxfId="42" priority="35" operator="between">
      <formula>$I$18</formula>
      <formula>$J$18</formula>
    </cfRule>
    <cfRule type="cellIs" dxfId="41" priority="36" operator="lessThan">
      <formula>$K$18</formula>
    </cfRule>
  </conditionalFormatting>
  <conditionalFormatting sqref="E21">
    <cfRule type="cellIs" dxfId="40" priority="30" operator="lessThan">
      <formula>$I$21</formula>
    </cfRule>
    <cfRule type="cellIs" dxfId="39" priority="28" operator="between">
      <formula>$I$21</formula>
      <formula>$K$21</formula>
    </cfRule>
    <cfRule type="cellIs" dxfId="38" priority="29" operator="greaterThan">
      <formula>$K$21</formula>
    </cfRule>
  </conditionalFormatting>
  <conditionalFormatting sqref="E23">
    <cfRule type="cellIs" dxfId="37" priority="25" operator="between">
      <formula>$I$23</formula>
      <formula>$K$23</formula>
    </cfRule>
    <cfRule type="cellIs" dxfId="36" priority="26" operator="greaterThan">
      <formula>$K$23</formula>
    </cfRule>
    <cfRule type="cellIs" dxfId="35" priority="27" operator="lessThan">
      <formula>$I$23</formula>
    </cfRule>
  </conditionalFormatting>
  <conditionalFormatting sqref="E27">
    <cfRule type="cellIs" dxfId="34" priority="22" operator="between">
      <formula>$I$27</formula>
      <formula>$K$27</formula>
    </cfRule>
    <cfRule type="cellIs" dxfId="33" priority="23" operator="greaterThan">
      <formula>$K$27</formula>
    </cfRule>
    <cfRule type="cellIs" dxfId="32" priority="24" operator="lessThan">
      <formula>$I$27</formula>
    </cfRule>
  </conditionalFormatting>
  <conditionalFormatting sqref="E29">
    <cfRule type="cellIs" dxfId="31" priority="123" operator="between">
      <formula>$I$29</formula>
      <formula>$K$29</formula>
    </cfRule>
    <cfRule type="cellIs" dxfId="30" priority="125" operator="lessThan">
      <formula>$I$29</formula>
    </cfRule>
    <cfRule type="cellIs" dxfId="29" priority="124" operator="greaterThan">
      <formula>$K$29</formula>
    </cfRule>
  </conditionalFormatting>
  <conditionalFormatting sqref="E33">
    <cfRule type="cellIs" dxfId="28" priority="21" operator="greaterThan">
      <formula>$I$33</formula>
    </cfRule>
    <cfRule type="cellIs" dxfId="27" priority="20" operator="lessThan">
      <formula>$K$33</formula>
    </cfRule>
    <cfRule type="cellIs" dxfId="26" priority="19" operator="between">
      <formula>$I$33</formula>
      <formula>$K$33</formula>
    </cfRule>
  </conditionalFormatting>
  <conditionalFormatting sqref="E35">
    <cfRule type="cellIs" dxfId="25" priority="18" operator="greaterThan">
      <formula>$I$35</formula>
    </cfRule>
    <cfRule type="cellIs" dxfId="24" priority="17" operator="lessThan">
      <formula>$K$35</formula>
    </cfRule>
    <cfRule type="cellIs" dxfId="23" priority="16" operator="between">
      <formula>$I$35</formula>
      <formula>$K$35</formula>
    </cfRule>
  </conditionalFormatting>
  <conditionalFormatting sqref="E37">
    <cfRule type="cellIs" dxfId="22" priority="15" operator="greaterThan">
      <formula>$I$37</formula>
    </cfRule>
    <cfRule type="cellIs" dxfId="21" priority="14" operator="lessThan">
      <formula>$K$37</formula>
    </cfRule>
    <cfRule type="cellIs" dxfId="20" priority="13" operator="between">
      <formula>$I$37</formula>
      <formula>$K$37</formula>
    </cfRule>
  </conditionalFormatting>
  <conditionalFormatting sqref="E41">
    <cfRule type="cellIs" dxfId="19" priority="11" operator="lessThan">
      <formula>$K$41</formula>
    </cfRule>
    <cfRule type="cellIs" dxfId="18" priority="10" operator="between">
      <formula>$I$41</formula>
      <formula>$K$41</formula>
    </cfRule>
    <cfRule type="cellIs" dxfId="17" priority="12" operator="greaterThan">
      <formula>$I$41</formula>
    </cfRule>
  </conditionalFormatting>
  <conditionalFormatting sqref="E43">
    <cfRule type="cellIs" dxfId="16" priority="7" operator="between">
      <formula>$I$43</formula>
      <formula>$K$43</formula>
    </cfRule>
    <cfRule type="cellIs" dxfId="15" priority="8" operator="lessThan">
      <formula>$K$43</formula>
    </cfRule>
    <cfRule type="cellIs" dxfId="14" priority="9" operator="greaterThan">
      <formula>$I$43</formula>
    </cfRule>
  </conditionalFormatting>
  <conditionalFormatting sqref="E47">
    <cfRule type="cellIs" dxfId="13" priority="4" operator="between">
      <formula>$I$37</formula>
      <formula>$K$37</formula>
    </cfRule>
    <cfRule type="cellIs" dxfId="12" priority="5" operator="lessThan">
      <formula>$K$37</formula>
    </cfRule>
    <cfRule type="cellIs" dxfId="11" priority="6" operator="greaterThan">
      <formula>$I$37</formula>
    </cfRule>
  </conditionalFormatting>
  <conditionalFormatting sqref="E49">
    <cfRule type="cellIs" dxfId="10" priority="2" operator="lessThan">
      <formula>$K$49</formula>
    </cfRule>
    <cfRule type="cellIs" dxfId="9" priority="3" operator="greaterThan">
      <formula>$I$49</formula>
    </cfRule>
    <cfRule type="cellIs" dxfId="8" priority="1" operator="between">
      <formula>$I$49</formula>
      <formula>$K$49</formula>
    </cfRule>
  </conditionalFormatting>
  <conditionalFormatting sqref="E51">
    <cfRule type="cellIs" dxfId="7" priority="83" operator="greaterThan">
      <formula>$I$43</formula>
    </cfRule>
    <cfRule type="cellIs" dxfId="6" priority="81" operator="between">
      <formula>$I$43</formula>
      <formula>$K$43</formula>
    </cfRule>
    <cfRule type="cellIs" dxfId="5" priority="82" operator="lessThan">
      <formula>$K$43</formula>
    </cfRule>
  </conditionalFormatting>
  <conditionalFormatting sqref="E54">
    <cfRule type="cellIs" dxfId="4" priority="66" operator="lessThan">
      <formula>$C$56</formula>
    </cfRule>
    <cfRule type="cellIs" dxfId="3" priority="65" operator="greaterThan">
      <formula>$C$56</formula>
    </cfRule>
  </conditionalFormatting>
  <conditionalFormatting sqref="E57">
    <cfRule type="cellIs" dxfId="2" priority="71" operator="greaterThan">
      <formula>$I$57</formula>
    </cfRule>
    <cfRule type="cellIs" dxfId="1" priority="70" operator="lessThan">
      <formula>$K$57</formula>
    </cfRule>
    <cfRule type="cellIs" dxfId="0" priority="69" operator="between">
      <formula>$I$57</formula>
      <formula>$K$57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topLeftCell="A4" workbookViewId="0">
      <selection activeCell="A31" sqref="A31"/>
    </sheetView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zoomScale="83" zoomScaleNormal="83" workbookViewId="0">
      <selection activeCell="D7" sqref="D7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293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topLeftCell="A21" zoomScale="99" zoomScaleNormal="99" workbookViewId="0">
      <selection activeCell="C6" sqref="C6"/>
    </sheetView>
  </sheetViews>
  <sheetFormatPr baseColWidth="10" defaultRowHeight="15" x14ac:dyDescent="0.25"/>
  <cols>
    <col min="3" max="3" width="42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293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276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topLeftCell="D7" zoomScale="124" zoomScaleNormal="124" workbookViewId="0">
      <selection activeCell="P30" sqref="P30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185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 t="s">
        <v>110</v>
      </c>
      <c r="D8" s="114" t="s">
        <v>103</v>
      </c>
      <c r="E8" s="116">
        <v>19812878</v>
      </c>
      <c r="J8" s="166" t="s">
        <v>186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 t="s">
        <v>296</v>
      </c>
      <c r="D9" s="114" t="s">
        <v>103</v>
      </c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 t="s">
        <v>93</v>
      </c>
      <c r="D10" s="114" t="s">
        <v>80</v>
      </c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 t="s">
        <v>94</v>
      </c>
      <c r="D12" s="114" t="s">
        <v>80</v>
      </c>
      <c r="E12" s="113">
        <v>5221842</v>
      </c>
      <c r="J12" s="112" t="s">
        <v>105</v>
      </c>
      <c r="K12" s="113">
        <f>E25</f>
        <v>36052</v>
      </c>
      <c r="L12" s="150">
        <f>K12/$K$30</f>
        <v>8.1740796921982411E-4</v>
      </c>
      <c r="M12" s="94"/>
      <c r="N12" s="112" t="s">
        <v>90</v>
      </c>
      <c r="O12" s="113">
        <f>E19</f>
        <v>9697732</v>
      </c>
      <c r="P12" s="150">
        <f>O12/$O$30</f>
        <v>0.21987693942522199</v>
      </c>
      <c r="Q12" s="94"/>
    </row>
    <row r="13" spans="2:17" x14ac:dyDescent="0.25">
      <c r="B13" s="112" t="s">
        <v>28</v>
      </c>
      <c r="C13" s="113" t="s">
        <v>93</v>
      </c>
      <c r="D13" s="114" t="s">
        <v>80</v>
      </c>
      <c r="E13" s="114">
        <f>374870+937109</f>
        <v>1311979</v>
      </c>
      <c r="J13" s="112" t="s">
        <v>85</v>
      </c>
      <c r="K13" s="113">
        <f>E26</f>
        <v>3620179</v>
      </c>
      <c r="L13" s="150">
        <f t="shared" ref="L13:L18" si="0">K13/$K$30</f>
        <v>8.208041619333889E-2</v>
      </c>
      <c r="M13" s="94"/>
      <c r="N13" s="112" t="s">
        <v>28</v>
      </c>
      <c r="O13" s="113">
        <f>E13</f>
        <v>1311979</v>
      </c>
      <c r="P13" s="150">
        <f t="shared" ref="P13:P16" si="1">O13/$O$30</f>
        <v>2.9746535283730599E-2</v>
      </c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>
        <f>E20</f>
        <v>5978717</v>
      </c>
      <c r="L14" s="150">
        <f t="shared" si="0"/>
        <v>0.13555561193581603</v>
      </c>
      <c r="M14" s="94"/>
      <c r="N14" s="112" t="s">
        <v>24</v>
      </c>
      <c r="O14" s="113">
        <f>E23</f>
        <v>2572227</v>
      </c>
      <c r="P14" s="150">
        <f t="shared" si="1"/>
        <v>5.8320172207988477E-2</v>
      </c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>
        <f>E27</f>
        <v>23878437</v>
      </c>
      <c r="L15" s="150">
        <f t="shared" si="0"/>
        <v>0.54139644669681319</v>
      </c>
      <c r="M15" s="94"/>
      <c r="N15" s="112" t="s">
        <v>95</v>
      </c>
      <c r="O15" s="121">
        <f>E10</f>
        <v>900514</v>
      </c>
      <c r="P15" s="150">
        <f t="shared" si="1"/>
        <v>2.0417378231277618E-2</v>
      </c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>
        <f>E12</f>
        <v>5221842</v>
      </c>
      <c r="L16" s="150">
        <f t="shared" si="0"/>
        <v>0.1183949646290576</v>
      </c>
      <c r="M16" s="94"/>
      <c r="N16" s="149" t="s">
        <v>108</v>
      </c>
      <c r="O16" s="156">
        <f>SUM(O12:O15)</f>
        <v>14482452</v>
      </c>
      <c r="P16" s="273">
        <f t="shared" si="1"/>
        <v>0.32836102514821869</v>
      </c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>
        <f>E11</f>
        <v>2221114</v>
      </c>
      <c r="L17" s="150">
        <f t="shared" si="0"/>
        <v>5.0359377680731177E-2</v>
      </c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/>
      <c r="D18" s="114"/>
      <c r="E18" s="116">
        <v>12815697</v>
      </c>
      <c r="J18" s="149" t="s">
        <v>108</v>
      </c>
      <c r="K18" s="156">
        <f>SUM(K12:K17)</f>
        <v>40956341</v>
      </c>
      <c r="L18" s="273">
        <f t="shared" si="0"/>
        <v>0.92860422510497664</v>
      </c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>
        <f>E22</f>
        <v>5678328</v>
      </c>
      <c r="P19" s="150">
        <f t="shared" ref="P19:P22" si="2">O19/$O$30</f>
        <v>0.1287448840298476</v>
      </c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>
        <f>O19</f>
        <v>5678328</v>
      </c>
      <c r="P20" s="150">
        <f t="shared" si="2"/>
        <v>0.1287448840298476</v>
      </c>
    </row>
    <row r="21" spans="2:17" x14ac:dyDescent="0.25">
      <c r="B21" s="112" t="s">
        <v>119</v>
      </c>
      <c r="C21" s="113"/>
      <c r="D21" s="114"/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 t="s">
        <v>93</v>
      </c>
      <c r="D22" s="114" t="s">
        <v>96</v>
      </c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>
        <f>O16+O20</f>
        <v>20160780</v>
      </c>
      <c r="P22" s="273">
        <f t="shared" si="2"/>
        <v>0.45710590917806626</v>
      </c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>
        <f>E17</f>
        <v>1899926</v>
      </c>
      <c r="L23" s="150">
        <f t="shared" ref="L23:L26" si="3">K23/$K$30</f>
        <v>4.3077073486296004E-2</v>
      </c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/>
      <c r="D24" s="122"/>
      <c r="E24" s="123">
        <v>1688874</v>
      </c>
      <c r="J24" s="112" t="s">
        <v>13</v>
      </c>
      <c r="K24" s="113">
        <f>E14</f>
        <v>2604488</v>
      </c>
      <c r="L24" s="150">
        <f t="shared" si="3"/>
        <v>5.9051626731870664E-2</v>
      </c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/>
      <c r="D25" s="114"/>
      <c r="E25" s="113">
        <v>36052</v>
      </c>
      <c r="J25" s="112" t="s">
        <v>41</v>
      </c>
      <c r="K25" s="121">
        <f>E16</f>
        <v>-1355484</v>
      </c>
      <c r="L25" s="150">
        <f t="shared" si="3"/>
        <v>-3.073292532314335E-2</v>
      </c>
      <c r="M25" s="94"/>
      <c r="N25" s="112" t="s">
        <v>33</v>
      </c>
      <c r="O25" s="113">
        <f>E24</f>
        <v>1688874</v>
      </c>
      <c r="P25" s="150">
        <f t="shared" ref="P25:P30" si="4">O25/$O$30</f>
        <v>3.8291885792970187E-2</v>
      </c>
      <c r="Q25" s="94"/>
    </row>
    <row r="26" spans="2:17" x14ac:dyDescent="0.25">
      <c r="B26" s="112" t="s">
        <v>85</v>
      </c>
      <c r="C26" s="113"/>
      <c r="D26" s="114"/>
      <c r="E26" s="113">
        <v>3620179</v>
      </c>
      <c r="J26" s="149" t="s">
        <v>111</v>
      </c>
      <c r="K26" s="156">
        <f>SUM(K23:K25)</f>
        <v>3148930</v>
      </c>
      <c r="L26" s="273">
        <f t="shared" si="3"/>
        <v>7.1395774895023315E-2</v>
      </c>
      <c r="M26" s="94"/>
      <c r="N26" s="112" t="s">
        <v>35</v>
      </c>
      <c r="O26" s="113">
        <f>E8</f>
        <v>19812878</v>
      </c>
      <c r="P26" s="150">
        <f t="shared" si="4"/>
        <v>0.44921791774048958</v>
      </c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>
        <f>E9</f>
        <v>2442739</v>
      </c>
      <c r="P27" s="150">
        <f t="shared" si="4"/>
        <v>5.5384287288473978E-2</v>
      </c>
      <c r="Q27" s="94"/>
    </row>
    <row r="28" spans="2:17" x14ac:dyDescent="0.25">
      <c r="B28" s="112" t="s">
        <v>117</v>
      </c>
      <c r="C28" s="113"/>
      <c r="D28" s="114"/>
      <c r="E28" s="116">
        <v>135233</v>
      </c>
      <c r="N28" s="149" t="s">
        <v>114</v>
      </c>
      <c r="O28" s="156">
        <f>SUM(O25:O27)</f>
        <v>23944491</v>
      </c>
      <c r="P28" s="273">
        <f t="shared" si="4"/>
        <v>0.54289409082193374</v>
      </c>
    </row>
    <row r="30" spans="2:17" ht="15.75" thickBot="1" x14ac:dyDescent="0.3">
      <c r="J30" s="149" t="s">
        <v>116</v>
      </c>
      <c r="K30" s="158">
        <f>K18+K26</f>
        <v>44105271</v>
      </c>
      <c r="L30" s="273">
        <f t="shared" ref="L30" si="5">K30/$K$30</f>
        <v>1</v>
      </c>
      <c r="N30" s="149" t="s">
        <v>115</v>
      </c>
      <c r="O30" s="158">
        <f>O22+O28</f>
        <v>44105271</v>
      </c>
      <c r="P30" s="273">
        <f t="shared" si="4"/>
        <v>1</v>
      </c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11:14" x14ac:dyDescent="0.25">
      <c r="K33" s="151" t="s">
        <v>124</v>
      </c>
      <c r="L33" s="152"/>
      <c r="M33" s="152"/>
      <c r="N33" s="153">
        <f>E28</f>
        <v>135233</v>
      </c>
    </row>
    <row r="34" spans="11:14" x14ac:dyDescent="0.25">
      <c r="K34" s="151" t="s">
        <v>119</v>
      </c>
      <c r="L34" s="152"/>
      <c r="M34" s="152"/>
      <c r="N34" s="153">
        <f>E21</f>
        <v>2296649</v>
      </c>
    </row>
    <row r="35" spans="11:14" x14ac:dyDescent="0.25">
      <c r="K35" s="151" t="s">
        <v>118</v>
      </c>
      <c r="L35" s="152"/>
      <c r="M35" s="152"/>
      <c r="N35" s="153">
        <f>E18</f>
        <v>12815697</v>
      </c>
    </row>
    <row r="36" spans="11:14" x14ac:dyDescent="0.25">
      <c r="K36" s="151" t="s">
        <v>120</v>
      </c>
      <c r="L36" s="152"/>
      <c r="M36" s="152"/>
      <c r="N36" s="153">
        <f>E15</f>
        <v>677134</v>
      </c>
    </row>
    <row r="37" spans="11:14" x14ac:dyDescent="0.25">
      <c r="K37" s="95"/>
      <c r="L37" s="96"/>
      <c r="M37" s="94"/>
    </row>
    <row r="38" spans="11:14" x14ac:dyDescent="0.25">
      <c r="K38" s="95"/>
      <c r="L38" s="96"/>
      <c r="M38" s="94"/>
    </row>
    <row r="39" spans="11:14" x14ac:dyDescent="0.25">
      <c r="K39" s="95"/>
      <c r="L39" s="96"/>
      <c r="M39" s="94"/>
    </row>
    <row r="40" spans="11:14" x14ac:dyDescent="0.25">
      <c r="K40" s="95"/>
      <c r="L40" s="96"/>
      <c r="M40" s="94"/>
    </row>
    <row r="41" spans="11:14" x14ac:dyDescent="0.25">
      <c r="K41" s="95"/>
      <c r="L41" s="96"/>
      <c r="M41" s="94"/>
    </row>
    <row r="42" spans="11:14" x14ac:dyDescent="0.25">
      <c r="K42" s="95"/>
      <c r="L42" s="96"/>
      <c r="M42" s="94"/>
    </row>
    <row r="80" spans="10:16" x14ac:dyDescent="0.25">
      <c r="J80" s="160" t="s">
        <v>104</v>
      </c>
      <c r="K80" s="161"/>
      <c r="L80" s="162"/>
      <c r="M80" s="163"/>
      <c r="N80" s="164"/>
      <c r="O80" s="164"/>
      <c r="P80" s="165"/>
    </row>
    <row r="81" spans="2:16" x14ac:dyDescent="0.25">
      <c r="J81" s="166" t="s">
        <v>186</v>
      </c>
      <c r="K81" s="167"/>
      <c r="L81" s="168"/>
      <c r="M81" s="169"/>
      <c r="N81" s="170"/>
      <c r="O81" s="170"/>
      <c r="P81" s="171"/>
    </row>
    <row r="82" spans="2:16" x14ac:dyDescent="0.25">
      <c r="B82" s="110" t="s">
        <v>83</v>
      </c>
      <c r="C82" s="111" t="s">
        <v>92</v>
      </c>
      <c r="D82" s="111" t="s">
        <v>91</v>
      </c>
      <c r="E82" s="111" t="s">
        <v>84</v>
      </c>
      <c r="K82" s="95"/>
      <c r="L82" s="96"/>
      <c r="M82" s="94"/>
    </row>
    <row r="83" spans="2:16" x14ac:dyDescent="0.25">
      <c r="B83" s="112" t="s">
        <v>99</v>
      </c>
      <c r="C83" s="113" t="s">
        <v>94</v>
      </c>
      <c r="D83" s="114" t="s">
        <v>80</v>
      </c>
      <c r="E83" s="113">
        <v>23878437</v>
      </c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2:16" x14ac:dyDescent="0.25">
      <c r="B84" s="112" t="s">
        <v>87</v>
      </c>
      <c r="C84" s="113" t="s">
        <v>94</v>
      </c>
      <c r="D84" s="114" t="s">
        <v>80</v>
      </c>
      <c r="E84" s="113">
        <v>5978717</v>
      </c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2:16" x14ac:dyDescent="0.25">
      <c r="B85" s="112" t="s">
        <v>100</v>
      </c>
      <c r="C85" s="113" t="s">
        <v>94</v>
      </c>
      <c r="D85" s="114" t="s">
        <v>80</v>
      </c>
      <c r="E85" s="113">
        <v>5221842</v>
      </c>
      <c r="J85" s="112" t="s">
        <v>105</v>
      </c>
      <c r="K85" s="113">
        <f>E88</f>
        <v>36052</v>
      </c>
      <c r="L85" s="150">
        <f t="shared" ref="L85:L91" si="6">K85/K$103</f>
        <v>8.1740796921982411E-4</v>
      </c>
      <c r="M85" s="94"/>
      <c r="N85" s="112" t="s">
        <v>90</v>
      </c>
      <c r="O85" s="113">
        <f>E95</f>
        <v>9697732</v>
      </c>
      <c r="P85" s="150">
        <f>O85/O$103</f>
        <v>0.21987693942522199</v>
      </c>
    </row>
    <row r="86" spans="2:16" x14ac:dyDescent="0.25">
      <c r="B86" s="112" t="s">
        <v>85</v>
      </c>
      <c r="C86" s="113" t="s">
        <v>94</v>
      </c>
      <c r="D86" s="114" t="s">
        <v>80</v>
      </c>
      <c r="E86" s="113">
        <v>3620179</v>
      </c>
      <c r="J86" s="112" t="s">
        <v>85</v>
      </c>
      <c r="K86" s="113">
        <f>E86</f>
        <v>3620179</v>
      </c>
      <c r="L86" s="150">
        <f t="shared" si="6"/>
        <v>8.208041619333889E-2</v>
      </c>
      <c r="M86" s="94"/>
      <c r="N86" s="112" t="s">
        <v>28</v>
      </c>
      <c r="O86" s="113">
        <f>E97</f>
        <v>1311979</v>
      </c>
      <c r="P86" s="150">
        <f>O86/O$103</f>
        <v>2.9746535283730599E-2</v>
      </c>
    </row>
    <row r="87" spans="2:16" x14ac:dyDescent="0.25">
      <c r="B87" s="112" t="s">
        <v>88</v>
      </c>
      <c r="C87" s="113" t="s">
        <v>94</v>
      </c>
      <c r="D87" s="114" t="s">
        <v>80</v>
      </c>
      <c r="E87" s="113">
        <v>2221114</v>
      </c>
      <c r="J87" s="112" t="s">
        <v>87</v>
      </c>
      <c r="K87" s="113">
        <f>E84</f>
        <v>5978717</v>
      </c>
      <c r="L87" s="150">
        <f t="shared" si="6"/>
        <v>0.13555561193581603</v>
      </c>
      <c r="M87" s="94"/>
      <c r="N87" s="112" t="s">
        <v>24</v>
      </c>
      <c r="O87" s="113">
        <f>E96</f>
        <v>2572227</v>
      </c>
      <c r="P87" s="150">
        <f>O87/O$103</f>
        <v>5.8320172207988477E-2</v>
      </c>
    </row>
    <row r="88" spans="2:16" x14ac:dyDescent="0.25">
      <c r="B88" s="112" t="s">
        <v>86</v>
      </c>
      <c r="C88" s="113" t="s">
        <v>94</v>
      </c>
      <c r="D88" s="114" t="s">
        <v>80</v>
      </c>
      <c r="E88" s="113">
        <v>36052</v>
      </c>
      <c r="J88" s="112" t="s">
        <v>106</v>
      </c>
      <c r="K88" s="113">
        <f>E83</f>
        <v>23878437</v>
      </c>
      <c r="L88" s="150">
        <f t="shared" si="6"/>
        <v>0.54139644669681319</v>
      </c>
      <c r="M88" s="94"/>
      <c r="N88" s="112" t="s">
        <v>95</v>
      </c>
      <c r="O88" s="121">
        <f>E98</f>
        <v>900514</v>
      </c>
      <c r="P88" s="150">
        <f>O88/O$103</f>
        <v>2.0417378231277618E-2</v>
      </c>
    </row>
    <row r="89" spans="2:16" x14ac:dyDescent="0.25">
      <c r="B89" s="112" t="s">
        <v>13</v>
      </c>
      <c r="C89" s="113" t="s">
        <v>94</v>
      </c>
      <c r="D89" s="114" t="s">
        <v>96</v>
      </c>
      <c r="E89" s="113">
        <v>2604488</v>
      </c>
      <c r="J89" s="112" t="s">
        <v>107</v>
      </c>
      <c r="K89" s="113">
        <f>E85</f>
        <v>5221842</v>
      </c>
      <c r="L89" s="150">
        <f t="shared" si="6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2:16" x14ac:dyDescent="0.25">
      <c r="B90" s="112" t="s">
        <v>15</v>
      </c>
      <c r="C90" s="113" t="s">
        <v>94</v>
      </c>
      <c r="D90" s="114" t="s">
        <v>96</v>
      </c>
      <c r="E90" s="113">
        <v>1899926</v>
      </c>
      <c r="J90" s="112" t="s">
        <v>88</v>
      </c>
      <c r="K90" s="121">
        <f>E87</f>
        <v>2221114</v>
      </c>
      <c r="L90" s="150">
        <f t="shared" si="6"/>
        <v>5.0359377680731177E-2</v>
      </c>
      <c r="M90" s="94"/>
      <c r="N90" s="94"/>
      <c r="O90" s="94"/>
      <c r="P90" s="94"/>
    </row>
    <row r="91" spans="2:16" x14ac:dyDescent="0.25">
      <c r="B91" s="112" t="s">
        <v>89</v>
      </c>
      <c r="C91" s="113" t="s">
        <v>94</v>
      </c>
      <c r="D91" s="114" t="s">
        <v>96</v>
      </c>
      <c r="E91" s="113">
        <v>-1355484</v>
      </c>
      <c r="J91" s="149" t="s">
        <v>108</v>
      </c>
      <c r="K91" s="156">
        <f>SUM(K85:K90)</f>
        <v>40956341</v>
      </c>
      <c r="L91" s="157">
        <f t="shared" si="6"/>
        <v>0.92860422510497664</v>
      </c>
      <c r="M91" s="94"/>
      <c r="N91" s="149" t="s">
        <v>109</v>
      </c>
      <c r="O91" s="113"/>
      <c r="P91" s="114"/>
    </row>
    <row r="92" spans="2:16" x14ac:dyDescent="0.25">
      <c r="B92" s="112" t="s">
        <v>35</v>
      </c>
      <c r="C92" s="113" t="s">
        <v>110</v>
      </c>
      <c r="D92" s="114" t="s">
        <v>103</v>
      </c>
      <c r="E92" s="116">
        <v>19812878</v>
      </c>
      <c r="M92" s="94"/>
      <c r="N92" s="112" t="s">
        <v>24</v>
      </c>
      <c r="O92" s="121">
        <f>E99</f>
        <v>5678328</v>
      </c>
      <c r="P92" s="150">
        <f>O92/O$103</f>
        <v>0.1287448840298476</v>
      </c>
    </row>
    <row r="93" spans="2:16" x14ac:dyDescent="0.25">
      <c r="B93" s="112" t="s">
        <v>34</v>
      </c>
      <c r="C93" s="113" t="s">
        <v>110</v>
      </c>
      <c r="D93" s="114" t="s">
        <v>103</v>
      </c>
      <c r="E93" s="116">
        <v>2442739</v>
      </c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2:16" x14ac:dyDescent="0.25">
      <c r="B94" s="112" t="s">
        <v>98</v>
      </c>
      <c r="C94" s="113" t="s">
        <v>110</v>
      </c>
      <c r="D94" s="114" t="s">
        <v>103</v>
      </c>
      <c r="E94" s="116">
        <v>1688874</v>
      </c>
      <c r="M94" s="94"/>
      <c r="N94" s="94"/>
      <c r="O94" s="94"/>
      <c r="P94" s="94"/>
    </row>
    <row r="95" spans="2:16" ht="15.75" thickBot="1" x14ac:dyDescent="0.3">
      <c r="B95" s="112" t="s">
        <v>90</v>
      </c>
      <c r="C95" s="113" t="s">
        <v>93</v>
      </c>
      <c r="D95" s="114" t="s">
        <v>80</v>
      </c>
      <c r="E95" s="115">
        <v>9697732</v>
      </c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2:16" ht="15.75" thickTop="1" x14ac:dyDescent="0.25">
      <c r="B96" s="112" t="s">
        <v>101</v>
      </c>
      <c r="C96" s="113" t="s">
        <v>93</v>
      </c>
      <c r="D96" s="114" t="s">
        <v>80</v>
      </c>
      <c r="E96" s="114">
        <v>2572227</v>
      </c>
      <c r="J96" s="112" t="s">
        <v>15</v>
      </c>
      <c r="K96" s="113">
        <f>E90</f>
        <v>1899926</v>
      </c>
      <c r="L96" s="150">
        <f>K96/K$103</f>
        <v>4.3077073486296004E-2</v>
      </c>
      <c r="M96" s="94"/>
      <c r="N96" s="94"/>
      <c r="O96" s="94"/>
      <c r="P96" s="94"/>
    </row>
    <row r="97" spans="2:16" x14ac:dyDescent="0.25">
      <c r="B97" s="112" t="s">
        <v>28</v>
      </c>
      <c r="C97" s="113" t="s">
        <v>93</v>
      </c>
      <c r="D97" s="114" t="s">
        <v>80</v>
      </c>
      <c r="E97" s="114">
        <f>374870+937109</f>
        <v>1311979</v>
      </c>
      <c r="J97" s="112" t="s">
        <v>13</v>
      </c>
      <c r="K97" s="113">
        <f>E89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2:16" x14ac:dyDescent="0.25">
      <c r="B98" s="112" t="s">
        <v>95</v>
      </c>
      <c r="C98" s="113" t="s">
        <v>93</v>
      </c>
      <c r="D98" s="114" t="s">
        <v>80</v>
      </c>
      <c r="E98" s="116">
        <v>900514</v>
      </c>
      <c r="J98" s="112" t="s">
        <v>41</v>
      </c>
      <c r="K98" s="121">
        <f>E91</f>
        <v>-1355484</v>
      </c>
      <c r="L98" s="150">
        <f>K98/K$103</f>
        <v>-3.073292532314335E-2</v>
      </c>
      <c r="M98" s="94"/>
      <c r="N98" s="112" t="s">
        <v>103</v>
      </c>
      <c r="O98" s="113">
        <f>E94</f>
        <v>1688874</v>
      </c>
      <c r="P98" s="150">
        <f>O98/O$103</f>
        <v>3.8291885792970187E-2</v>
      </c>
    </row>
    <row r="99" spans="2:16" x14ac:dyDescent="0.25">
      <c r="B99" s="112" t="s">
        <v>102</v>
      </c>
      <c r="C99" s="113" t="s">
        <v>93</v>
      </c>
      <c r="D99" s="114" t="s">
        <v>96</v>
      </c>
      <c r="E99" s="116">
        <v>5678328</v>
      </c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E92</f>
        <v>19812878</v>
      </c>
      <c r="P99" s="150">
        <f>O99/O$103</f>
        <v>0.44921791774048958</v>
      </c>
    </row>
    <row r="100" spans="2:16" x14ac:dyDescent="0.25">
      <c r="B100" s="112" t="s">
        <v>117</v>
      </c>
      <c r="C100" s="113" t="s">
        <v>121</v>
      </c>
      <c r="D100" s="114" t="s">
        <v>122</v>
      </c>
      <c r="E100" s="116">
        <v>135233</v>
      </c>
      <c r="M100" s="94"/>
      <c r="N100" s="112" t="s">
        <v>34</v>
      </c>
      <c r="O100" s="121">
        <f>E93</f>
        <v>2442739</v>
      </c>
      <c r="P100" s="154">
        <f>O100/O$103</f>
        <v>5.5384287288473978E-2</v>
      </c>
    </row>
    <row r="101" spans="2:16" x14ac:dyDescent="0.25">
      <c r="B101" s="112" t="s">
        <v>118</v>
      </c>
      <c r="C101" s="113" t="s">
        <v>121</v>
      </c>
      <c r="D101" s="114" t="s">
        <v>122</v>
      </c>
      <c r="E101" s="116">
        <v>12815697</v>
      </c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2" spans="2:16" x14ac:dyDescent="0.25">
      <c r="B102" s="112" t="s">
        <v>119</v>
      </c>
      <c r="C102" s="113" t="s">
        <v>121</v>
      </c>
      <c r="D102" s="114" t="s">
        <v>122</v>
      </c>
      <c r="E102" s="116">
        <v>2296649</v>
      </c>
    </row>
    <row r="103" spans="2:16" ht="15.75" thickBot="1" x14ac:dyDescent="0.3">
      <c r="B103" s="112" t="s">
        <v>120</v>
      </c>
      <c r="C103" s="113" t="s">
        <v>121</v>
      </c>
      <c r="D103" s="114" t="s">
        <v>122</v>
      </c>
      <c r="E103" s="116">
        <v>677134</v>
      </c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2:16" ht="15.75" thickTop="1" x14ac:dyDescent="0.25">
      <c r="O104" s="95"/>
      <c r="P104" s="96"/>
    </row>
    <row r="105" spans="2:16" x14ac:dyDescent="0.25">
      <c r="J105" s="124"/>
      <c r="K105" s="172" t="s">
        <v>123</v>
      </c>
      <c r="L105" s="175"/>
      <c r="M105" s="175"/>
      <c r="N105" s="176"/>
    </row>
    <row r="106" spans="2:16" x14ac:dyDescent="0.25">
      <c r="K106" s="151" t="s">
        <v>124</v>
      </c>
      <c r="L106" s="152"/>
      <c r="M106" s="152"/>
      <c r="N106" s="153">
        <f>E100</f>
        <v>135233</v>
      </c>
    </row>
    <row r="107" spans="2:16" x14ac:dyDescent="0.25">
      <c r="K107" s="151" t="s">
        <v>119</v>
      </c>
      <c r="L107" s="152"/>
      <c r="M107" s="152"/>
      <c r="N107" s="153">
        <f>E102</f>
        <v>2296649</v>
      </c>
    </row>
    <row r="108" spans="2:16" x14ac:dyDescent="0.25">
      <c r="K108" s="151" t="s">
        <v>118</v>
      </c>
      <c r="L108" s="152"/>
      <c r="M108" s="152"/>
      <c r="N108" s="153">
        <f>E101</f>
        <v>12815697</v>
      </c>
    </row>
    <row r="109" spans="2:16" x14ac:dyDescent="0.25">
      <c r="K109" s="151" t="s">
        <v>120</v>
      </c>
      <c r="L109" s="152"/>
      <c r="M109" s="152"/>
      <c r="N109" s="153">
        <f>E103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5" zoomScaleNormal="100" workbookViewId="0">
      <selection activeCell="L38" sqref="L38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37.28515625" bestFit="1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188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 t="s">
        <v>158</v>
      </c>
      <c r="D8" s="96"/>
      <c r="E8" s="116">
        <v>9961805</v>
      </c>
      <c r="J8" s="166" t="s">
        <v>187</v>
      </c>
      <c r="K8" s="167"/>
      <c r="L8" s="178"/>
    </row>
    <row r="9" spans="2:12" x14ac:dyDescent="0.25">
      <c r="B9" s="112" t="s">
        <v>145</v>
      </c>
      <c r="C9" s="113" t="s">
        <v>294</v>
      </c>
      <c r="D9" s="96"/>
      <c r="E9" s="116">
        <v>9722310</v>
      </c>
    </row>
    <row r="10" spans="2:12" x14ac:dyDescent="0.25">
      <c r="B10" s="112" t="s">
        <v>146</v>
      </c>
      <c r="C10" s="113" t="s">
        <v>294</v>
      </c>
      <c r="D10" s="96"/>
      <c r="E10" s="113">
        <v>5883890</v>
      </c>
      <c r="J10" s="112" t="s">
        <v>127</v>
      </c>
      <c r="K10" s="116">
        <f>E9+E10+E12</f>
        <v>18072928</v>
      </c>
      <c r="L10" s="179">
        <f>K10/$K$10</f>
        <v>1</v>
      </c>
    </row>
    <row r="11" spans="2:12" x14ac:dyDescent="0.25">
      <c r="B11" s="112" t="s">
        <v>53</v>
      </c>
      <c r="C11" s="113" t="s">
        <v>170</v>
      </c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 t="s">
        <v>294</v>
      </c>
      <c r="D12" s="96"/>
      <c r="E12" s="114">
        <v>2466728</v>
      </c>
      <c r="J12" s="112" t="s">
        <v>129</v>
      </c>
      <c r="K12" s="116">
        <f>E8</f>
        <v>9961805</v>
      </c>
      <c r="L12" s="179">
        <f>K12/$K$10</f>
        <v>0.55120039210027283</v>
      </c>
    </row>
    <row r="13" spans="2:12" x14ac:dyDescent="0.25">
      <c r="B13" s="112" t="s">
        <v>52</v>
      </c>
      <c r="C13" s="113" t="s">
        <v>170</v>
      </c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 t="s">
        <v>295</v>
      </c>
      <c r="D14" s="96"/>
      <c r="E14" s="113">
        <v>939612</v>
      </c>
      <c r="J14" s="149" t="s">
        <v>131</v>
      </c>
      <c r="K14" s="184">
        <f>K10-K12</f>
        <v>8111123</v>
      </c>
      <c r="L14" s="179">
        <f>K14/$K$10</f>
        <v>0.44879960789972717</v>
      </c>
    </row>
    <row r="15" spans="2:12" x14ac:dyDescent="0.25">
      <c r="B15" s="112" t="s">
        <v>148</v>
      </c>
      <c r="C15" s="113" t="s">
        <v>162</v>
      </c>
      <c r="D15" s="96"/>
      <c r="E15" s="116">
        <v>322963</v>
      </c>
    </row>
    <row r="16" spans="2:12" x14ac:dyDescent="0.25">
      <c r="B16" s="112" t="s">
        <v>153</v>
      </c>
      <c r="C16" s="113" t="s">
        <v>57</v>
      </c>
      <c r="D16" s="96"/>
      <c r="E16" s="116">
        <v>297654</v>
      </c>
      <c r="J16" s="112" t="s">
        <v>165</v>
      </c>
      <c r="K16" s="116">
        <f>E13</f>
        <v>1435863</v>
      </c>
      <c r="L16" s="179">
        <f>K16/$K$10</f>
        <v>7.9448277556353905E-2</v>
      </c>
    </row>
    <row r="17" spans="2:12" x14ac:dyDescent="0.25">
      <c r="B17" s="112" t="s">
        <v>27</v>
      </c>
      <c r="C17" s="113" t="s">
        <v>170</v>
      </c>
      <c r="D17" s="96"/>
      <c r="E17" s="115">
        <v>313204</v>
      </c>
      <c r="J17" s="112" t="s">
        <v>166</v>
      </c>
      <c r="K17" s="114">
        <f>E11</f>
        <v>2358710</v>
      </c>
      <c r="L17" s="179">
        <f t="shared" ref="L17:L38" si="0">K17/$K$10</f>
        <v>0.1305106732013761</v>
      </c>
    </row>
    <row r="18" spans="2:12" x14ac:dyDescent="0.25">
      <c r="B18" s="112" t="s">
        <v>149</v>
      </c>
      <c r="C18" s="113" t="s">
        <v>162</v>
      </c>
      <c r="D18" s="96"/>
      <c r="E18" s="113">
        <v>102534</v>
      </c>
      <c r="G18" s="96"/>
      <c r="J18" s="112" t="s">
        <v>153</v>
      </c>
      <c r="K18" s="116">
        <f>E16</f>
        <v>297654</v>
      </c>
      <c r="L18" s="179">
        <f t="shared" si="0"/>
        <v>1.6469605810414338E-2</v>
      </c>
    </row>
    <row r="19" spans="2:12" x14ac:dyDescent="0.25">
      <c r="B19" s="112" t="s">
        <v>155</v>
      </c>
      <c r="C19" s="113" t="s">
        <v>163</v>
      </c>
      <c r="D19" s="96"/>
      <c r="E19" s="116">
        <v>100633</v>
      </c>
      <c r="J19" s="112" t="s">
        <v>27</v>
      </c>
      <c r="K19" s="123">
        <f>E17</f>
        <v>313204</v>
      </c>
      <c r="L19" s="179">
        <f t="shared" si="0"/>
        <v>1.7330008729078101E-2</v>
      </c>
    </row>
    <row r="20" spans="2:12" x14ac:dyDescent="0.25">
      <c r="B20" s="112" t="s">
        <v>150</v>
      </c>
      <c r="C20" s="113" t="s">
        <v>162</v>
      </c>
      <c r="D20" s="96"/>
      <c r="E20" s="113">
        <v>59830</v>
      </c>
      <c r="J20" s="149" t="s">
        <v>142</v>
      </c>
      <c r="K20" s="184">
        <f>SUM(K16:K19)</f>
        <v>4405431</v>
      </c>
      <c r="L20" s="179">
        <f t="shared" si="0"/>
        <v>0.24375856529722245</v>
      </c>
    </row>
    <row r="21" spans="2:12" x14ac:dyDescent="0.25">
      <c r="B21" s="112" t="s">
        <v>151</v>
      </c>
      <c r="C21" s="113" t="s">
        <v>162</v>
      </c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>
        <f>K14-K20</f>
        <v>3705692</v>
      </c>
      <c r="L22" s="179">
        <f t="shared" si="0"/>
        <v>0.20504104260250469</v>
      </c>
    </row>
    <row r="23" spans="2:12" x14ac:dyDescent="0.25">
      <c r="B23" s="112" t="s">
        <v>297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>
        <f>E18+E21-E15-E20</f>
        <v>-232359</v>
      </c>
      <c r="L24" s="179">
        <f t="shared" si="0"/>
        <v>-1.2856743522687635E-2</v>
      </c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>
        <f>K22+K24</f>
        <v>3473333</v>
      </c>
      <c r="L26" s="179">
        <f t="shared" si="0"/>
        <v>0.19218429907981707</v>
      </c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>
        <f>E14</f>
        <v>939612</v>
      </c>
      <c r="L28" s="179">
        <f t="shared" si="0"/>
        <v>5.1990026187234299E-2</v>
      </c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D30" s="96"/>
      <c r="E30" s="94"/>
      <c r="J30" s="149" t="s">
        <v>136</v>
      </c>
      <c r="K30" s="184">
        <f>K26-K28</f>
        <v>2533721</v>
      </c>
      <c r="L30" s="179">
        <f t="shared" si="0"/>
        <v>0.14019427289258277</v>
      </c>
    </row>
    <row r="31" spans="2:12" x14ac:dyDescent="0.25">
      <c r="D31" s="96"/>
      <c r="E31" s="94"/>
      <c r="J31" s="112"/>
      <c r="K31" s="186"/>
      <c r="L31" s="186"/>
    </row>
    <row r="32" spans="2:12" x14ac:dyDescent="0.25">
      <c r="D32" s="96"/>
      <c r="E32" s="94"/>
      <c r="J32" s="183" t="s">
        <v>167</v>
      </c>
      <c r="K32" s="114">
        <f>-E19</f>
        <v>-100633</v>
      </c>
      <c r="L32" s="179">
        <f t="shared" si="0"/>
        <v>-5.5681625025009781E-3</v>
      </c>
    </row>
    <row r="33" spans="4:12" x14ac:dyDescent="0.25">
      <c r="D33" s="96"/>
      <c r="E33" s="94"/>
      <c r="J33" s="112"/>
      <c r="K33" s="120"/>
      <c r="L33" s="120"/>
    </row>
    <row r="34" spans="4:12" x14ac:dyDescent="0.25">
      <c r="D34" s="96"/>
      <c r="E34" s="94"/>
      <c r="J34" s="149" t="s">
        <v>138</v>
      </c>
      <c r="K34" s="184">
        <f>K30+K32</f>
        <v>2433088</v>
      </c>
      <c r="L34" s="179">
        <f t="shared" si="0"/>
        <v>0.13462611039008179</v>
      </c>
    </row>
    <row r="35" spans="4:12" x14ac:dyDescent="0.25">
      <c r="D35" s="96"/>
      <c r="E35" s="94"/>
      <c r="J35" s="124"/>
    </row>
    <row r="36" spans="4:12" x14ac:dyDescent="0.25">
      <c r="D36" s="96"/>
      <c r="E36" s="94"/>
      <c r="J36" s="112" t="s">
        <v>168</v>
      </c>
      <c r="K36" s="114">
        <f>E23</f>
        <v>9651</v>
      </c>
      <c r="L36" s="179">
        <f t="shared" si="0"/>
        <v>5.3400312334559179E-4</v>
      </c>
    </row>
    <row r="37" spans="4:12" x14ac:dyDescent="0.25">
      <c r="D37" s="96"/>
      <c r="E37" s="94"/>
      <c r="J37" s="112"/>
      <c r="K37" s="120"/>
      <c r="L37" s="120"/>
    </row>
    <row r="38" spans="4:12" ht="15.75" thickBot="1" x14ac:dyDescent="0.3">
      <c r="D38" s="96"/>
      <c r="E38" s="94"/>
      <c r="J38" s="149" t="s">
        <v>140</v>
      </c>
      <c r="K38" s="187">
        <f>K34+K36</f>
        <v>2442739</v>
      </c>
      <c r="L38" s="179">
        <f t="shared" si="0"/>
        <v>0.13516011351342738</v>
      </c>
    </row>
    <row r="39" spans="4:12" ht="15.75" thickTop="1" x14ac:dyDescent="0.25">
      <c r="D39" s="96"/>
      <c r="E39" s="94"/>
      <c r="J39" s="112"/>
      <c r="K39" s="188"/>
      <c r="L39" s="186"/>
    </row>
    <row r="40" spans="4:12" ht="15.75" thickBot="1" x14ac:dyDescent="0.3">
      <c r="D40" s="96"/>
      <c r="E40" s="94"/>
      <c r="J40" s="149" t="s">
        <v>141</v>
      </c>
      <c r="K40" s="187">
        <f>K38/E25</f>
        <v>2442.739</v>
      </c>
      <c r="L40" s="112"/>
    </row>
    <row r="41" spans="4:12" ht="15.75" thickTop="1" x14ac:dyDescent="0.25">
      <c r="D41" s="96"/>
      <c r="E41" s="94"/>
    </row>
    <row r="42" spans="4:12" x14ac:dyDescent="0.25">
      <c r="D42" s="96"/>
      <c r="E42" s="94"/>
    </row>
    <row r="43" spans="4:12" x14ac:dyDescent="0.25">
      <c r="D43" s="96"/>
      <c r="E43" s="94"/>
    </row>
    <row r="44" spans="4:12" x14ac:dyDescent="0.25">
      <c r="D44" s="96"/>
      <c r="E44" s="94"/>
    </row>
    <row r="45" spans="4:12" x14ac:dyDescent="0.25">
      <c r="D45" s="96"/>
      <c r="E45" s="94"/>
    </row>
    <row r="46" spans="4:12" x14ac:dyDescent="0.25">
      <c r="D46" s="96"/>
      <c r="E46" s="94"/>
    </row>
    <row r="47" spans="4:12" x14ac:dyDescent="0.25">
      <c r="D47" s="96"/>
      <c r="E47" s="94"/>
    </row>
    <row r="48" spans="4:12" x14ac:dyDescent="0.25">
      <c r="D48" s="96"/>
      <c r="E48" s="94"/>
    </row>
    <row r="49" spans="4:5" x14ac:dyDescent="0.25">
      <c r="D49" s="96"/>
      <c r="E49" s="94"/>
    </row>
    <row r="50" spans="4:5" x14ac:dyDescent="0.25">
      <c r="D50" s="96"/>
      <c r="E50" s="94"/>
    </row>
    <row r="51" spans="4:5" x14ac:dyDescent="0.25">
      <c r="D51" s="96"/>
      <c r="E51" s="94"/>
    </row>
    <row r="52" spans="4:5" x14ac:dyDescent="0.25">
      <c r="D52" s="96"/>
      <c r="E52" s="94"/>
    </row>
    <row r="53" spans="4:5" x14ac:dyDescent="0.25">
      <c r="D53" s="96"/>
      <c r="E53" s="94"/>
    </row>
    <row r="54" spans="4:5" x14ac:dyDescent="0.25">
      <c r="D54" s="96"/>
      <c r="E54" s="94"/>
    </row>
    <row r="55" spans="4:5" x14ac:dyDescent="0.25">
      <c r="D55" s="96"/>
      <c r="E55" s="94"/>
    </row>
    <row r="56" spans="4:5" x14ac:dyDescent="0.25">
      <c r="D56" s="96"/>
      <c r="E56" s="94"/>
    </row>
    <row r="57" spans="4:5" x14ac:dyDescent="0.25">
      <c r="D57" s="96"/>
      <c r="E57" s="94"/>
    </row>
    <row r="58" spans="4:5" x14ac:dyDescent="0.25">
      <c r="D58" s="96"/>
      <c r="E58" s="94"/>
    </row>
    <row r="59" spans="4:5" x14ac:dyDescent="0.25">
      <c r="D59" s="96"/>
      <c r="E59" s="94"/>
    </row>
    <row r="60" spans="4:5" x14ac:dyDescent="0.25">
      <c r="D60" s="96"/>
      <c r="E60" s="94"/>
    </row>
    <row r="61" spans="4:5" x14ac:dyDescent="0.25">
      <c r="D61" s="96"/>
      <c r="E61" s="94"/>
    </row>
    <row r="62" spans="4:5" x14ac:dyDescent="0.25">
      <c r="D62" s="96"/>
      <c r="E62" s="94"/>
    </row>
    <row r="63" spans="4:5" x14ac:dyDescent="0.25">
      <c r="D63" s="96"/>
      <c r="E63" s="94"/>
    </row>
    <row r="64" spans="4:5" x14ac:dyDescent="0.25">
      <c r="D64" s="96"/>
      <c r="E64" s="94"/>
    </row>
    <row r="65" spans="2:5" x14ac:dyDescent="0.25">
      <c r="D65" s="96"/>
      <c r="E65" s="94"/>
    </row>
    <row r="66" spans="2:5" x14ac:dyDescent="0.25">
      <c r="D66" s="96"/>
      <c r="E66" s="94"/>
    </row>
    <row r="67" spans="2:5" x14ac:dyDescent="0.25">
      <c r="D67" s="96"/>
      <c r="E67" s="94"/>
    </row>
    <row r="68" spans="2:5" x14ac:dyDescent="0.25">
      <c r="D68" s="96"/>
      <c r="E68" s="94"/>
    </row>
    <row r="69" spans="2:5" x14ac:dyDescent="0.25">
      <c r="D69" s="96"/>
      <c r="E69" s="94"/>
    </row>
    <row r="74" spans="2:5" x14ac:dyDescent="0.25">
      <c r="B74" s="110" t="s">
        <v>83</v>
      </c>
      <c r="C74" s="111" t="s">
        <v>92</v>
      </c>
      <c r="D74" s="96"/>
      <c r="E74" s="111" t="s">
        <v>84</v>
      </c>
    </row>
    <row r="75" spans="2:5" x14ac:dyDescent="0.25">
      <c r="B75" s="112" t="s">
        <v>50</v>
      </c>
      <c r="C75" s="113" t="s">
        <v>158</v>
      </c>
      <c r="D75" s="96"/>
      <c r="E75" s="116">
        <v>9961805</v>
      </c>
    </row>
    <row r="76" spans="2:5" x14ac:dyDescent="0.25">
      <c r="B76" s="112" t="s">
        <v>155</v>
      </c>
      <c r="C76" s="113" t="s">
        <v>163</v>
      </c>
      <c r="D76" s="96"/>
      <c r="E76" s="116">
        <v>100633</v>
      </c>
    </row>
    <row r="77" spans="2:5" x14ac:dyDescent="0.25">
      <c r="B77" s="112" t="s">
        <v>52</v>
      </c>
      <c r="C77" s="113" t="s">
        <v>160</v>
      </c>
      <c r="D77" s="96"/>
      <c r="E77" s="116">
        <v>1435863</v>
      </c>
    </row>
    <row r="78" spans="2:5" x14ac:dyDescent="0.25">
      <c r="B78" s="112" t="s">
        <v>53</v>
      </c>
      <c r="C78" s="113" t="s">
        <v>160</v>
      </c>
      <c r="D78" s="96"/>
      <c r="E78" s="113">
        <v>2358710</v>
      </c>
    </row>
    <row r="79" spans="2:5" x14ac:dyDescent="0.25">
      <c r="B79" s="112" t="s">
        <v>27</v>
      </c>
      <c r="C79" s="113" t="s">
        <v>160</v>
      </c>
      <c r="D79" s="96"/>
      <c r="E79" s="115">
        <v>313204</v>
      </c>
    </row>
    <row r="80" spans="2:5" x14ac:dyDescent="0.25">
      <c r="B80" s="112" t="s">
        <v>153</v>
      </c>
      <c r="C80" s="113" t="s">
        <v>160</v>
      </c>
      <c r="D80" s="96"/>
      <c r="E80" s="116">
        <v>297654</v>
      </c>
    </row>
    <row r="81" spans="2:5" ht="7.15" customHeight="1" x14ac:dyDescent="0.25">
      <c r="B81" s="112" t="s">
        <v>152</v>
      </c>
      <c r="C81" s="113" t="s">
        <v>159</v>
      </c>
      <c r="D81" s="96"/>
      <c r="E81" s="113">
        <v>939612</v>
      </c>
    </row>
    <row r="82" spans="2:5" x14ac:dyDescent="0.25">
      <c r="B82" s="112" t="s">
        <v>145</v>
      </c>
      <c r="C82" s="113" t="s">
        <v>161</v>
      </c>
      <c r="D82" s="96"/>
      <c r="E82" s="116">
        <f>E9</f>
        <v>9722310</v>
      </c>
    </row>
    <row r="83" spans="2:5" ht="7.15" customHeight="1" x14ac:dyDescent="0.25">
      <c r="B83" s="112" t="s">
        <v>146</v>
      </c>
      <c r="C83" s="113" t="s">
        <v>161</v>
      </c>
      <c r="D83" s="96"/>
      <c r="E83" s="113">
        <f>E10</f>
        <v>5883890</v>
      </c>
    </row>
    <row r="84" spans="2:5" x14ac:dyDescent="0.25">
      <c r="B84" s="112" t="s">
        <v>147</v>
      </c>
      <c r="C84" s="113" t="s">
        <v>161</v>
      </c>
      <c r="D84" s="96"/>
      <c r="E84" s="114">
        <f>E12</f>
        <v>2466728</v>
      </c>
    </row>
    <row r="85" spans="2:5" ht="7.15" customHeight="1" x14ac:dyDescent="0.25">
      <c r="B85" s="112" t="s">
        <v>157</v>
      </c>
      <c r="C85" s="113" t="s">
        <v>164</v>
      </c>
      <c r="D85" s="96"/>
      <c r="E85" s="114">
        <v>9651</v>
      </c>
    </row>
    <row r="86" spans="2:5" x14ac:dyDescent="0.25">
      <c r="B86" s="112" t="s">
        <v>148</v>
      </c>
      <c r="C86" s="113" t="s">
        <v>162</v>
      </c>
      <c r="D86" s="96"/>
      <c r="E86" s="116">
        <v>322963</v>
      </c>
    </row>
    <row r="87" spans="2:5" x14ac:dyDescent="0.25">
      <c r="B87" s="112" t="s">
        <v>149</v>
      </c>
      <c r="C87" s="113" t="s">
        <v>162</v>
      </c>
      <c r="D87" s="96"/>
      <c r="E87" s="113">
        <v>102534</v>
      </c>
    </row>
    <row r="88" spans="2:5" x14ac:dyDescent="0.25">
      <c r="B88" s="112" t="s">
        <v>150</v>
      </c>
      <c r="C88" s="113" t="s">
        <v>162</v>
      </c>
      <c r="D88" s="96"/>
      <c r="E88" s="113">
        <v>59830</v>
      </c>
    </row>
    <row r="89" spans="2:5" x14ac:dyDescent="0.25">
      <c r="B89" s="112" t="s">
        <v>151</v>
      </c>
      <c r="C89" s="113" t="s">
        <v>162</v>
      </c>
      <c r="D89" s="96"/>
      <c r="E89" s="116">
        <v>47900</v>
      </c>
    </row>
    <row r="90" spans="2:5" x14ac:dyDescent="0.25">
      <c r="B90" s="120" t="s">
        <v>156</v>
      </c>
      <c r="C90" s="121"/>
      <c r="D90" s="96"/>
      <c r="E90" s="114">
        <v>0</v>
      </c>
    </row>
    <row r="91" spans="2:5" ht="7.15" customHeight="1" x14ac:dyDescent="0.25">
      <c r="B91" s="112"/>
      <c r="C91" s="113"/>
      <c r="D91" s="96"/>
      <c r="E91" s="113"/>
    </row>
    <row r="92" spans="2:5" x14ac:dyDescent="0.25">
      <c r="B92" s="112"/>
      <c r="C92" s="113"/>
      <c r="D92" s="96"/>
      <c r="E92" s="113"/>
    </row>
    <row r="93" spans="2:5" ht="7.15" customHeight="1" x14ac:dyDescent="0.25">
      <c r="B93" s="112" t="s">
        <v>154</v>
      </c>
      <c r="C93" s="113"/>
      <c r="D93" s="96"/>
      <c r="E93" s="113">
        <v>1000</v>
      </c>
    </row>
    <row r="94" spans="2:5" x14ac:dyDescent="0.25">
      <c r="B94" s="112"/>
      <c r="C94" s="113"/>
      <c r="D94" s="96"/>
      <c r="E94" s="116"/>
    </row>
    <row r="95" spans="2:5" ht="7.15" customHeight="1" x14ac:dyDescent="0.25"/>
    <row r="97" ht="7.15" customHeight="1" x14ac:dyDescent="0.25"/>
    <row r="99" ht="7.15" customHeight="1" x14ac:dyDescent="0.25"/>
    <row r="101" ht="7.15" customHeight="1" x14ac:dyDescent="0.25"/>
    <row r="103" ht="7.15" customHeight="1" x14ac:dyDescent="0.25"/>
    <row r="105" ht="7.15" customHeight="1" x14ac:dyDescent="0.25"/>
    <row r="107" ht="7.15" customHeight="1" x14ac:dyDescent="0.25"/>
    <row r="109" ht="7.15" customHeight="1" x14ac:dyDescent="0.25"/>
    <row r="117" spans="2:4" x14ac:dyDescent="0.25">
      <c r="B117" s="160" t="s">
        <v>104</v>
      </c>
      <c r="C117" s="161"/>
      <c r="D117" s="177"/>
    </row>
    <row r="118" spans="2:4" x14ac:dyDescent="0.25">
      <c r="B118" s="166" t="s">
        <v>187</v>
      </c>
      <c r="C118" s="167"/>
      <c r="D118" s="178"/>
    </row>
    <row r="119" spans="2:4" ht="7.15" customHeight="1" x14ac:dyDescent="0.25"/>
    <row r="120" spans="2:4" x14ac:dyDescent="0.25">
      <c r="B120" s="112" t="s">
        <v>127</v>
      </c>
      <c r="C120" s="116">
        <f>E82+E83+E84</f>
        <v>18072928</v>
      </c>
      <c r="D120" s="179">
        <f>C120/C$120</f>
        <v>1</v>
      </c>
    </row>
    <row r="121" spans="2:4" ht="7.15" customHeight="1" x14ac:dyDescent="0.25">
      <c r="B121" s="112"/>
      <c r="C121" s="112"/>
      <c r="D121" s="112"/>
    </row>
    <row r="122" spans="2:4" x14ac:dyDescent="0.25">
      <c r="B122" s="112" t="s">
        <v>129</v>
      </c>
      <c r="C122" s="116">
        <f>E75</f>
        <v>9961805</v>
      </c>
      <c r="D122" s="179">
        <f>C122/C$120</f>
        <v>0.55120039210027283</v>
      </c>
    </row>
    <row r="123" spans="2:4" ht="7.15" customHeight="1" x14ac:dyDescent="0.25">
      <c r="B123" s="112"/>
      <c r="C123" s="120"/>
      <c r="D123" s="120"/>
    </row>
    <row r="124" spans="2:4" x14ac:dyDescent="0.25">
      <c r="B124" s="149" t="s">
        <v>131</v>
      </c>
      <c r="C124" s="184">
        <f>C120-C122</f>
        <v>8111123</v>
      </c>
      <c r="D124" s="157">
        <f>C124/C$120</f>
        <v>0.44879960789972717</v>
      </c>
    </row>
    <row r="126" spans="2:4" x14ac:dyDescent="0.25">
      <c r="B126" s="112" t="s">
        <v>165</v>
      </c>
      <c r="C126" s="116">
        <f>E77</f>
        <v>1435863</v>
      </c>
      <c r="D126" s="179">
        <f>C126/C$120</f>
        <v>7.9448277556353905E-2</v>
      </c>
    </row>
    <row r="127" spans="2:4" x14ac:dyDescent="0.25">
      <c r="B127" s="112" t="s">
        <v>166</v>
      </c>
      <c r="C127" s="114">
        <f>E78</f>
        <v>2358710</v>
      </c>
      <c r="D127" s="179">
        <f>C127/C$120</f>
        <v>0.1305106732013761</v>
      </c>
    </row>
    <row r="128" spans="2:4" x14ac:dyDescent="0.25">
      <c r="B128" s="112" t="s">
        <v>153</v>
      </c>
      <c r="C128" s="116">
        <f>E80</f>
        <v>297654</v>
      </c>
      <c r="D128" s="179">
        <f>C128/C$120</f>
        <v>1.6469605810414338E-2</v>
      </c>
    </row>
    <row r="129" spans="2:4" ht="7.15" customHeight="1" x14ac:dyDescent="0.25">
      <c r="B129" s="112" t="s">
        <v>27</v>
      </c>
      <c r="C129" s="123">
        <v>313204</v>
      </c>
      <c r="D129" s="185">
        <f>C129/C$120</f>
        <v>1.7330008729078101E-2</v>
      </c>
    </row>
    <row r="130" spans="2:4" x14ac:dyDescent="0.25">
      <c r="B130" s="149" t="s">
        <v>142</v>
      </c>
      <c r="C130" s="184">
        <f>SUM(C126:C129)</f>
        <v>4405431</v>
      </c>
      <c r="D130" s="157">
        <f>C130/C$120</f>
        <v>0.24375856529722245</v>
      </c>
    </row>
    <row r="131" spans="2:4" ht="7.15" customHeight="1" x14ac:dyDescent="0.25">
      <c r="B131" s="112"/>
      <c r="C131" s="186"/>
      <c r="D131" s="186"/>
    </row>
    <row r="132" spans="2:4" x14ac:dyDescent="0.25">
      <c r="B132" s="180" t="s">
        <v>132</v>
      </c>
      <c r="C132" s="181">
        <f>C124-C130</f>
        <v>3705692</v>
      </c>
      <c r="D132" s="182">
        <f>C132/C$120</f>
        <v>0.20504104260250469</v>
      </c>
    </row>
    <row r="133" spans="2:4" ht="7.15" customHeight="1" x14ac:dyDescent="0.25"/>
    <row r="134" spans="2:4" x14ac:dyDescent="0.25">
      <c r="B134" s="112" t="s">
        <v>134</v>
      </c>
      <c r="C134" s="114">
        <f>E87+E89-E86-E88</f>
        <v>-232359</v>
      </c>
      <c r="D134" s="179">
        <f>C134/C$120</f>
        <v>-1.2856743522687635E-2</v>
      </c>
    </row>
    <row r="135" spans="2:4" ht="7.15" customHeight="1" x14ac:dyDescent="0.25">
      <c r="B135" s="112"/>
      <c r="C135" s="120"/>
      <c r="D135" s="120"/>
    </row>
    <row r="136" spans="2:4" x14ac:dyDescent="0.25">
      <c r="B136" s="149" t="s">
        <v>135</v>
      </c>
      <c r="C136" s="184">
        <f>C132+C134</f>
        <v>3473333</v>
      </c>
      <c r="D136" s="157">
        <f>C136/C$120</f>
        <v>0.19218429907981707</v>
      </c>
    </row>
    <row r="137" spans="2:4" ht="7.15" customHeight="1" x14ac:dyDescent="0.25">
      <c r="B137" s="112"/>
      <c r="C137" s="186"/>
      <c r="D137" s="186"/>
    </row>
    <row r="138" spans="2:4" x14ac:dyDescent="0.25">
      <c r="B138" s="112" t="s">
        <v>68</v>
      </c>
      <c r="C138" s="116">
        <v>939612</v>
      </c>
      <c r="D138" s="179">
        <f>C138/C$120</f>
        <v>5.1990026187234299E-2</v>
      </c>
    </row>
    <row r="139" spans="2:4" ht="7.15" customHeight="1" x14ac:dyDescent="0.25">
      <c r="B139" s="112"/>
      <c r="C139" s="120"/>
      <c r="D139" s="120"/>
    </row>
    <row r="140" spans="2:4" x14ac:dyDescent="0.25">
      <c r="B140" s="149" t="s">
        <v>136</v>
      </c>
      <c r="C140" s="184">
        <f>C136-C138</f>
        <v>2533721</v>
      </c>
      <c r="D140" s="157">
        <f>C140/C$120</f>
        <v>0.14019427289258277</v>
      </c>
    </row>
    <row r="141" spans="2:4" ht="7.15" customHeight="1" x14ac:dyDescent="0.25">
      <c r="B141" s="112"/>
      <c r="C141" s="186"/>
      <c r="D141" s="186"/>
    </row>
    <row r="142" spans="2:4" x14ac:dyDescent="0.25">
      <c r="B142" s="183" t="s">
        <v>167</v>
      </c>
      <c r="C142" s="114">
        <f>-E76</f>
        <v>-100633</v>
      </c>
      <c r="D142" s="179">
        <f>C142/C$120</f>
        <v>-5.5681625025009781E-3</v>
      </c>
    </row>
    <row r="143" spans="2:4" ht="7.15" customHeight="1" x14ac:dyDescent="0.25">
      <c r="B143" s="112"/>
      <c r="C143" s="120"/>
      <c r="D143" s="120"/>
    </row>
    <row r="144" spans="2:4" x14ac:dyDescent="0.25">
      <c r="B144" s="149" t="s">
        <v>138</v>
      </c>
      <c r="C144" s="184">
        <f>C140+C142</f>
        <v>2433088</v>
      </c>
      <c r="D144" s="157">
        <f>C144/C$120</f>
        <v>0.13462611039008179</v>
      </c>
    </row>
    <row r="145" spans="2:4" ht="7.15" customHeight="1" x14ac:dyDescent="0.25">
      <c r="B145" s="124"/>
    </row>
    <row r="146" spans="2:4" x14ac:dyDescent="0.25">
      <c r="B146" s="112" t="s">
        <v>168</v>
      </c>
      <c r="C146" s="114">
        <f>E85</f>
        <v>9651</v>
      </c>
      <c r="D146" s="179">
        <f>C146/C$120</f>
        <v>5.3400312334559179E-4</v>
      </c>
    </row>
    <row r="147" spans="2:4" ht="7.15" customHeight="1" x14ac:dyDescent="0.25">
      <c r="B147" s="112"/>
      <c r="C147" s="120"/>
      <c r="D147" s="120"/>
    </row>
    <row r="148" spans="2:4" ht="15.75" thickBot="1" x14ac:dyDescent="0.3">
      <c r="B148" s="149" t="s">
        <v>140</v>
      </c>
      <c r="C148" s="187">
        <f>C144+C146</f>
        <v>2442739</v>
      </c>
      <c r="D148" s="159">
        <f>C148/C$120</f>
        <v>0.13516011351342738</v>
      </c>
    </row>
    <row r="149" spans="2:4" ht="15.75" thickTop="1" x14ac:dyDescent="0.25">
      <c r="B149" s="112"/>
      <c r="C149" s="188"/>
      <c r="D149" s="186"/>
    </row>
    <row r="150" spans="2:4" ht="15.75" thickBot="1" x14ac:dyDescent="0.3">
      <c r="B150" s="149" t="s">
        <v>141</v>
      </c>
      <c r="C150" s="187">
        <f>C148/E25</f>
        <v>2442.739</v>
      </c>
      <c r="D150" s="112"/>
    </row>
    <row r="151" spans="2:4" ht="15.75" thickTop="1" x14ac:dyDescent="0.25"/>
    <row r="166" spans="10:11" x14ac:dyDescent="0.25">
      <c r="J166" t="s">
        <v>135</v>
      </c>
      <c r="K166" s="94">
        <f>C136</f>
        <v>3473333</v>
      </c>
    </row>
    <row r="167" spans="10:11" x14ac:dyDescent="0.25">
      <c r="J167" s="140" t="s">
        <v>137</v>
      </c>
      <c r="K167" s="94">
        <f>C142</f>
        <v>-100633</v>
      </c>
    </row>
    <row r="168" spans="10:11" x14ac:dyDescent="0.25">
      <c r="J168" t="s">
        <v>139</v>
      </c>
      <c r="K168" s="96">
        <f>C146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L50"/>
  <sheetViews>
    <sheetView showGridLines="0" workbookViewId="0">
      <selection activeCell="E22" sqref="E22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2" ht="20.25" x14ac:dyDescent="0.3">
      <c r="D5" s="1" t="s">
        <v>71</v>
      </c>
      <c r="E5" s="1"/>
      <c r="F5" s="1"/>
    </row>
    <row r="6" spans="4:12" ht="15.75" x14ac:dyDescent="0.25">
      <c r="D6" s="12" t="s">
        <v>72</v>
      </c>
      <c r="E6" s="13"/>
      <c r="F6" s="13"/>
    </row>
    <row r="7" spans="4:12" x14ac:dyDescent="0.25">
      <c r="D7" s="3" t="s">
        <v>0</v>
      </c>
      <c r="E7" s="3"/>
      <c r="F7" s="3"/>
    </row>
    <row r="8" spans="4:12" x14ac:dyDescent="0.25">
      <c r="D8" s="4" t="s">
        <v>1</v>
      </c>
      <c r="E8" s="6"/>
      <c r="F8" s="6"/>
    </row>
    <row r="9" spans="4:12" x14ac:dyDescent="0.25">
      <c r="D9" s="35"/>
      <c r="E9" s="14" t="s">
        <v>200</v>
      </c>
      <c r="F9" s="5"/>
      <c r="G9" s="14" t="s">
        <v>201</v>
      </c>
      <c r="H9" s="5"/>
      <c r="L9" s="268" t="s">
        <v>200</v>
      </c>
    </row>
    <row r="10" spans="4:12" hidden="1" x14ac:dyDescent="0.25">
      <c r="D10" s="32" t="s">
        <v>43</v>
      </c>
      <c r="E10" s="11">
        <v>196201.18746000002</v>
      </c>
      <c r="F10" s="8">
        <v>0.79993879197333373</v>
      </c>
    </row>
    <row r="11" spans="4:12" hidden="1" x14ac:dyDescent="0.25">
      <c r="D11" s="32" t="s">
        <v>44</v>
      </c>
      <c r="E11" s="11">
        <v>17563.929889999999</v>
      </c>
      <c r="F11" s="8">
        <v>7.1610518980041074E-2</v>
      </c>
    </row>
    <row r="12" spans="4:12" hidden="1" x14ac:dyDescent="0.25">
      <c r="D12" s="32" t="s">
        <v>45</v>
      </c>
      <c r="E12" s="11">
        <v>14634.11939</v>
      </c>
      <c r="F12" s="8">
        <v>5.9665285098321585E-2</v>
      </c>
    </row>
    <row r="13" spans="4:12" hidden="1" x14ac:dyDescent="0.25">
      <c r="D13" s="2" t="s">
        <v>46</v>
      </c>
      <c r="E13" s="11">
        <v>16871.013219999997</v>
      </c>
      <c r="F13" s="8">
        <v>6.8785403948303611E-2</v>
      </c>
    </row>
    <row r="14" spans="4:12" hidden="1" x14ac:dyDescent="0.25">
      <c r="D14" s="2" t="s">
        <v>47</v>
      </c>
      <c r="E14" s="11">
        <v>0</v>
      </c>
      <c r="F14" s="8">
        <v>0</v>
      </c>
    </row>
    <row r="15" spans="4:12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</row>
    <row r="16" spans="4:12" x14ac:dyDescent="0.25">
      <c r="D16" s="26"/>
      <c r="E16" s="21"/>
      <c r="F16" s="33"/>
      <c r="G16" s="21"/>
      <c r="H16" s="33"/>
      <c r="K16" s="30" t="s">
        <v>290</v>
      </c>
      <c r="L16" s="249">
        <f>'Balance comparativo'!F12</f>
        <v>135942.07759999999</v>
      </c>
    </row>
    <row r="17" spans="4:12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</row>
    <row r="18" spans="4:12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</row>
    <row r="19" spans="4:12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</row>
    <row r="20" spans="4:12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</row>
    <row r="21" spans="4:12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</row>
    <row r="22" spans="4:12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K22" s="30" t="s">
        <v>291</v>
      </c>
      <c r="L22" s="249">
        <v>150298.57495000001</v>
      </c>
    </row>
    <row r="23" spans="4:12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K23" s="30" t="s">
        <v>158</v>
      </c>
      <c r="L23" s="249">
        <f>E22</f>
        <v>164132.7151</v>
      </c>
    </row>
    <row r="24" spans="4:12" x14ac:dyDescent="0.25">
      <c r="D24" s="26"/>
      <c r="E24" s="21"/>
      <c r="F24" s="33"/>
      <c r="G24" s="21"/>
      <c r="H24" s="33"/>
      <c r="K24" s="260" t="s">
        <v>292</v>
      </c>
      <c r="L24" s="267">
        <f>'Balance comparativo'!D12</f>
        <v>122107.93745</v>
      </c>
    </row>
    <row r="25" spans="4:12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</row>
    <row r="26" spans="4:12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</row>
    <row r="27" spans="4:12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</row>
    <row r="28" spans="4:12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</row>
    <row r="29" spans="4:12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</row>
    <row r="30" spans="4:12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</row>
    <row r="31" spans="4:12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L31" s="249"/>
    </row>
    <row r="32" spans="4:12" x14ac:dyDescent="0.25">
      <c r="D32" s="36"/>
      <c r="E32" s="21"/>
      <c r="F32" s="33"/>
      <c r="G32" s="21"/>
      <c r="H32" s="33"/>
      <c r="L32" s="249"/>
    </row>
    <row r="33" spans="4:8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</row>
    <row r="34" spans="4:8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</row>
    <row r="35" spans="4:8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</row>
    <row r="36" spans="4:8" x14ac:dyDescent="0.25">
      <c r="D36" s="40" t="s">
        <v>274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</row>
    <row r="37" spans="4:8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</row>
    <row r="38" spans="4:8" x14ac:dyDescent="0.25">
      <c r="D38" s="37"/>
      <c r="E38" s="21"/>
      <c r="F38" s="33"/>
      <c r="G38" s="21"/>
      <c r="H38" s="33"/>
    </row>
    <row r="39" spans="4:8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</row>
    <row r="40" spans="4:8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</row>
    <row r="41" spans="4:8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</row>
    <row r="42" spans="4:8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</row>
    <row r="43" spans="4:8" x14ac:dyDescent="0.25">
      <c r="D43" s="37"/>
      <c r="E43" s="21"/>
      <c r="F43" s="33"/>
      <c r="G43" s="21"/>
      <c r="H43" s="33"/>
    </row>
    <row r="44" spans="4:8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</row>
    <row r="45" spans="4:8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</row>
    <row r="46" spans="4:8" ht="15.75" thickBot="1" x14ac:dyDescent="0.3">
      <c r="D46" s="38" t="s">
        <v>70</v>
      </c>
      <c r="E46" s="261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</row>
    <row r="47" spans="4:8" ht="15.75" thickTop="1" x14ac:dyDescent="0.25"/>
    <row r="48" spans="4:8" x14ac:dyDescent="0.25">
      <c r="D48" s="30" t="s">
        <v>282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L46"/>
  <sheetViews>
    <sheetView showGridLines="0" tabSelected="1" topLeftCell="A6" zoomScale="110" zoomScaleNormal="110" workbookViewId="0">
      <selection activeCell="D35" sqref="D35"/>
    </sheetView>
  </sheetViews>
  <sheetFormatPr baseColWidth="10" defaultRowHeight="15" x14ac:dyDescent="0.25"/>
  <cols>
    <col min="3" max="3" width="35.28515625" bestFit="1" customWidth="1"/>
  </cols>
  <sheetData>
    <row r="3" spans="3:12" ht="20.25" x14ac:dyDescent="0.3">
      <c r="C3" s="1" t="s">
        <v>40</v>
      </c>
      <c r="D3" s="1"/>
      <c r="E3" s="1"/>
      <c r="F3" s="45"/>
      <c r="G3" s="45"/>
      <c r="H3" s="44"/>
      <c r="I3" s="44"/>
    </row>
    <row r="4" spans="3:12" ht="15.75" x14ac:dyDescent="0.25">
      <c r="C4" s="46" t="s">
        <v>202</v>
      </c>
      <c r="D4" s="47"/>
      <c r="E4" s="47"/>
      <c r="F4" s="45"/>
      <c r="G4" s="45"/>
      <c r="H4" s="44"/>
      <c r="I4" s="44"/>
    </row>
    <row r="5" spans="3:12" x14ac:dyDescent="0.25">
      <c r="C5" s="3" t="s">
        <v>0</v>
      </c>
      <c r="D5" s="3"/>
      <c r="E5" s="3"/>
      <c r="F5" s="3"/>
      <c r="G5" s="3"/>
      <c r="H5" s="44"/>
      <c r="I5" s="44"/>
    </row>
    <row r="6" spans="3:12" x14ac:dyDescent="0.25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  <c r="K6" s="227" t="s">
        <v>298</v>
      </c>
      <c r="L6" s="227" t="s">
        <v>299</v>
      </c>
    </row>
    <row r="7" spans="3:12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12" x14ac:dyDescent="0.25">
      <c r="C8" s="54" t="s">
        <v>80</v>
      </c>
      <c r="D8" s="55"/>
      <c r="E8" s="55"/>
      <c r="F8" s="53"/>
      <c r="G8" s="53"/>
      <c r="H8" s="2"/>
      <c r="I8" s="2"/>
    </row>
    <row r="9" spans="3:12" x14ac:dyDescent="0.25">
      <c r="C9" s="50" t="s">
        <v>3</v>
      </c>
      <c r="D9" s="264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12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53">
        <f t="shared" ref="H10:H13" si="1">D10-F10</f>
        <v>30286.797030000002</v>
      </c>
      <c r="I10" s="7">
        <f t="shared" ref="I10:I20" si="2">H10/F10</f>
        <v>0.32162655280929547</v>
      </c>
      <c r="K10" s="199"/>
      <c r="L10" s="199">
        <f>H10</f>
        <v>30286.797030000002</v>
      </c>
    </row>
    <row r="11" spans="3:12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si="1"/>
        <v>-3027.5177899999999</v>
      </c>
      <c r="I11" s="7">
        <f t="shared" si="2"/>
        <v>1.0315222453151618</v>
      </c>
      <c r="K11" s="199">
        <f>-H11</f>
        <v>3027.5177899999999</v>
      </c>
      <c r="L11" s="199"/>
    </row>
    <row r="12" spans="3:12" x14ac:dyDescent="0.25">
      <c r="C12" s="57" t="s">
        <v>7</v>
      </c>
      <c r="D12" s="266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53">
        <f t="shared" si="1"/>
        <v>-13834.140149999992</v>
      </c>
      <c r="I12" s="7">
        <f t="shared" si="2"/>
        <v>-0.10176496044665417</v>
      </c>
      <c r="K12" s="199">
        <f>-H12</f>
        <v>13834.140149999992</v>
      </c>
      <c r="L12" s="199"/>
    </row>
    <row r="13" spans="3:12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1"/>
        <v>1013.9608499999995</v>
      </c>
      <c r="I13" s="7">
        <f t="shared" si="2"/>
        <v>0.23831304206279705</v>
      </c>
      <c r="K13" s="199"/>
      <c r="L13" s="199">
        <f>H13</f>
        <v>1013.9608499999995</v>
      </c>
    </row>
    <row r="14" spans="3:12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si="2"/>
        <v>7.0052721871731435E-2</v>
      </c>
    </row>
    <row r="15" spans="3:12" x14ac:dyDescent="0.25">
      <c r="C15" s="54" t="s">
        <v>96</v>
      </c>
      <c r="D15" s="55"/>
      <c r="E15" s="64"/>
      <c r="F15" s="63"/>
      <c r="G15" s="64"/>
      <c r="H15" s="63"/>
      <c r="I15" s="64"/>
    </row>
    <row r="16" spans="3:12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>D16-F16</f>
        <v>350</v>
      </c>
      <c r="I16" s="7">
        <f t="shared" si="2"/>
        <v>0.16279069767441862</v>
      </c>
      <c r="K16" s="199"/>
      <c r="L16" s="199">
        <f>H16</f>
        <v>350</v>
      </c>
    </row>
    <row r="17" spans="3:12" x14ac:dyDescent="0.25">
      <c r="C17" s="50" t="s">
        <v>41</v>
      </c>
      <c r="D17" s="53">
        <v>-1195</v>
      </c>
      <c r="E17" s="7">
        <f t="shared" ref="E17:G20" si="3">D17/D$20</f>
        <v>-4.592809614796879E-3</v>
      </c>
      <c r="F17" s="53">
        <v>-570</v>
      </c>
      <c r="G17" s="7">
        <f t="shared" si="3"/>
        <v>-2.3385269093789294E-3</v>
      </c>
      <c r="H17" s="53">
        <f t="shared" ref="H17:H18" si="4">D17-F17</f>
        <v>-625</v>
      </c>
      <c r="I17" s="7">
        <f t="shared" si="2"/>
        <v>1.0964912280701755</v>
      </c>
      <c r="K17" s="199">
        <f>-H17</f>
        <v>625</v>
      </c>
      <c r="L17" s="199"/>
    </row>
    <row r="18" spans="3:12" x14ac:dyDescent="0.25">
      <c r="C18" s="50" t="s">
        <v>15</v>
      </c>
      <c r="D18" s="53">
        <v>679.44002</v>
      </c>
      <c r="E18" s="7">
        <f t="shared" si="3"/>
        <v>2.6113294196935428E-3</v>
      </c>
      <c r="F18" s="53">
        <v>862.10602000000006</v>
      </c>
      <c r="G18" s="7">
        <f t="shared" si="3"/>
        <v>3.536944081592228E-3</v>
      </c>
      <c r="H18" s="53">
        <f t="shared" si="4"/>
        <v>-182.66600000000005</v>
      </c>
      <c r="I18" s="7">
        <f t="shared" si="2"/>
        <v>-0.21188345257118149</v>
      </c>
      <c r="K18" s="199">
        <f>-H18</f>
        <v>182.66600000000005</v>
      </c>
      <c r="L18" s="199"/>
    </row>
    <row r="19" spans="3:12" x14ac:dyDescent="0.25">
      <c r="C19" s="60" t="s">
        <v>12</v>
      </c>
      <c r="D19" s="61">
        <f>SUM(D16:D18)</f>
        <v>1984.44002</v>
      </c>
      <c r="E19" s="62">
        <f t="shared" si="3"/>
        <v>7.6269081203713066E-3</v>
      </c>
      <c r="F19" s="61">
        <f>SUM(F16:F18)</f>
        <v>2442.1060200000002</v>
      </c>
      <c r="G19" s="62">
        <f t="shared" si="3"/>
        <v>1.0019176567239085E-2</v>
      </c>
      <c r="H19" s="61">
        <f>SUM(H16:H18)</f>
        <v>-457.66600000000005</v>
      </c>
      <c r="I19" s="62">
        <f t="shared" si="2"/>
        <v>-0.18740627812710606</v>
      </c>
    </row>
    <row r="20" spans="3:12" ht="15.75" thickBot="1" x14ac:dyDescent="0.3">
      <c r="C20" s="65" t="s">
        <v>19</v>
      </c>
      <c r="D20" s="66">
        <f>D14+D19</f>
        <v>260189.31770000004</v>
      </c>
      <c r="E20" s="67">
        <f t="shared" si="3"/>
        <v>1</v>
      </c>
      <c r="F20" s="66">
        <f>F14+F19</f>
        <v>243743.18623999998</v>
      </c>
      <c r="G20" s="67">
        <f t="shared" si="3"/>
        <v>1</v>
      </c>
      <c r="H20" s="66">
        <f>H14+H19</f>
        <v>16446.131460000011</v>
      </c>
      <c r="I20" s="67">
        <f t="shared" si="2"/>
        <v>6.7473194691918259E-2</v>
      </c>
    </row>
    <row r="21" spans="3:12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12" x14ac:dyDescent="0.25">
      <c r="C22" s="54" t="s">
        <v>21</v>
      </c>
      <c r="D22" s="55"/>
      <c r="E22" s="64"/>
      <c r="F22" s="63"/>
      <c r="G22" s="64"/>
      <c r="H22" s="63"/>
      <c r="I22" s="64"/>
    </row>
    <row r="23" spans="3:12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>D23-F23</f>
        <v>5280.5116500109943</v>
      </c>
      <c r="I23" s="7">
        <f t="shared" ref="I23:I36" si="5">H23/F23</f>
        <v>8.3330712773403301E-2</v>
      </c>
      <c r="K23" s="199">
        <f>H23</f>
        <v>5280.5116500109943</v>
      </c>
      <c r="L23" s="199"/>
    </row>
    <row r="24" spans="3:12" x14ac:dyDescent="0.25">
      <c r="C24" s="50" t="s">
        <v>23</v>
      </c>
      <c r="D24" s="53">
        <f>27445.47389-10000</f>
        <v>17445.473890000001</v>
      </c>
      <c r="E24" s="7">
        <f t="shared" ref="E24:G36" si="6">D24/D$36</f>
        <v>6.704915460134056E-2</v>
      </c>
      <c r="F24" s="53">
        <f>32003.85887+3275-10000</f>
        <v>25278.858869999996</v>
      </c>
      <c r="G24" s="7">
        <f t="shared" si="6"/>
        <v>0.10371103808050433</v>
      </c>
      <c r="H24" s="53">
        <f t="shared" ref="H24:H25" si="7">D24-F24</f>
        <v>-7833.3849799999953</v>
      </c>
      <c r="I24" s="7">
        <f t="shared" si="5"/>
        <v>-0.30987890000431795</v>
      </c>
      <c r="K24" s="199"/>
      <c r="L24" s="199">
        <f>-H24</f>
        <v>7833.3849799999953</v>
      </c>
    </row>
    <row r="25" spans="3:12" x14ac:dyDescent="0.25">
      <c r="C25" s="50" t="s">
        <v>28</v>
      </c>
      <c r="D25" s="53">
        <v>2186.6396500000001</v>
      </c>
      <c r="E25" s="7">
        <f t="shared" si="6"/>
        <v>8.4040330961895806E-3</v>
      </c>
      <c r="F25" s="53">
        <v>421.69657000000001</v>
      </c>
      <c r="G25" s="7">
        <f t="shared" si="6"/>
        <v>1.7300855728733322E-3</v>
      </c>
      <c r="H25" s="53">
        <f t="shared" si="7"/>
        <v>1764.94308</v>
      </c>
      <c r="I25" s="7">
        <f t="shared" si="5"/>
        <v>4.1853389511799914</v>
      </c>
      <c r="K25" s="199">
        <f>H25</f>
        <v>1764.94308</v>
      </c>
      <c r="L25" s="199"/>
    </row>
    <row r="26" spans="3:12" x14ac:dyDescent="0.25">
      <c r="C26" s="50"/>
      <c r="D26" s="10">
        <f>SUM(D23:D25)</f>
        <v>88280.757710009988</v>
      </c>
      <c r="E26" s="9">
        <f t="shared" si="6"/>
        <v>0.33929431836270668</v>
      </c>
      <c r="F26" s="10">
        <f>SUM(F23:F25)</f>
        <v>89068.687959998992</v>
      </c>
      <c r="G26" s="9">
        <f t="shared" si="6"/>
        <v>0.36542021680269043</v>
      </c>
      <c r="H26" s="10">
        <f>SUM(H23:H25)</f>
        <v>-787.93024998900091</v>
      </c>
      <c r="I26" s="9">
        <f t="shared" si="5"/>
        <v>-8.8463215079901333E-3</v>
      </c>
    </row>
    <row r="27" spans="3:12" x14ac:dyDescent="0.25">
      <c r="C27" s="54" t="s">
        <v>30</v>
      </c>
      <c r="D27" s="74"/>
      <c r="E27" s="8"/>
      <c r="F27" s="73"/>
      <c r="G27" s="8"/>
      <c r="H27" s="73"/>
      <c r="I27" s="8"/>
    </row>
    <row r="28" spans="3:12" x14ac:dyDescent="0.25">
      <c r="C28" s="50" t="s">
        <v>23</v>
      </c>
      <c r="D28" s="53">
        <v>20000</v>
      </c>
      <c r="E28" s="7">
        <f t="shared" si="6"/>
        <v>7.6867106074744243E-2</v>
      </c>
      <c r="F28" s="53">
        <v>18000</v>
      </c>
      <c r="G28" s="7">
        <f t="shared" si="6"/>
        <v>7.3848218190913861E-2</v>
      </c>
      <c r="H28" s="53">
        <f t="shared" ref="H28" si="8">D28-F28</f>
        <v>2000</v>
      </c>
      <c r="I28" s="7">
        <f t="shared" si="5"/>
        <v>0.1111111111111111</v>
      </c>
      <c r="K28" s="199">
        <f>H28</f>
        <v>2000</v>
      </c>
      <c r="L28" s="199"/>
    </row>
    <row r="29" spans="3:12" x14ac:dyDescent="0.25">
      <c r="C29" s="51" t="s">
        <v>31</v>
      </c>
      <c r="D29" s="61">
        <f>D26+D28</f>
        <v>108280.75771000999</v>
      </c>
      <c r="E29" s="9">
        <f t="shared" si="6"/>
        <v>0.41616142443745091</v>
      </c>
      <c r="F29" s="61">
        <f>F26+F28</f>
        <v>107068.68795999899</v>
      </c>
      <c r="G29" s="9">
        <f t="shared" si="6"/>
        <v>0.4392684349936043</v>
      </c>
      <c r="H29" s="61">
        <f>H26+H28</f>
        <v>1212.0697500109991</v>
      </c>
      <c r="I29" s="9">
        <f t="shared" si="5"/>
        <v>1.1320487559012864E-2</v>
      </c>
    </row>
    <row r="30" spans="3:12" x14ac:dyDescent="0.25">
      <c r="C30" s="51" t="s">
        <v>32</v>
      </c>
      <c r="D30" s="69"/>
      <c r="E30" s="64"/>
      <c r="F30" s="68"/>
      <c r="G30" s="64"/>
      <c r="H30" s="68"/>
      <c r="I30" s="64"/>
    </row>
    <row r="31" spans="3:12" x14ac:dyDescent="0.25">
      <c r="C31" s="50" t="s">
        <v>33</v>
      </c>
      <c r="D31" s="53">
        <v>92279.950980000009</v>
      </c>
      <c r="E31" s="7">
        <f t="shared" si="6"/>
        <v>0.35466463902759299</v>
      </c>
      <c r="F31" s="53">
        <v>92279.950980000009</v>
      </c>
      <c r="G31" s="7">
        <f t="shared" si="6"/>
        <v>0.3785949974787709</v>
      </c>
      <c r="H31" s="53">
        <f t="shared" ref="H31:H34" si="9">D31-F31</f>
        <v>0</v>
      </c>
      <c r="I31" s="7">
        <f t="shared" si="5"/>
        <v>0</v>
      </c>
      <c r="K31" s="199"/>
      <c r="L31" s="199"/>
    </row>
    <row r="32" spans="3:12" x14ac:dyDescent="0.25">
      <c r="C32" s="75" t="s">
        <v>34</v>
      </c>
      <c r="D32" s="262">
        <v>25234.063229999996</v>
      </c>
      <c r="E32" s="7">
        <f t="shared" si="6"/>
        <v>9.6983470749860648E-2</v>
      </c>
      <c r="F32" s="53">
        <v>4607.3715200000197</v>
      </c>
      <c r="G32" s="7">
        <f t="shared" si="6"/>
        <v>1.8902565405309105E-2</v>
      </c>
      <c r="H32" s="53">
        <f t="shared" si="9"/>
        <v>20626.691709999977</v>
      </c>
      <c r="I32" s="7">
        <f t="shared" si="5"/>
        <v>4.4768891808403346</v>
      </c>
      <c r="K32" s="199">
        <f>H32</f>
        <v>20626.691709999977</v>
      </c>
      <c r="L32" s="199"/>
    </row>
    <row r="33" spans="3:12" x14ac:dyDescent="0.25">
      <c r="C33" s="50" t="s">
        <v>35</v>
      </c>
      <c r="D33" s="53">
        <f>F32+F33-10000-230</f>
        <v>31131.050500000019</v>
      </c>
      <c r="E33" s="7">
        <f t="shared" si="6"/>
        <v>0.11964768805008606</v>
      </c>
      <c r="F33" s="53">
        <v>36753.678979999997</v>
      </c>
      <c r="G33" s="7">
        <f t="shared" si="6"/>
        <v>0.15078853914632467</v>
      </c>
      <c r="H33" s="53">
        <f t="shared" si="9"/>
        <v>-5622.6284799999776</v>
      </c>
      <c r="I33" s="7">
        <f t="shared" si="5"/>
        <v>-0.15298137862769073</v>
      </c>
      <c r="K33" s="199"/>
      <c r="L33" s="199">
        <f>-H33</f>
        <v>5622.6284799999776</v>
      </c>
    </row>
    <row r="34" spans="3:12" x14ac:dyDescent="0.25">
      <c r="C34" s="50" t="s">
        <v>37</v>
      </c>
      <c r="D34" s="53">
        <f>3033.4968+230</f>
        <v>3263.4967999999999</v>
      </c>
      <c r="E34" s="7">
        <f t="shared" si="6"/>
        <v>1.2542777735009419E-2</v>
      </c>
      <c r="F34" s="53">
        <v>3033.4967999999999</v>
      </c>
      <c r="G34" s="7">
        <f t="shared" si="6"/>
        <v>1.2445462975991054E-2</v>
      </c>
      <c r="H34" s="53">
        <f t="shared" si="9"/>
        <v>230</v>
      </c>
      <c r="I34" s="7">
        <f t="shared" si="5"/>
        <v>7.5820089871200785E-2</v>
      </c>
      <c r="K34" s="199">
        <f>H34</f>
        <v>230</v>
      </c>
      <c r="L34" s="199"/>
    </row>
    <row r="35" spans="3:12" x14ac:dyDescent="0.25">
      <c r="C35" s="65" t="s">
        <v>38</v>
      </c>
      <c r="D35" s="269">
        <f>SUM(D31:D34)</f>
        <v>151908.56151000003</v>
      </c>
      <c r="E35" s="62">
        <f t="shared" si="6"/>
        <v>0.58383857556254914</v>
      </c>
      <c r="F35" s="269">
        <f>SUM(F31:F34)</f>
        <v>136674.49828000003</v>
      </c>
      <c r="G35" s="62">
        <f t="shared" si="6"/>
        <v>0.56073156500639576</v>
      </c>
      <c r="H35" s="61">
        <f>SUM(H31:H34)</f>
        <v>15234.06323</v>
      </c>
      <c r="I35" s="62">
        <f t="shared" si="5"/>
        <v>0.11146236804755291</v>
      </c>
      <c r="L35" s="272">
        <f>F46</f>
        <v>10000</v>
      </c>
    </row>
    <row r="36" spans="3:12" ht="15.75" thickBot="1" x14ac:dyDescent="0.3">
      <c r="C36" s="51" t="s">
        <v>39</v>
      </c>
      <c r="D36" s="76">
        <f>D29+D35</f>
        <v>260189.31922001002</v>
      </c>
      <c r="E36" s="77">
        <f t="shared" si="6"/>
        <v>1</v>
      </c>
      <c r="F36" s="76">
        <f>F29+F35</f>
        <v>243743.18623999902</v>
      </c>
      <c r="G36" s="77">
        <f t="shared" si="6"/>
        <v>1</v>
      </c>
      <c r="H36" s="76">
        <f>H29+H35</f>
        <v>16446.132980011</v>
      </c>
      <c r="I36" s="77">
        <f t="shared" si="5"/>
        <v>6.7473200928035368E-2</v>
      </c>
    </row>
    <row r="37" spans="3:12" ht="15.75" thickTop="1" x14ac:dyDescent="0.25"/>
    <row r="38" spans="3:12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12" x14ac:dyDescent="0.25">
      <c r="D39" s="196"/>
    </row>
    <row r="42" spans="3:12" x14ac:dyDescent="0.25">
      <c r="D42" t="s">
        <v>277</v>
      </c>
      <c r="F42" s="190">
        <f>F35</f>
        <v>136674.49828000003</v>
      </c>
    </row>
    <row r="43" spans="3:12" x14ac:dyDescent="0.25">
      <c r="D43" t="s">
        <v>278</v>
      </c>
      <c r="F43" s="190">
        <f>D32</f>
        <v>25234.063229999996</v>
      </c>
    </row>
    <row r="44" spans="3:12" x14ac:dyDescent="0.25">
      <c r="D44" t="s">
        <v>279</v>
      </c>
      <c r="F44" s="190">
        <f>F42+F43</f>
        <v>161908.56151000003</v>
      </c>
    </row>
    <row r="45" spans="3:12" x14ac:dyDescent="0.25">
      <c r="D45" t="s">
        <v>280</v>
      </c>
      <c r="F45" s="190">
        <f>D35</f>
        <v>151908.56151000003</v>
      </c>
    </row>
    <row r="46" spans="3:12" x14ac:dyDescent="0.25">
      <c r="D46" t="s">
        <v>220</v>
      </c>
      <c r="F46" s="190">
        <f>F44-F45</f>
        <v>10000</v>
      </c>
      <c r="G46" s="258" t="s">
        <v>281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 Indirecto</vt:lpstr>
      <vt:lpstr>Caso Flujo Directo</vt:lpstr>
      <vt:lpstr>Caso Variaciones</vt:lpstr>
      <vt:lpstr>Resultados 2</vt:lpstr>
      <vt:lpstr>Variaciones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dcterms:created xsi:type="dcterms:W3CDTF">2015-07-28T10:48:34Z</dcterms:created>
  <dcterms:modified xsi:type="dcterms:W3CDTF">2026-02-20T19:43:01Z</dcterms:modified>
</cp:coreProperties>
</file>