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Contabilidad no contadores/"/>
    </mc:Choice>
  </mc:AlternateContent>
  <xr:revisionPtr revIDLastSave="41" documentId="8_{F982351D-CA7E-4B0E-8D12-4B0FC2D0DFC6}" xr6:coauthVersionLast="47" xr6:coauthVersionMax="47" xr10:uidLastSave="{6D36D853-2F73-44D4-82E6-AA5A5F4F5F69}"/>
  <bookViews>
    <workbookView xWindow="-120" yWindow="-120" windowWidth="29040" windowHeight="15720" activeTab="8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" sheetId="13" r:id="rId10"/>
    <sheet name="Caso Variaciones" sheetId="14" r:id="rId11"/>
    <sheet name="Resultados 2" sheetId="4" state="hidden" r:id="rId12"/>
    <sheet name="Variaciones" sheetId="11" state="hidden" r:id="rId13"/>
    <sheet name="Análisis" sheetId="17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5" i="16" l="1"/>
  <c r="J46" i="16"/>
  <c r="J44" i="16"/>
  <c r="J40" i="16"/>
  <c r="J41" i="16"/>
  <c r="J42" i="16"/>
  <c r="J39" i="16"/>
  <c r="J34" i="16"/>
  <c r="J35" i="16"/>
  <c r="J36" i="16"/>
  <c r="J37" i="16"/>
  <c r="J33" i="16"/>
  <c r="J31" i="16"/>
  <c r="I45" i="16"/>
  <c r="I46" i="16"/>
  <c r="I44" i="16"/>
  <c r="I40" i="16"/>
  <c r="I41" i="16"/>
  <c r="I42" i="16"/>
  <c r="I39" i="16"/>
  <c r="I34" i="16"/>
  <c r="I35" i="16"/>
  <c r="I36" i="16"/>
  <c r="I37" i="16"/>
  <c r="I33" i="16"/>
  <c r="I31" i="16"/>
  <c r="G48" i="16" l="1"/>
  <c r="E48" i="16"/>
  <c r="J30" i="16"/>
  <c r="I30" i="16"/>
  <c r="I23" i="16"/>
  <c r="J23" i="16" s="1"/>
  <c r="I22" i="16"/>
  <c r="J22" i="16" s="1"/>
  <c r="J15" i="16"/>
  <c r="I15" i="16"/>
  <c r="I23" i="14"/>
  <c r="I22" i="14"/>
  <c r="I19" i="14"/>
  <c r="I18" i="14"/>
  <c r="E27" i="14"/>
  <c r="G27" i="14"/>
  <c r="H27" i="14"/>
  <c r="D27" i="14"/>
  <c r="E15" i="14"/>
  <c r="F15" i="14"/>
  <c r="G15" i="14"/>
  <c r="H15" i="14"/>
  <c r="I15" i="14"/>
  <c r="D15" i="14"/>
  <c r="I9" i="14"/>
  <c r="H9" i="14"/>
  <c r="F9" i="14"/>
  <c r="E9" i="14"/>
  <c r="D9" i="14"/>
  <c r="D41" i="13"/>
  <c r="D35" i="13"/>
  <c r="F46" i="3"/>
  <c r="F45" i="3"/>
  <c r="F44" i="3"/>
  <c r="F43" i="3"/>
  <c r="F42" i="3"/>
  <c r="D33" i="13"/>
  <c r="D30" i="13"/>
  <c r="D24" i="13"/>
  <c r="D26" i="13" s="1"/>
  <c r="D13" i="13"/>
  <c r="D7" i="13"/>
  <c r="I32" i="3"/>
  <c r="I33" i="3"/>
  <c r="I34" i="3"/>
  <c r="I31" i="3"/>
  <c r="I28" i="3"/>
  <c r="I24" i="3"/>
  <c r="I25" i="3"/>
  <c r="I26" i="3"/>
  <c r="I23" i="3"/>
  <c r="I17" i="3"/>
  <c r="I18" i="3"/>
  <c r="I16" i="3"/>
  <c r="I10" i="3"/>
  <c r="I11" i="3"/>
  <c r="I12" i="3"/>
  <c r="I13" i="3"/>
  <c r="I14" i="3"/>
  <c r="I9" i="3"/>
  <c r="H35" i="3"/>
  <c r="E60" i="14" s="1"/>
  <c r="H32" i="3"/>
  <c r="H33" i="3"/>
  <c r="H34" i="3"/>
  <c r="E64" i="14" s="1"/>
  <c r="H31" i="3"/>
  <c r="H29" i="3"/>
  <c r="I29" i="3" s="1"/>
  <c r="H28" i="3"/>
  <c r="H26" i="3"/>
  <c r="H24" i="3"/>
  <c r="H25" i="3"/>
  <c r="H23" i="3"/>
  <c r="H19" i="3"/>
  <c r="H20" i="3" s="1"/>
  <c r="I20" i="3" s="1"/>
  <c r="H17" i="3"/>
  <c r="H18" i="3"/>
  <c r="H16" i="3"/>
  <c r="H14" i="3"/>
  <c r="H10" i="3"/>
  <c r="H11" i="3"/>
  <c r="H12" i="3"/>
  <c r="H13" i="3"/>
  <c r="H9" i="3"/>
  <c r="G36" i="3"/>
  <c r="G35" i="3"/>
  <c r="G34" i="3"/>
  <c r="G33" i="3"/>
  <c r="G32" i="3"/>
  <c r="G31" i="3"/>
  <c r="G29" i="3"/>
  <c r="G28" i="3"/>
  <c r="G26" i="3"/>
  <c r="G25" i="3"/>
  <c r="G24" i="3"/>
  <c r="G23" i="3"/>
  <c r="G20" i="3"/>
  <c r="G19" i="3"/>
  <c r="G18" i="3"/>
  <c r="G17" i="3"/>
  <c r="G16" i="3"/>
  <c r="G14" i="3"/>
  <c r="G13" i="3"/>
  <c r="G12" i="3"/>
  <c r="G11" i="3"/>
  <c r="G10" i="3"/>
  <c r="G9" i="3"/>
  <c r="E35" i="3"/>
  <c r="E36" i="3"/>
  <c r="E32" i="3"/>
  <c r="E33" i="3"/>
  <c r="E34" i="3"/>
  <c r="E31" i="3"/>
  <c r="E29" i="3"/>
  <c r="E28" i="3"/>
  <c r="E24" i="3"/>
  <c r="E25" i="3"/>
  <c r="E26" i="3"/>
  <c r="E23" i="3"/>
  <c r="E17" i="3"/>
  <c r="E18" i="3"/>
  <c r="E19" i="3"/>
  <c r="E20" i="3"/>
  <c r="E16" i="3"/>
  <c r="E14" i="3"/>
  <c r="E10" i="3"/>
  <c r="E11" i="3"/>
  <c r="E12" i="3"/>
  <c r="E13" i="3"/>
  <c r="E9" i="3"/>
  <c r="E68" i="17"/>
  <c r="E67" i="17"/>
  <c r="C67" i="17"/>
  <c r="E66" i="17"/>
  <c r="C66" i="17"/>
  <c r="C68" i="17" s="1"/>
  <c r="C64" i="17"/>
  <c r="E63" i="17"/>
  <c r="E64" i="17" s="1"/>
  <c r="C63" i="17"/>
  <c r="E62" i="17"/>
  <c r="C62" i="17"/>
  <c r="E67" i="15"/>
  <c r="E66" i="15"/>
  <c r="C67" i="15"/>
  <c r="C66" i="15"/>
  <c r="E63" i="15"/>
  <c r="C63" i="15"/>
  <c r="E62" i="15"/>
  <c r="C62" i="15"/>
  <c r="E56" i="15"/>
  <c r="C56" i="15"/>
  <c r="E49" i="15"/>
  <c r="C49" i="15"/>
  <c r="E47" i="15"/>
  <c r="E51" i="15" s="1"/>
  <c r="C47" i="15"/>
  <c r="E43" i="15"/>
  <c r="C43" i="15"/>
  <c r="E41" i="15"/>
  <c r="C41" i="15"/>
  <c r="E37" i="15"/>
  <c r="C37" i="15"/>
  <c r="E35" i="15"/>
  <c r="C35" i="15"/>
  <c r="E33" i="15"/>
  <c r="C33" i="15"/>
  <c r="E27" i="15"/>
  <c r="C27" i="15"/>
  <c r="E23" i="15"/>
  <c r="C23" i="15"/>
  <c r="E21" i="15"/>
  <c r="C21" i="15"/>
  <c r="G15" i="16"/>
  <c r="G44" i="16"/>
  <c r="G45" i="16" s="1"/>
  <c r="G30" i="16"/>
  <c r="E22" i="16"/>
  <c r="F22" i="16" s="1"/>
  <c r="E23" i="16"/>
  <c r="F23" i="16" s="1"/>
  <c r="G22" i="16"/>
  <c r="F45" i="16"/>
  <c r="F44" i="16"/>
  <c r="F41" i="16"/>
  <c r="F40" i="16"/>
  <c r="F39" i="16"/>
  <c r="F36" i="16"/>
  <c r="F35" i="16"/>
  <c r="F34" i="16"/>
  <c r="F33" i="16"/>
  <c r="F30" i="16"/>
  <c r="F15" i="16"/>
  <c r="E15" i="16"/>
  <c r="G41" i="16"/>
  <c r="G36" i="16"/>
  <c r="E45" i="16"/>
  <c r="E30" i="16"/>
  <c r="E41" i="16"/>
  <c r="E36" i="16"/>
  <c r="E18" i="15"/>
  <c r="C18" i="15"/>
  <c r="E14" i="15"/>
  <c r="E12" i="15"/>
  <c r="C14" i="15"/>
  <c r="E8" i="15"/>
  <c r="E6" i="15"/>
  <c r="C12" i="15"/>
  <c r="C8" i="15"/>
  <c r="C6" i="15"/>
  <c r="D37" i="13" l="1"/>
  <c r="D39" i="13" s="1"/>
  <c r="F27" i="14"/>
  <c r="I27" i="14"/>
  <c r="I19" i="3"/>
  <c r="I35" i="3"/>
  <c r="H36" i="3"/>
  <c r="I36" i="3" s="1"/>
  <c r="H40" i="16"/>
  <c r="H44" i="16"/>
  <c r="H39" i="16"/>
  <c r="H30" i="16"/>
  <c r="H36" i="16"/>
  <c r="H15" i="16"/>
  <c r="H35" i="16"/>
  <c r="H45" i="16"/>
  <c r="H41" i="16"/>
  <c r="H22" i="16"/>
  <c r="H34" i="16"/>
  <c r="H33" i="16"/>
  <c r="G23" i="16"/>
  <c r="H23" i="16" s="1"/>
  <c r="E31" i="16"/>
  <c r="C25" i="15"/>
  <c r="C29" i="15" s="1"/>
  <c r="C51" i="15"/>
  <c r="E25" i="15"/>
  <c r="E29" i="15" s="1"/>
  <c r="E68" i="15"/>
  <c r="C64" i="15"/>
  <c r="C54" i="15" s="1"/>
  <c r="C57" i="15" s="1"/>
  <c r="E64" i="15"/>
  <c r="E54" i="15" s="1"/>
  <c r="E57" i="15" s="1"/>
  <c r="C68" i="15"/>
  <c r="E37" i="16" l="1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F46" i="16" l="1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4" i="13"/>
  <c r="I51" i="14" l="1"/>
  <c r="I57" i="14" s="1"/>
  <c r="F23" i="3" l="1"/>
  <c r="D23" i="3"/>
  <c r="D69" i="13"/>
  <c r="D79" i="13"/>
  <c r="D70" i="13"/>
  <c r="D57" i="13"/>
  <c r="D67" i="13"/>
  <c r="D75" i="13"/>
  <c r="D77" i="13" s="1"/>
  <c r="D64" i="13"/>
  <c r="D59" i="13"/>
  <c r="D66" i="1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H64" i="14" l="1"/>
  <c r="H69" i="14" s="1"/>
  <c r="F64" i="14"/>
  <c r="D81" i="13"/>
  <c r="D60" i="13"/>
  <c r="D65" i="13"/>
  <c r="D26" i="3"/>
  <c r="D29" i="3" s="1"/>
  <c r="D36" i="3" s="1"/>
  <c r="F26" i="3"/>
  <c r="F29" i="3" s="1"/>
  <c r="F36" i="3" s="1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44" i="10"/>
  <c r="E43" i="10"/>
  <c r="E42" i="10"/>
  <c r="C106" i="10"/>
  <c r="K168" i="10" s="1"/>
  <c r="C102" i="10"/>
  <c r="K167" i="10" s="1"/>
  <c r="C94" i="10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49" i="8"/>
  <c r="O86" i="8" s="1"/>
  <c r="L97" i="8" l="1"/>
  <c r="D82" i="13"/>
  <c r="D68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<sst xmlns="http://schemas.openxmlformats.org/spreadsheetml/2006/main" count="859" uniqueCount="298">
  <si>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</si>
  <si>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</si>
  <si>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</si>
  <si>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</si>
  <si>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</si>
  <si>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</si>
  <si>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</si>
  <si>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</si>
  <si>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</si>
  <si>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</si>
  <si>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</si>
  <si>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</si>
  <si>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</si>
  <si>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</si>
  <si>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</si>
  <si>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</si>
  <si>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</si>
  <si>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</si>
  <si>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</si>
  <si>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</si>
  <si>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</si>
  <si>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</si>
  <si>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</si>
  <si>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</si>
  <si>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</si>
  <si>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</si>
  <si>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</si>
  <si>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</si>
  <si>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</si>
  <si>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</si>
  <si>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</si>
  <si>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</si>
  <si>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</si>
  <si>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</si>
  <si>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</si>
  <si>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</si>
  <si>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</si>
  <si>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</si>
  <si>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</si>
  <si>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</si>
  <si>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</si>
  <si>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</si>
  <si>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</si>
  <si>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</si>
  <si>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</si>
  <si>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</si>
  <si>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</si>
  <si>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</si>
  <si>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</si>
  <si>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</si>
  <si>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</si>
  <si>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</si>
  <si>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</si>
  <si>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</si>
  <si>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</si>
  <si>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</si>
  <si>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</si>
  <si>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</si>
  <si>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</si>
  <si>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</si>
  <si>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</si>
  <si>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</si>
  <si>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</si>
  <si>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</si>
  <si>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</si>
  <si>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</si>
  <si>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</si>
  <si>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</si>
  <si>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</si>
  <si>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</si>
  <si>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</si>
  <si>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</si>
  <si>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</si>
  <si>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</si>
  <si>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</si>
  <si>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</si>
  <si>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</si>
  <si>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</si>
  <si>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</si>
  <si>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</si>
  <si>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</si>
  <si>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</si>
  <si>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</si>
  <si>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</si>
  <si>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</si>
  <si>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</si>
  <si>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</si>
  <si>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</si>
  <si>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</si>
  <si>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</si>
  <si>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</si>
  <si>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</si>
  <si>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</si>
  <si>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</si>
  <si>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</si>
  <si>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</si>
  <si>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</si>
  <si>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</si>
  <si>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</si>
  <si>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</si>
  <si>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</si>
  <si>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</si>
  <si>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</si>
  <si>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</si>
  <si>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</si>
  <si>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</si>
  <si>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</si>
  <si>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</si>
  <si>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</si>
  <si>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</si>
  <si>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</si>
  <si>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</si>
  <si>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</si>
  <si>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</si>
  <si>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</si>
  <si>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</si>
  <si>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</si>
  <si>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</si>
  <si>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</si>
  <si>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</si>
  <si>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</si>
  <si>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</si>
  <si>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</si>
  <si>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</si>
  <si>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</si>
  <si>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</si>
  <si>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</si>
  <si>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</si>
  <si>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</si>
  <si>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</si>
  <si>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</si>
  <si>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</si>
  <si>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</si>
  <si>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</si>
  <si>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</si>
  <si>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</si>
  <si>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</si>
  <si>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</si>
  <si>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</si>
  <si>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</si>
  <si>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</si>
  <si>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</si>
  <si>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</si>
  <si>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</si>
  <si>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</si>
  <si>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</si>
  <si>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</si>
  <si>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</si>
  <si>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</si>
  <si>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</si>
  <si>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</si>
  <si>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</si>
  <si>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</si>
  <si>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</si>
  <si>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</si>
  <si>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</si>
  <si>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</si>
  <si>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</si>
  <si>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</si>
  <si>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</si>
  <si>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</si>
  <si>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</si>
  <si>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</si>
  <si>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</si>
  <si>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</si>
  <si>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</si>
  <si>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</si>
  <si>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</si>
  <si>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</si>
  <si>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</si>
  <si>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</si>
  <si>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</si>
  <si>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</si>
  <si>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</si>
  <si>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</si>
  <si>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</si>
  <si>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</si>
  <si>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</si>
  <si>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</si>
  <si>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</si>
  <si>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</si>
  <si>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</si>
  <si>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</si>
  <si>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</si>
  <si>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</si>
  <si>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</si>
  <si>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</si>
  <si>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</si>
  <si>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</si>
  <si>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</si>
  <si>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</si>
  <si>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</si>
  <si>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</si>
  <si>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</si>
  <si>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</si>
  <si>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</si>
  <si>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</si>
  <si>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</si>
  <si>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</si>
  <si>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</si>
  <si>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</si>
  <si>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</si>
  <si>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</si>
  <si>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</si>
  <si>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</si>
  <si>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</si>
  <si>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</si>
  <si>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</si>
  <si>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</si>
  <si>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</si>
  <si>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</si>
  <si>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</si>
  <si>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</si>
  <si>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</si>
  <si>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</si>
  <si>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</si>
  <si>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</si>
  <si>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</si>
  <si>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</si>
  <si>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</si>
  <si>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</si>
  <si>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</si>
  <si>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</si>
  <si>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</si>
  <si>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</si>
  <si>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</si>
  <si>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</si>
  <si>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</si>
  <si>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</si>
  <si>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</si>
  <si>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</si>
  <si>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</si>
  <si>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</si>
  <si>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</si>
  <si>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</si>
  <si>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</si>
  <si>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</si>
  <si>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</si>
  <si>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</si>
  <si>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</si>
  <si>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</si>
  <si>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</si>
  <si>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</si>
  <si>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</si>
  <si>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</si>
  <si>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</si>
  <si>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</si>
  <si>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</si>
  <si>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</si>
  <si>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</si>
  <si>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</si>
  <si>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</si>
  <si>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</si>
  <si>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</si>
  <si>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</si>
  <si>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</si>
  <si>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</si>
  <si>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</si>
  <si>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</si>
  <si>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</si>
  <si>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</si>
  <si>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</si>
  <si>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</si>
  <si>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</si>
  <si>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</si>
  <si>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</si>
  <si>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</si>
  <si>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</si>
  <si>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</si>
  <si>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</si>
  <si>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</si>
  <si>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</si>
  <si>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</si>
  <si>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</si>
  <si>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</si>
  <si>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</si>
  <si>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</si>
  <si>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Apalancamiento Capital (PT a CC)</t>
  </si>
  <si>
    <t>Capital de trabajo (AC - PC)</t>
  </si>
  <si>
    <t>(CxC / VT * 365)</t>
  </si>
  <si>
    <t>(Inv / Cto * 365)</t>
  </si>
  <si>
    <r>
      <t xml:space="preserve">Ciclo operativo </t>
    </r>
    <r>
      <rPr>
        <sz val="8"/>
        <color rgb="FF000000"/>
        <rFont val="Arial"/>
        <family val="2"/>
      </rPr>
      <t>(Rot CxC - Rot Inv)</t>
    </r>
  </si>
  <si>
    <t>(CxP / Cto * 365)</t>
  </si>
  <si>
    <r>
      <t xml:space="preserve">Ciclo financiero corto </t>
    </r>
    <r>
      <rPr>
        <b/>
        <sz val="8"/>
        <color rgb="FF000000"/>
        <rFont val="Arial"/>
        <family val="2"/>
      </rPr>
      <t>(CO - Rot CxP)</t>
    </r>
  </si>
  <si>
    <t>Márgen bruto (UB a VT)</t>
  </si>
  <si>
    <t>Margen de operación (UP a VT)</t>
  </si>
  <si>
    <t>Rendimiento de capital (UN a CCI)</t>
  </si>
  <si>
    <t>Punto de equilibrio (CF / CMg)</t>
  </si>
  <si>
    <t>(VT prom - PE) / VT prom</t>
  </si>
  <si>
    <t>Contribución marginal (CMg)</t>
  </si>
  <si>
    <t>Capital Año 1</t>
  </si>
  <si>
    <t>Utilidad del año 2</t>
  </si>
  <si>
    <t>Capital teórico Año 2</t>
  </si>
  <si>
    <t>Capital Real año 2</t>
  </si>
  <si>
    <t>= Dividendos</t>
  </si>
  <si>
    <t>Variaciones</t>
  </si>
  <si>
    <t>Tasa efectiva</t>
  </si>
  <si>
    <t>Balance general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</si>
</sst>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4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30" fillId="0" borderId="0" xfId="0" applyFont="1" applyAlignment="1">
      <alignment vertical="top"/>
    </xf>
    <xf numFmtId="0" fontId="0" fillId="0" borderId="0" xfId="0" quotePrefix="1"/>
    <xf numFmtId="10" fontId="2" fillId="0" borderId="0" xfId="1" applyNumberFormat="1" applyFont="1" applyFill="1" applyBorder="1" applyAlignment="1"/>
    <xf numFmtId="10" fontId="2" fillId="0" borderId="4" xfId="1" applyNumberFormat="1" applyFont="1" applyFill="1" applyBorder="1" applyAlignment="1"/>
    <xf numFmtId="0" fontId="6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23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K16" sqref="K16"/>
    </sheetView>
  </sheetViews>
  <sheetFormatPr baseColWidth="10" defaultRowHeight="15" x14ac:dyDescent="0.25"/>
  <sheetData>
    <row r="7" spans="4:12" x14ac:dyDescent="0.25">
      <c r="D7" s="223" t="s">
        <v>234</v>
      </c>
      <c r="E7" s="224"/>
      <c r="F7" s="224"/>
      <c r="G7" s="224"/>
      <c r="I7" s="223" t="s">
        <v>235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6" zoomScale="140" zoomScaleNormal="140" workbookViewId="0">
      <selection activeCell="D39" sqref="D39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221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199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>
        <v>0</v>
      </c>
    </row>
    <row r="11" spans="2:4" x14ac:dyDescent="0.25">
      <c r="B11" s="197" t="s">
        <v>207</v>
      </c>
      <c r="C11" s="198"/>
      <c r="D11" s="202">
        <v>0</v>
      </c>
    </row>
    <row r="12" spans="2:4" x14ac:dyDescent="0.25">
      <c r="B12" s="197" t="s">
        <v>208</v>
      </c>
      <c r="C12" s="198"/>
      <c r="D12" s="211">
        <v>0</v>
      </c>
    </row>
    <row r="13" spans="2:4" x14ac:dyDescent="0.25">
      <c r="B13" s="203" t="s">
        <v>222</v>
      </c>
      <c r="C13" s="198"/>
      <c r="D13" s="212">
        <f>D7+D10+D11+D12</f>
        <v>25233.568439999988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>
        <v>0</v>
      </c>
    </row>
    <row r="18" spans="2:4" x14ac:dyDescent="0.25">
      <c r="B18" s="197" t="s">
        <v>7</v>
      </c>
      <c r="C18" s="198"/>
      <c r="D18" s="202">
        <v>0</v>
      </c>
    </row>
    <row r="19" spans="2:4" x14ac:dyDescent="0.25">
      <c r="B19" s="197" t="s">
        <v>10</v>
      </c>
      <c r="C19" s="198"/>
      <c r="D19" s="202">
        <v>0</v>
      </c>
    </row>
    <row r="20" spans="2:4" x14ac:dyDescent="0.25">
      <c r="B20" s="197" t="s">
        <v>15</v>
      </c>
      <c r="C20" s="198"/>
      <c r="D20" s="202">
        <v>0</v>
      </c>
    </row>
    <row r="21" spans="2:4" x14ac:dyDescent="0.25">
      <c r="B21" s="204" t="s">
        <v>22</v>
      </c>
      <c r="C21" s="198"/>
      <c r="D21" s="205">
        <v>0</v>
      </c>
    </row>
    <row r="22" spans="2:4" x14ac:dyDescent="0.25">
      <c r="B22" s="197" t="s">
        <v>23</v>
      </c>
      <c r="C22" s="198"/>
      <c r="D22" s="205">
        <v>0</v>
      </c>
    </row>
    <row r="23" spans="2:4" x14ac:dyDescent="0.25">
      <c r="B23" s="197" t="s">
        <v>28</v>
      </c>
      <c r="C23" s="198"/>
      <c r="D23" s="213">
        <v>0</v>
      </c>
    </row>
    <row r="24" spans="2:4" x14ac:dyDescent="0.25">
      <c r="B24" s="206" t="s">
        <v>224</v>
      </c>
      <c r="C24" s="207"/>
      <c r="D24" s="214">
        <f>SUM(D17:D23)</f>
        <v>0</v>
      </c>
    </row>
    <row r="25" spans="2:4" ht="7.15" customHeight="1" x14ac:dyDescent="0.25">
      <c r="B25" s="50"/>
      <c r="C25" s="2"/>
      <c r="D25" s="73"/>
    </row>
    <row r="26" spans="2:4" x14ac:dyDescent="0.25">
      <c r="B26" s="191" t="s">
        <v>210</v>
      </c>
      <c r="C26" s="2"/>
      <c r="D26" s="215">
        <f>D13+D24</f>
        <v>25233.568439999988</v>
      </c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>
        <v>0</v>
      </c>
    </row>
    <row r="29" spans="2:4" x14ac:dyDescent="0.25">
      <c r="B29" s="197" t="s">
        <v>215</v>
      </c>
      <c r="C29" s="198"/>
      <c r="D29" s="216">
        <v>0</v>
      </c>
    </row>
    <row r="30" spans="2:4" x14ac:dyDescent="0.25">
      <c r="B30" s="203" t="s">
        <v>225</v>
      </c>
      <c r="C30" s="198"/>
      <c r="D30" s="212">
        <f>D28+D29</f>
        <v>0</v>
      </c>
    </row>
    <row r="31" spans="2:4" x14ac:dyDescent="0.25">
      <c r="B31" s="193" t="s">
        <v>211</v>
      </c>
      <c r="C31" s="194"/>
      <c r="D31" s="195"/>
    </row>
    <row r="32" spans="2:4" x14ac:dyDescent="0.25">
      <c r="B32" s="197" t="s">
        <v>212</v>
      </c>
      <c r="C32" s="198"/>
      <c r="D32" s="202">
        <v>0</v>
      </c>
    </row>
    <row r="33" spans="2:4" x14ac:dyDescent="0.25">
      <c r="B33" s="197" t="s">
        <v>227</v>
      </c>
      <c r="C33" s="198"/>
      <c r="D33" s="202">
        <f>'Balance comparativo'!H31</f>
        <v>0</v>
      </c>
    </row>
    <row r="34" spans="2:4" x14ac:dyDescent="0.25">
      <c r="B34" s="197" t="s">
        <v>176</v>
      </c>
      <c r="C34" s="198"/>
      <c r="D34" s="211">
        <v>0</v>
      </c>
    </row>
    <row r="35" spans="2:4" x14ac:dyDescent="0.25">
      <c r="B35" s="203" t="s">
        <v>226</v>
      </c>
      <c r="C35" s="198"/>
      <c r="D35" s="212">
        <f>D32+D33+D34</f>
        <v>0</v>
      </c>
    </row>
    <row r="36" spans="2:4" ht="7.15" customHeight="1" x14ac:dyDescent="0.25">
      <c r="B36" s="78"/>
      <c r="C36" s="2"/>
      <c r="D36" s="68"/>
    </row>
    <row r="37" spans="2:4" x14ac:dyDescent="0.25">
      <c r="B37" s="208" t="s">
        <v>216</v>
      </c>
      <c r="C37" s="209"/>
      <c r="D37" s="212">
        <f>D26+D30+D35</f>
        <v>25233.568439999988</v>
      </c>
    </row>
    <row r="38" spans="2:4" x14ac:dyDescent="0.25">
      <c r="B38" s="210" t="s">
        <v>217</v>
      </c>
      <c r="C38" s="209"/>
      <c r="D38" s="217">
        <v>0</v>
      </c>
    </row>
    <row r="39" spans="2:4" ht="15.75" thickBot="1" x14ac:dyDescent="0.3">
      <c r="B39" s="208" t="s">
        <v>228</v>
      </c>
      <c r="C39" s="209"/>
      <c r="D39" s="218">
        <f>D37+D38</f>
        <v>25233.568439999988</v>
      </c>
    </row>
    <row r="40" spans="2:4" ht="15.75" thickTop="1" x14ac:dyDescent="0.25"/>
    <row r="41" spans="2:4" x14ac:dyDescent="0.25">
      <c r="D41" s="93">
        <f>'Balance comparativo'!D9</f>
        <v>12336.36773</v>
      </c>
    </row>
    <row r="50" spans="2:4" ht="20.25" x14ac:dyDescent="0.3">
      <c r="B50" s="1" t="s">
        <v>40</v>
      </c>
      <c r="C50" s="1"/>
      <c r="D50" s="1"/>
    </row>
    <row r="51" spans="2:4" ht="15.75" x14ac:dyDescent="0.25">
      <c r="B51" s="46" t="s">
        <v>221</v>
      </c>
      <c r="C51" s="47"/>
      <c r="D51" s="47"/>
    </row>
    <row r="52" spans="2:4" x14ac:dyDescent="0.25">
      <c r="B52" s="3" t="s">
        <v>0</v>
      </c>
      <c r="C52" s="3"/>
      <c r="D52" s="3"/>
    </row>
    <row r="53" spans="2:4" x14ac:dyDescent="0.25">
      <c r="B53" s="193" t="s">
        <v>203</v>
      </c>
      <c r="C53" s="194"/>
      <c r="D53" s="195"/>
    </row>
    <row r="54" spans="2:4" x14ac:dyDescent="0.25">
      <c r="B54" s="197" t="s">
        <v>70</v>
      </c>
      <c r="C54" s="198"/>
      <c r="D54" s="199">
        <f>'Balance comparativo'!D32</f>
        <v>25234.063229999996</v>
      </c>
    </row>
    <row r="55" spans="2:4" x14ac:dyDescent="0.25">
      <c r="B55" s="200" t="s">
        <v>204</v>
      </c>
      <c r="C55" s="198"/>
      <c r="D55" s="201"/>
    </row>
    <row r="56" spans="2:4" x14ac:dyDescent="0.25">
      <c r="B56" s="200" t="s">
        <v>205</v>
      </c>
      <c r="C56" s="198"/>
      <c r="D56" s="201"/>
    </row>
    <row r="57" spans="2:4" x14ac:dyDescent="0.25">
      <c r="B57" s="197" t="s">
        <v>206</v>
      </c>
      <c r="C57" s="198"/>
      <c r="D57" s="202">
        <f>-'Balance comparativo'!H17</f>
        <v>625</v>
      </c>
    </row>
    <row r="58" spans="2:4" x14ac:dyDescent="0.25">
      <c r="B58" s="197" t="s">
        <v>207</v>
      </c>
      <c r="C58" s="198"/>
      <c r="D58" s="202">
        <v>0</v>
      </c>
    </row>
    <row r="59" spans="2:4" x14ac:dyDescent="0.25">
      <c r="B59" s="197" t="s">
        <v>208</v>
      </c>
      <c r="C59" s="198"/>
      <c r="D59" s="211">
        <f>-'Balance comparativo'!H11</f>
        <v>3027.5177899999999</v>
      </c>
    </row>
    <row r="60" spans="2:4" x14ac:dyDescent="0.25">
      <c r="B60" s="203" t="s">
        <v>222</v>
      </c>
      <c r="C60" s="198"/>
      <c r="D60" s="212">
        <f>SUM(D57:D59)+D54</f>
        <v>28886.581019999998</v>
      </c>
    </row>
    <row r="61" spans="2:4" x14ac:dyDescent="0.25">
      <c r="B61" s="50"/>
      <c r="C61" s="2"/>
      <c r="D61" s="73"/>
    </row>
    <row r="62" spans="2:4" x14ac:dyDescent="0.25">
      <c r="B62" s="200" t="s">
        <v>223</v>
      </c>
      <c r="C62" s="198"/>
      <c r="D62" s="201"/>
    </row>
    <row r="63" spans="2:4" x14ac:dyDescent="0.25">
      <c r="B63" s="200" t="s">
        <v>209</v>
      </c>
      <c r="C63" s="198"/>
      <c r="D63" s="201"/>
    </row>
    <row r="64" spans="2:4" x14ac:dyDescent="0.25">
      <c r="B64" s="197" t="s">
        <v>4</v>
      </c>
      <c r="C64" s="198"/>
      <c r="D64" s="202">
        <f>-'Balance comparativo'!H10</f>
        <v>-30286.797030000002</v>
      </c>
    </row>
    <row r="65" spans="2:4" x14ac:dyDescent="0.25">
      <c r="B65" s="197" t="s">
        <v>7</v>
      </c>
      <c r="C65" s="198"/>
      <c r="D65" s="202">
        <f>-'Balance comparativo'!H12</f>
        <v>13834.140149999992</v>
      </c>
    </row>
    <row r="66" spans="2:4" x14ac:dyDescent="0.25">
      <c r="B66" s="197" t="s">
        <v>10</v>
      </c>
      <c r="C66" s="198"/>
      <c r="D66" s="202">
        <f>-'Balance comparativo'!H13</f>
        <v>-1013.9608499999995</v>
      </c>
    </row>
    <row r="67" spans="2:4" x14ac:dyDescent="0.25">
      <c r="B67" s="197" t="s">
        <v>15</v>
      </c>
      <c r="C67" s="198"/>
      <c r="D67" s="202">
        <f>-'Balance comparativo'!H18</f>
        <v>182.66600000000005</v>
      </c>
    </row>
    <row r="68" spans="2:4" x14ac:dyDescent="0.25">
      <c r="B68" s="204" t="s">
        <v>22</v>
      </c>
      <c r="C68" s="198"/>
      <c r="D68" s="205">
        <f>'Balance comparativo'!H23</f>
        <v>5280.5116500109943</v>
      </c>
    </row>
    <row r="69" spans="2:4" x14ac:dyDescent="0.25">
      <c r="B69" s="197" t="s">
        <v>23</v>
      </c>
      <c r="C69" s="198"/>
      <c r="D69" s="205">
        <f>'Balance comparativo'!H24</f>
        <v>-7833.3849799999953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SUM(D64:D70)</f>
        <v>-18071.881979989008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D60+D71</f>
        <v>10814.69904001099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</f>
        <v>2000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-7999.9999999999964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zoomScale="110" zoomScaleNormal="110" workbookViewId="0">
      <selection activeCell="H12" sqref="H12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>
        <f>'Balance comparativo'!F31</f>
        <v>92279.950980000009</v>
      </c>
      <c r="E9" s="113">
        <f>'Balance comparativo'!F33</f>
        <v>36753.678979999997</v>
      </c>
      <c r="F9" s="113">
        <f>'Balance comparativo'!F32</f>
        <v>4607.3715200000197</v>
      </c>
      <c r="G9" s="113">
        <v>0</v>
      </c>
      <c r="H9" s="113">
        <f>'Balance comparativo'!F34</f>
        <v>3033.4967999999999</v>
      </c>
      <c r="I9" s="113">
        <f>SUM(D9:H9)</f>
        <v>136674.49828000003</v>
      </c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92279.950980000009</v>
      </c>
      <c r="E15" s="113">
        <f t="shared" ref="E15:I15" si="0">E9+E12+E13</f>
        <v>36753.678979999997</v>
      </c>
      <c r="F15" s="113">
        <f t="shared" si="0"/>
        <v>4607.3715200000197</v>
      </c>
      <c r="G15" s="113">
        <f t="shared" si="0"/>
        <v>0</v>
      </c>
      <c r="H15" s="113">
        <f t="shared" si="0"/>
        <v>3033.4967999999999</v>
      </c>
      <c r="I15" s="113">
        <f t="shared" si="0"/>
        <v>136674.49828000003</v>
      </c>
    </row>
    <row r="17" spans="3:9" x14ac:dyDescent="0.25">
      <c r="C17" s="124" t="s">
        <v>175</v>
      </c>
    </row>
    <row r="18" spans="3:9" x14ac:dyDescent="0.25">
      <c r="C18" s="112" t="s">
        <v>176</v>
      </c>
      <c r="D18" s="113"/>
      <c r="E18" s="113"/>
      <c r="F18" s="113"/>
      <c r="G18" s="113"/>
      <c r="H18" s="113"/>
      <c r="I18" s="113">
        <f>SUM(D18:H18)</f>
        <v>0</v>
      </c>
    </row>
    <row r="19" spans="3:9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231</v>
      </c>
    </row>
    <row r="22" spans="3:9" x14ac:dyDescent="0.25">
      <c r="C22" s="112" t="s">
        <v>179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232</v>
      </c>
      <c r="D23" s="113"/>
      <c r="E23" s="113"/>
      <c r="F23" s="113"/>
      <c r="G23" s="113"/>
      <c r="H23" s="113"/>
      <c r="I23" s="113">
        <f>SUM(D23:H23)</f>
        <v>0</v>
      </c>
    </row>
    <row r="25" spans="3:9" x14ac:dyDescent="0.25">
      <c r="C25" s="149" t="s">
        <v>180</v>
      </c>
      <c r="D25" s="113"/>
      <c r="E25" s="113"/>
      <c r="F25" s="113"/>
      <c r="G25" s="113"/>
      <c r="H25" s="113"/>
      <c r="I25" s="113"/>
    </row>
    <row r="27" spans="3:9" x14ac:dyDescent="0.25">
      <c r="C27" s="149" t="s">
        <v>181</v>
      </c>
      <c r="D27" s="219">
        <f>SUM(D15:D25)</f>
        <v>92279.950980000009</v>
      </c>
      <c r="E27" s="219">
        <f t="shared" ref="E27:I27" si="1">SUM(E15:E25)</f>
        <v>36753.678979999997</v>
      </c>
      <c r="F27" s="219">
        <f t="shared" si="1"/>
        <v>4607.3715200000197</v>
      </c>
      <c r="G27" s="219">
        <f t="shared" si="1"/>
        <v>0</v>
      </c>
      <c r="H27" s="219">
        <f t="shared" si="1"/>
        <v>3033.4967999999999</v>
      </c>
      <c r="I27" s="219">
        <f t="shared" si="1"/>
        <v>136674.49828000003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236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233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D2A1-53BD-4770-885C-F2983B4CC613}">
  <dimension ref="A1:K68"/>
  <sheetViews>
    <sheetView showGridLines="0" zoomScale="142" zoomScaleNormal="142" workbookViewId="0">
      <pane xSplit="2" ySplit="4" topLeftCell="C11" activePane="bottomRight" state="frozen"/>
      <selection pane="topRight" activeCell="C1" sqref="C1"/>
      <selection pane="bottomLeft" activeCell="A5" sqref="A5"/>
      <selection pane="bottomRight" activeCell="C6" sqref="C6:E57"/>
    </sheetView>
  </sheetViews>
  <sheetFormatPr baseColWidth="10" defaultRowHeight="15" x14ac:dyDescent="0.25"/>
  <cols>
    <col min="1" max="1" width="3.85546875" customWidth="1"/>
    <col min="2" max="2" width="29.8554687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/>
      <c r="E6" s="196"/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/>
      <c r="E8" s="196"/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277</v>
      </c>
      <c r="C12" s="232"/>
      <c r="E12" s="232"/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/>
      <c r="E14" s="234"/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278</v>
      </c>
      <c r="C18" s="247"/>
      <c r="E18" s="247"/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/>
      <c r="E21" s="235"/>
      <c r="I21" s="144">
        <v>31</v>
      </c>
      <c r="J21" s="144">
        <v>60</v>
      </c>
      <c r="K21" s="144">
        <v>61</v>
      </c>
    </row>
    <row r="22" spans="2:11" x14ac:dyDescent="0.25">
      <c r="B22" s="258" t="s">
        <v>279</v>
      </c>
    </row>
    <row r="23" spans="2:11" x14ac:dyDescent="0.25">
      <c r="B23" s="230" t="s">
        <v>246</v>
      </c>
      <c r="C23" s="235"/>
      <c r="E23" s="235"/>
      <c r="I23" s="144">
        <v>61</v>
      </c>
      <c r="J23" s="144">
        <v>75</v>
      </c>
      <c r="K23" s="144">
        <v>76</v>
      </c>
    </row>
    <row r="24" spans="2:11" x14ac:dyDescent="0.25">
      <c r="B24" s="258" t="s">
        <v>280</v>
      </c>
    </row>
    <row r="25" spans="2:11" x14ac:dyDescent="0.25">
      <c r="B25" s="230" t="s">
        <v>281</v>
      </c>
      <c r="C25" s="235"/>
      <c r="E25" s="235"/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/>
      <c r="E27" s="235"/>
      <c r="I27" s="144">
        <v>60</v>
      </c>
      <c r="J27" s="144">
        <v>75</v>
      </c>
      <c r="K27" s="144">
        <v>76</v>
      </c>
    </row>
    <row r="28" spans="2:11" x14ac:dyDescent="0.25">
      <c r="B28" s="258" t="s">
        <v>282</v>
      </c>
      <c r="C28" s="235"/>
      <c r="E28" s="235"/>
    </row>
    <row r="29" spans="2:11" x14ac:dyDescent="0.25">
      <c r="B29" s="229" t="s">
        <v>283</v>
      </c>
      <c r="C29" s="236"/>
      <c r="E29" s="236"/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284</v>
      </c>
      <c r="C33" s="237"/>
      <c r="E33" s="237"/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285</v>
      </c>
      <c r="C35" s="238"/>
      <c r="E35" s="238"/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257</v>
      </c>
      <c r="C37" s="239"/>
      <c r="E37" s="239"/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286</v>
      </c>
      <c r="C41" s="232"/>
      <c r="E41" s="232"/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259</v>
      </c>
      <c r="C43" s="240"/>
      <c r="E43" s="240"/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/>
      <c r="E47" s="239"/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/>
      <c r="E49" s="196"/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/>
      <c r="E51" s="240"/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287</v>
      </c>
      <c r="C54" s="236"/>
      <c r="E54" s="236"/>
    </row>
    <row r="55" spans="2:11" ht="4.9000000000000004" customHeight="1" x14ac:dyDescent="0.25"/>
    <row r="56" spans="2:11" x14ac:dyDescent="0.25">
      <c r="B56" t="s">
        <v>261</v>
      </c>
      <c r="C56" s="235"/>
      <c r="E56" s="235"/>
    </row>
    <row r="57" spans="2:11" x14ac:dyDescent="0.25">
      <c r="B57" s="242" t="s">
        <v>262</v>
      </c>
      <c r="C57" s="243"/>
      <c r="E57" s="243"/>
      <c r="I57" s="233">
        <v>0.15</v>
      </c>
      <c r="J57" s="233">
        <v>0.05</v>
      </c>
      <c r="K57" s="233">
        <v>0.04</v>
      </c>
    </row>
    <row r="58" spans="2:11" x14ac:dyDescent="0.25">
      <c r="B58" t="s">
        <v>288</v>
      </c>
    </row>
    <row r="62" spans="2:11" x14ac:dyDescent="0.25">
      <c r="B62" t="s">
        <v>263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264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289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266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267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268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231" priority="129" operator="lessThan">
      <formula>$K$6</formula>
    </cfRule>
    <cfRule type="cellIs" dxfId="230" priority="128" operator="greaterThan">
      <formula>$I$6</formula>
    </cfRule>
    <cfRule type="cellIs" dxfId="229" priority="127" operator="between">
      <formula>$I$6</formula>
      <formula>$K$6</formula>
    </cfRule>
    <cfRule type="cellIs" dxfId="228" priority="130" operator="greaterThan">
      <formula>$I$6</formula>
    </cfRule>
  </conditionalFormatting>
  <conditionalFormatting sqref="C8">
    <cfRule type="cellIs" dxfId="227" priority="126" operator="greaterThan">
      <formula>$I$8</formula>
    </cfRule>
    <cfRule type="cellIs" dxfId="226" priority="125" operator="lessThan">
      <formula>$K$8</formula>
    </cfRule>
    <cfRule type="cellIs" dxfId="225" priority="124" operator="between">
      <formula>$I$8</formula>
      <formula>$K$8</formula>
    </cfRule>
  </conditionalFormatting>
  <conditionalFormatting sqref="C12">
    <cfRule type="cellIs" dxfId="224" priority="123" operator="lessThan">
      <formula>$I$12</formula>
    </cfRule>
    <cfRule type="cellIs" dxfId="223" priority="122" operator="greaterThan">
      <formula>$K$12</formula>
    </cfRule>
    <cfRule type="cellIs" dxfId="222" priority="121" operator="between">
      <formula>$I$12</formula>
      <formula>$K$12</formula>
    </cfRule>
    <cfRule type="cellIs" dxfId="221" priority="120" operator="lessThan">
      <formula>0</formula>
    </cfRule>
  </conditionalFormatting>
  <conditionalFormatting sqref="C14">
    <cfRule type="cellIs" dxfId="220" priority="119" operator="lessThan">
      <formula>$I$14</formula>
    </cfRule>
    <cfRule type="cellIs" dxfId="219" priority="118" operator="greaterThan">
      <formula>$K$14</formula>
    </cfRule>
    <cfRule type="cellIs" dxfId="218" priority="117" operator="between">
      <formula>$I$14</formula>
      <formula>$K$14</formula>
    </cfRule>
  </conditionalFormatting>
  <conditionalFormatting sqref="C18">
    <cfRule type="cellIs" dxfId="217" priority="115" operator="between">
      <formula>$I$18</formula>
      <formula>$J$18</formula>
    </cfRule>
    <cfRule type="cellIs" dxfId="216" priority="114" operator="greaterThan">
      <formula>$G$18</formula>
    </cfRule>
    <cfRule type="cellIs" dxfId="215" priority="116" operator="lessThan">
      <formula>$K$18</formula>
    </cfRule>
  </conditionalFormatting>
  <conditionalFormatting sqref="C21">
    <cfRule type="cellIs" dxfId="214" priority="113" operator="lessThan">
      <formula>$I$21</formula>
    </cfRule>
    <cfRule type="cellIs" dxfId="213" priority="112" operator="greaterThan">
      <formula>$K$21</formula>
    </cfRule>
    <cfRule type="cellIs" dxfId="212" priority="111" operator="between">
      <formula>$I$21</formula>
      <formula>$K$21</formula>
    </cfRule>
  </conditionalFormatting>
  <conditionalFormatting sqref="C23">
    <cfRule type="cellIs" dxfId="211" priority="109" operator="greaterThan">
      <formula>$K$23</formula>
    </cfRule>
    <cfRule type="cellIs" dxfId="210" priority="108" operator="between">
      <formula>$I$23</formula>
      <formula>$K$23</formula>
    </cfRule>
    <cfRule type="cellIs" dxfId="209" priority="110" operator="lessThan">
      <formula>$I$23</formula>
    </cfRule>
  </conditionalFormatting>
  <conditionalFormatting sqref="C27">
    <cfRule type="cellIs" dxfId="208" priority="107" operator="lessThan">
      <formula>$I$27</formula>
    </cfRule>
    <cfRule type="cellIs" dxfId="207" priority="106" operator="greaterThan">
      <formula>$K$27</formula>
    </cfRule>
    <cfRule type="cellIs" dxfId="206" priority="105" operator="between">
      <formula>$I$27</formula>
      <formula>$K$27</formula>
    </cfRule>
  </conditionalFormatting>
  <conditionalFormatting sqref="C29">
    <cfRule type="cellIs" dxfId="205" priority="102" operator="between">
      <formula>$I$29</formula>
      <formula>$K$29</formula>
    </cfRule>
    <cfRule type="cellIs" dxfId="204" priority="104" operator="lessThan">
      <formula>$I$29</formula>
    </cfRule>
    <cfRule type="cellIs" dxfId="203" priority="103" operator="greaterThan">
      <formula>$K$29</formula>
    </cfRule>
  </conditionalFormatting>
  <conditionalFormatting sqref="C33">
    <cfRule type="cellIs" dxfId="202" priority="98" operator="greaterThan">
      <formula>$I$33</formula>
    </cfRule>
    <cfRule type="cellIs" dxfId="201" priority="97" operator="lessThan">
      <formula>$K$33</formula>
    </cfRule>
    <cfRule type="cellIs" dxfId="200" priority="96" operator="between">
      <formula>$I$33</formula>
      <formula>$K$33</formula>
    </cfRule>
  </conditionalFormatting>
  <conditionalFormatting sqref="C35">
    <cfRule type="cellIs" dxfId="199" priority="95" operator="greaterThan">
      <formula>$I$35</formula>
    </cfRule>
    <cfRule type="cellIs" dxfId="198" priority="94" operator="lessThan">
      <formula>$K$35</formula>
    </cfRule>
    <cfRule type="cellIs" dxfId="197" priority="93" operator="between">
      <formula>$I$35</formula>
      <formula>$K$35</formula>
    </cfRule>
  </conditionalFormatting>
  <conditionalFormatting sqref="C37">
    <cfRule type="cellIs" dxfId="196" priority="92" operator="greaterThan">
      <formula>$I$37</formula>
    </cfRule>
    <cfRule type="cellIs" dxfId="195" priority="91" operator="lessThan">
      <formula>$K$37</formula>
    </cfRule>
    <cfRule type="cellIs" dxfId="194" priority="90" operator="between">
      <formula>$I$37</formula>
      <formula>$K$37</formula>
    </cfRule>
  </conditionalFormatting>
  <conditionalFormatting sqref="C41">
    <cfRule type="cellIs" dxfId="193" priority="84" operator="between">
      <formula>$I$41</formula>
      <formula>$K$41</formula>
    </cfRule>
    <cfRule type="cellIs" dxfId="192" priority="86" operator="greaterThan">
      <formula>$I$41</formula>
    </cfRule>
    <cfRule type="cellIs" dxfId="191" priority="85" operator="lessThan">
      <formula>$K$41</formula>
    </cfRule>
  </conditionalFormatting>
  <conditionalFormatting sqref="C43">
    <cfRule type="cellIs" dxfId="190" priority="83" operator="greaterThan">
      <formula>$I$43</formula>
    </cfRule>
    <cfRule type="cellIs" dxfId="189" priority="82" operator="lessThan">
      <formula>$K$43</formula>
    </cfRule>
    <cfRule type="cellIs" dxfId="188" priority="81" operator="between">
      <formula>$I$43</formula>
      <formula>$K$43</formula>
    </cfRule>
  </conditionalFormatting>
  <conditionalFormatting sqref="C47">
    <cfRule type="cellIs" dxfId="187" priority="89" operator="greaterThan">
      <formula>$I$37</formula>
    </cfRule>
    <cfRule type="cellIs" dxfId="186" priority="88" operator="lessThan">
      <formula>$K$37</formula>
    </cfRule>
    <cfRule type="cellIs" dxfId="185" priority="87" operator="between">
      <formula>$I$37</formula>
      <formula>$K$37</formula>
    </cfRule>
  </conditionalFormatting>
  <conditionalFormatting sqref="C49">
    <cfRule type="cellIs" dxfId="184" priority="74" operator="greaterThan">
      <formula>$I$49</formula>
    </cfRule>
    <cfRule type="cellIs" dxfId="183" priority="73" operator="lessThan">
      <formula>$K$49</formula>
    </cfRule>
    <cfRule type="cellIs" dxfId="182" priority="72" operator="between">
      <formula>$I$49</formula>
      <formula>$K$49</formula>
    </cfRule>
  </conditionalFormatting>
  <conditionalFormatting sqref="C51">
    <cfRule type="cellIs" dxfId="181" priority="78" operator="between">
      <formula>$I$43</formula>
      <formula>$K$43</formula>
    </cfRule>
    <cfRule type="cellIs" dxfId="180" priority="79" operator="lessThan">
      <formula>$K$43</formula>
    </cfRule>
    <cfRule type="cellIs" dxfId="179" priority="80" operator="greaterThan">
      <formula>$I$43</formula>
    </cfRule>
  </conditionalFormatting>
  <conditionalFormatting sqref="C54">
    <cfRule type="cellIs" dxfId="178" priority="65" operator="lessThan">
      <formula>$C$56</formula>
    </cfRule>
    <cfRule type="cellIs" dxfId="177" priority="64" operator="greaterThan">
      <formula>$C$56</formula>
    </cfRule>
  </conditionalFormatting>
  <conditionalFormatting sqref="C57">
    <cfRule type="cellIs" dxfId="176" priority="71" operator="greaterThan">
      <formula>$I$57</formula>
    </cfRule>
    <cfRule type="cellIs" dxfId="175" priority="69" operator="between">
      <formula>$I$57</formula>
      <formula>$K$57</formula>
    </cfRule>
    <cfRule type="cellIs" dxfId="174" priority="70" operator="lessThan">
      <formula>$K$57</formula>
    </cfRule>
  </conditionalFormatting>
  <conditionalFormatting sqref="E6">
    <cfRule type="cellIs" dxfId="173" priority="61" operator="greaterThan">
      <formula>$I$6</formula>
    </cfRule>
    <cfRule type="cellIs" dxfId="172" priority="60" operator="lessThan">
      <formula>$K$6</formula>
    </cfRule>
    <cfRule type="cellIs" dxfId="171" priority="59" operator="greaterThan">
      <formula>$I$6</formula>
    </cfRule>
    <cfRule type="cellIs" dxfId="170" priority="58" operator="between">
      <formula>$I$6</formula>
      <formula>$K$6</formula>
    </cfRule>
  </conditionalFormatting>
  <conditionalFormatting sqref="E8">
    <cfRule type="cellIs" dxfId="169" priority="55" operator="between">
      <formula>$I$8</formula>
      <formula>$K$8</formula>
    </cfRule>
    <cfRule type="cellIs" dxfId="168" priority="57" operator="greaterThan">
      <formula>$I$8</formula>
    </cfRule>
    <cfRule type="cellIs" dxfId="167" priority="56" operator="lessThan">
      <formula>$K$8</formula>
    </cfRule>
  </conditionalFormatting>
  <conditionalFormatting sqref="E12">
    <cfRule type="cellIs" dxfId="166" priority="54" operator="lessThan">
      <formula>$I$12</formula>
    </cfRule>
    <cfRule type="cellIs" dxfId="165" priority="53" operator="greaterThan">
      <formula>$K$12</formula>
    </cfRule>
    <cfRule type="cellIs" dxfId="164" priority="52" operator="between">
      <formula>$I$12</formula>
      <formula>$K$12</formula>
    </cfRule>
    <cfRule type="cellIs" dxfId="163" priority="51" operator="lessThan">
      <formula>0</formula>
    </cfRule>
  </conditionalFormatting>
  <conditionalFormatting sqref="E14">
    <cfRule type="cellIs" dxfId="162" priority="48" operator="between">
      <formula>$I$14</formula>
      <formula>$K$14</formula>
    </cfRule>
    <cfRule type="cellIs" dxfId="161" priority="50" operator="lessThan">
      <formula>$I$14</formula>
    </cfRule>
    <cfRule type="cellIs" dxfId="160" priority="49" operator="greaterThan">
      <formula>$K$14</formula>
    </cfRule>
  </conditionalFormatting>
  <conditionalFormatting sqref="E18">
    <cfRule type="cellIs" dxfId="159" priority="46" operator="between">
      <formula>$I$18</formula>
      <formula>$J$18</formula>
    </cfRule>
    <cfRule type="cellIs" dxfId="158" priority="45" operator="greaterThan">
      <formula>$G$18</formula>
    </cfRule>
    <cfRule type="cellIs" dxfId="157" priority="47" operator="lessThan">
      <formula>$K$18</formula>
    </cfRule>
  </conditionalFormatting>
  <conditionalFormatting sqref="E21">
    <cfRule type="cellIs" dxfId="156" priority="44" operator="lessThan">
      <formula>$I$21</formula>
    </cfRule>
    <cfRule type="cellIs" dxfId="155" priority="43" operator="greaterThan">
      <formula>$K$21</formula>
    </cfRule>
    <cfRule type="cellIs" dxfId="154" priority="42" operator="between">
      <formula>$I$21</formula>
      <formula>$K$21</formula>
    </cfRule>
  </conditionalFormatting>
  <conditionalFormatting sqref="E23">
    <cfRule type="cellIs" dxfId="153" priority="40" operator="greaterThan">
      <formula>$K$23</formula>
    </cfRule>
    <cfRule type="cellIs" dxfId="152" priority="39" operator="between">
      <formula>$I$23</formula>
      <formula>$K$23</formula>
    </cfRule>
    <cfRule type="cellIs" dxfId="151" priority="41" operator="lessThan">
      <formula>$I$23</formula>
    </cfRule>
  </conditionalFormatting>
  <conditionalFormatting sqref="E27">
    <cfRule type="cellIs" dxfId="150" priority="38" operator="lessThan">
      <formula>$I$27</formula>
    </cfRule>
    <cfRule type="cellIs" dxfId="149" priority="37" operator="greaterThan">
      <formula>$K$27</formula>
    </cfRule>
    <cfRule type="cellIs" dxfId="148" priority="36" operator="between">
      <formula>$I$27</formula>
      <formula>$K$27</formula>
    </cfRule>
  </conditionalFormatting>
  <conditionalFormatting sqref="E29">
    <cfRule type="cellIs" dxfId="147" priority="13" operator="greaterThan">
      <formula>$K$29</formula>
    </cfRule>
    <cfRule type="cellIs" dxfId="146" priority="14" operator="lessThan">
      <formula>$I$29</formula>
    </cfRule>
    <cfRule type="cellIs" dxfId="145" priority="12" operator="between">
      <formula>$I$29</formula>
      <formula>$K$29</formula>
    </cfRule>
  </conditionalFormatting>
  <conditionalFormatting sqref="E33">
    <cfRule type="cellIs" dxfId="144" priority="35" operator="greaterThan">
      <formula>$I$33</formula>
    </cfRule>
    <cfRule type="cellIs" dxfId="143" priority="34" operator="lessThan">
      <formula>$K$33</formula>
    </cfRule>
    <cfRule type="cellIs" dxfId="142" priority="33" operator="between">
      <formula>$I$33</formula>
      <formula>$K$33</formula>
    </cfRule>
  </conditionalFormatting>
  <conditionalFormatting sqref="E35">
    <cfRule type="cellIs" dxfId="141" priority="32" operator="greaterThan">
      <formula>$I$35</formula>
    </cfRule>
    <cfRule type="cellIs" dxfId="140" priority="31" operator="lessThan">
      <formula>$K$35</formula>
    </cfRule>
    <cfRule type="cellIs" dxfId="139" priority="30" operator="between">
      <formula>$I$35</formula>
      <formula>$K$35</formula>
    </cfRule>
  </conditionalFormatting>
  <conditionalFormatting sqref="E37">
    <cfRule type="cellIs" dxfId="138" priority="29" operator="greaterThan">
      <formula>$I$37</formula>
    </cfRule>
    <cfRule type="cellIs" dxfId="137" priority="28" operator="lessThan">
      <formula>$K$37</formula>
    </cfRule>
    <cfRule type="cellIs" dxfId="136" priority="27" operator="between">
      <formula>$I$37</formula>
      <formula>$K$37</formula>
    </cfRule>
  </conditionalFormatting>
  <conditionalFormatting sqref="E41">
    <cfRule type="cellIs" dxfId="135" priority="26" operator="greaterThan">
      <formula>$I$41</formula>
    </cfRule>
    <cfRule type="cellIs" dxfId="134" priority="24" operator="between">
      <formula>$I$41</formula>
      <formula>$K$41</formula>
    </cfRule>
    <cfRule type="cellIs" dxfId="133" priority="25" operator="lessThan">
      <formula>$K$41</formula>
    </cfRule>
  </conditionalFormatting>
  <conditionalFormatting sqref="E43">
    <cfRule type="cellIs" dxfId="132" priority="23" operator="greaterThan">
      <formula>$I$43</formula>
    </cfRule>
    <cfRule type="cellIs" dxfId="131" priority="22" operator="lessThan">
      <formula>$K$43</formula>
    </cfRule>
    <cfRule type="cellIs" dxfId="130" priority="21" operator="between">
      <formula>$I$43</formula>
      <formula>$K$43</formula>
    </cfRule>
  </conditionalFormatting>
  <conditionalFormatting sqref="E47">
    <cfRule type="cellIs" dxfId="129" priority="11" operator="greaterThan">
      <formula>$I$37</formula>
    </cfRule>
    <cfRule type="cellIs" dxfId="128" priority="10" operator="lessThan">
      <formula>$K$37</formula>
    </cfRule>
    <cfRule type="cellIs" dxfId="127" priority="9" operator="between">
      <formula>$I$37</formula>
      <formula>$K$37</formula>
    </cfRule>
  </conditionalFormatting>
  <conditionalFormatting sqref="E49">
    <cfRule type="cellIs" dxfId="126" priority="17" operator="greaterThan">
      <formula>$I$49</formula>
    </cfRule>
    <cfRule type="cellIs" dxfId="125" priority="16" operator="lessThan">
      <formula>$K$49</formula>
    </cfRule>
    <cfRule type="cellIs" dxfId="124" priority="15" operator="between">
      <formula>$I$49</formula>
      <formula>$K$49</formula>
    </cfRule>
  </conditionalFormatting>
  <conditionalFormatting sqref="E51">
    <cfRule type="cellIs" dxfId="123" priority="6" operator="between">
      <formula>$I$43</formula>
      <formula>$K$43</formula>
    </cfRule>
    <cfRule type="cellIs" dxfId="122" priority="8" operator="greaterThan">
      <formula>$I$43</formula>
    </cfRule>
    <cfRule type="cellIs" dxfId="121" priority="7" operator="lessThan">
      <formula>$K$43</formula>
    </cfRule>
  </conditionalFormatting>
  <conditionalFormatting sqref="E54">
    <cfRule type="cellIs" dxfId="120" priority="5" operator="lessThan">
      <formula>$C$56</formula>
    </cfRule>
    <cfRule type="cellIs" dxfId="119" priority="4" operator="greaterThan">
      <formula>$C$56</formula>
    </cfRule>
  </conditionalFormatting>
  <conditionalFormatting sqref="E57">
    <cfRule type="cellIs" dxfId="118" priority="1" operator="between">
      <formula>$I$57</formula>
      <formula>$K$57</formula>
    </cfRule>
    <cfRule type="cellIs" dxfId="117" priority="3" operator="greaterThan">
      <formula>$I$57</formula>
    </cfRule>
    <cfRule type="cellIs" dxfId="116" priority="2" operator="lessThan"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272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243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246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247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249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251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252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275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254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255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260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261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262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263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264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265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266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267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268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9" operator="lessThan">
      <formula>$K$6</formula>
    </cfRule>
    <cfRule type="cellIs" dxfId="114" priority="178" operator="greaterThan">
      <formula>$I$6</formula>
    </cfRule>
    <cfRule type="cellIs" dxfId="113" priority="177" operator="between">
      <formula>$I$6</formula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2" operator="greaterThan">
      <formula>$I$8</formula>
    </cfRule>
    <cfRule type="cellIs" dxfId="110" priority="171" operator="lessThan">
      <formula>$K$8</formula>
    </cfRule>
    <cfRule type="cellIs" dxfId="109" priority="170" operator="between">
      <formula>$I$8</formula>
      <formula>$K$8</formula>
    </cfRule>
  </conditionalFormatting>
  <conditionalFormatting sqref="C12">
    <cfRule type="cellIs" dxfId="108" priority="166" operator="lessThan">
      <formula>$I$12</formula>
    </cfRule>
    <cfRule type="cellIs" dxfId="107" priority="165" operator="greaterThan">
      <formula>$K$12</formula>
    </cfRule>
    <cfRule type="cellIs" dxfId="106" priority="164" operator="between">
      <formula>$I$12</formula>
      <formula>$K$12</formula>
    </cfRule>
    <cfRule type="cellIs" dxfId="105" priority="163" operator="lessThan">
      <formula>0</formula>
    </cfRule>
  </conditionalFormatting>
  <conditionalFormatting sqref="C14">
    <cfRule type="cellIs" dxfId="104" priority="157" operator="greaterThan">
      <formula>$K$14</formula>
    </cfRule>
    <cfRule type="cellIs" dxfId="103" priority="156" operator="between">
      <formula>$I$14</formula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4" operator="lessThan">
      <formula>$I$27</formula>
    </cfRule>
    <cfRule type="cellIs" dxfId="91" priority="133" operator="greaterThan">
      <formula>$K$27</formula>
    </cfRule>
    <cfRule type="cellIs" dxfId="90" priority="132" operator="between">
      <formula>$I$27</formula>
      <formula>$K$27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8" operator="lessThan">
      <formula>$I$29</formula>
    </cfRule>
    <cfRule type="cellIs" dxfId="87" priority="127" operator="greaterThan">
      <formula>$K$29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2" operator="greaterThan">
      <formula>$I$33</formula>
    </cfRule>
    <cfRule type="cellIs" dxfId="84" priority="121" operator="lessThan">
      <formula>$K$33</formula>
    </cfRule>
  </conditionalFormatting>
  <conditionalFormatting sqref="C35">
    <cfRule type="cellIs" dxfId="83" priority="116" operator="greaterThan">
      <formula>$I$35</formula>
    </cfRule>
    <cfRule type="cellIs" dxfId="82" priority="115" operator="lessThan">
      <formula>$K$35</formula>
    </cfRule>
    <cfRule type="cellIs" dxfId="81" priority="114" operator="between">
      <formula>$I$35</formula>
      <formula>$K$35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7" operator="lessThan">
      <formula>$K$41</formula>
    </cfRule>
    <cfRule type="cellIs" dxfId="76" priority="96" operator="between">
      <formula>$I$41</formula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3" operator="lessThan">
      <formula>$K$37</formula>
    </cfRule>
    <cfRule type="cellIs" dxfId="70" priority="104" operator="greaterThan">
      <formula>$I$37</formula>
    </cfRule>
    <cfRule type="cellIs" dxfId="69" priority="102" operator="between">
      <formula>$I$37</formula>
      <formula>$K$37</formula>
    </cfRule>
  </conditionalFormatting>
  <conditionalFormatting sqref="C49">
    <cfRule type="cellIs" dxfId="68" priority="80" operator="greaterThan">
      <formula>$I$49</formula>
    </cfRule>
    <cfRule type="cellIs" dxfId="67" priority="78" operator="between">
      <formula>$I$49</formula>
      <formula>$K$49</formula>
    </cfRule>
    <cfRule type="cellIs" dxfId="66" priority="79" operator="lessThan">
      <formula>$K$49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8" operator="lessThan">
      <formula>$C$56</formula>
    </cfRule>
    <cfRule type="cellIs" dxfId="61" priority="67" operator="greaterThan">
      <formula>$C$56</formula>
    </cfRule>
  </conditionalFormatting>
  <conditionalFormatting sqref="C57">
    <cfRule type="cellIs" dxfId="60" priority="74" operator="greaterThan">
      <formula>$I$57</formula>
    </cfRule>
    <cfRule type="cellIs" dxfId="59" priority="73" operator="lessThan">
      <formula>$K$57</formula>
    </cfRule>
    <cfRule type="cellIs" dxfId="58" priority="72" operator="between">
      <formula>$I$57</formula>
      <formula>$K$57</formula>
    </cfRule>
  </conditionalFormatting>
  <conditionalFormatting sqref="E6">
    <cfRule type="cellIs" dxfId="57" priority="50" operator="greaterThan">
      <formula>$I$6</formula>
    </cfRule>
    <cfRule type="cellIs" dxfId="56" priority="49" operator="lessThan">
      <formula>$K$6</formula>
    </cfRule>
    <cfRule type="cellIs" dxfId="55" priority="47" operator="between">
      <formula>$I$6</formula>
      <formula>$K$6</formula>
    </cfRule>
    <cfRule type="cellIs" dxfId="54" priority="48" operator="greaterThan">
      <formula>$I$6</formula>
    </cfRule>
  </conditionalFormatting>
  <conditionalFormatting sqref="E8">
    <cfRule type="cellIs" dxfId="53" priority="46" operator="greaterThan">
      <formula>$I$8</formula>
    </cfRule>
    <cfRule type="cellIs" dxfId="52" priority="45" operator="lessThan">
      <formula>$K$8</formula>
    </cfRule>
    <cfRule type="cellIs" dxfId="51" priority="44" operator="between">
      <formula>$I$8</formula>
      <formula>$K$8</formula>
    </cfRule>
  </conditionalFormatting>
  <conditionalFormatting sqref="E12">
    <cfRule type="cellIs" dxfId="50" priority="43" operator="lessThan">
      <formula>$I$12</formula>
    </cfRule>
    <cfRule type="cellIs" dxfId="49" priority="42" operator="greaterThan">
      <formula>$K$12</formula>
    </cfRule>
    <cfRule type="cellIs" dxfId="48" priority="40" operator="lessThan">
      <formula>0</formula>
    </cfRule>
    <cfRule type="cellIs" dxfId="47" priority="41" operator="between">
      <formula>$I$12</formula>
      <formula>$K$12</formula>
    </cfRule>
  </conditionalFormatting>
  <conditionalFormatting sqref="E14">
    <cfRule type="cellIs" dxfId="46" priority="38" operator="greaterThan">
      <formula>$K$14</formula>
    </cfRule>
    <cfRule type="cellIs" dxfId="45" priority="37" operator="between">
      <formula>$I$14</formula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30" operator="lessThan">
      <formula>$I$21</formula>
    </cfRule>
    <cfRule type="cellIs" dxfId="39" priority="28" operator="between">
      <formula>$I$21</formula>
      <formula>$K$21</formula>
    </cfRule>
    <cfRule type="cellIs" dxfId="38" priority="29" operator="greaterThan">
      <formula>$K$21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5" operator="lessThan">
      <formula>$I$29</formula>
    </cfRule>
    <cfRule type="cellIs" dxfId="29" priority="124" operator="greaterThan">
      <formula>$K$29</formula>
    </cfRule>
  </conditionalFormatting>
  <conditionalFormatting sqref="E33">
    <cfRule type="cellIs" dxfId="28" priority="21" operator="greaterThan">
      <formula>$I$33</formula>
    </cfRule>
    <cfRule type="cellIs" dxfId="27" priority="20" operator="lessThan">
      <formula>$K$33</formula>
    </cfRule>
    <cfRule type="cellIs" dxfId="26" priority="19" operator="between">
      <formula>$I$33</formula>
      <formula>$K$33</formula>
    </cfRule>
  </conditionalFormatting>
  <conditionalFormatting sqref="E35">
    <cfRule type="cellIs" dxfId="25" priority="18" operator="greaterThan">
      <formula>$I$35</formula>
    </cfRule>
    <cfRule type="cellIs" dxfId="24" priority="17" operator="lessThan">
      <formula>$K$35</formula>
    </cfRule>
    <cfRule type="cellIs" dxfId="23" priority="16" operator="between">
      <formula>$I$35</formula>
      <formula>$K$35</formula>
    </cfRule>
  </conditionalFormatting>
  <conditionalFormatting sqref="E37">
    <cfRule type="cellIs" dxfId="22" priority="15" operator="greaterThan">
      <formula>$I$37</formula>
    </cfRule>
    <cfRule type="cellIs" dxfId="21" priority="14" operator="lessThan">
      <formula>$K$37</formula>
    </cfRule>
    <cfRule type="cellIs" dxfId="20" priority="13" operator="between">
      <formula>$I$37</formula>
      <formula>$K$37</formula>
    </cfRule>
  </conditionalFormatting>
  <conditionalFormatting sqref="E41">
    <cfRule type="cellIs" dxfId="19" priority="11" operator="lessThan">
      <formula>$K$41</formula>
    </cfRule>
    <cfRule type="cellIs" dxfId="18" priority="10" operator="between">
      <formula>$I$41</formula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2" operator="lessThan">
      <formula>$K$49</formula>
    </cfRule>
    <cfRule type="cellIs" dxfId="9" priority="3" operator="greaterThan">
      <formula>$I$49</formula>
    </cfRule>
    <cfRule type="cellIs" dxfId="8" priority="1" operator="between">
      <formula>$I$49</formula>
      <formula>$K$49</formula>
    </cfRule>
  </conditionalFormatting>
  <conditionalFormatting sqref="E51">
    <cfRule type="cellIs" dxfId="7" priority="83" operator="greaterThan">
      <formula>$I$43</formula>
    </cfRule>
    <cfRule type="cellIs" dxfId="6" priority="81" operator="between">
      <formula>$I$43</formula>
      <formula>$K$43</formula>
    </cfRule>
    <cfRule type="cellIs" dxfId="5" priority="82" operator="lessThan">
      <formula>$K$43</formula>
    </cfRule>
  </conditionalFormatting>
  <conditionalFormatting sqref="E54">
    <cfRule type="cellIs" dxfId="4" priority="66" operator="lessThan">
      <formula>$C$56</formula>
    </cfRule>
    <cfRule type="cellIs" dxfId="3" priority="65" operator="greaterThan">
      <formula>$C$56</formula>
    </cfRule>
  </conditionalFormatting>
  <conditionalFormatting sqref="E57">
    <cfRule type="cellIs" dxfId="2" priority="71" operator="greaterThan">
      <formula>$I$57</formula>
    </cfRule>
    <cfRule type="cellIs" dxfId="1" priority="70" operator="lessThan">
      <formula>$K$57</formula>
    </cfRule>
    <cfRule type="cellIs" dxfId="0" priority="69" operator="between">
      <formula>$I$57</formula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topLeftCell="A6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zoomScale="83" zoomScaleNormal="83" workbookViewId="0">
      <selection activeCell="R25" sqref="R25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297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3" zoomScale="70" zoomScaleNormal="70" workbookViewId="0">
      <selection activeCell="I20" sqref="I20"/>
    </sheetView>
  </sheetViews>
  <sheetFormatPr baseColWidth="10" defaultRowHeight="15" x14ac:dyDescent="0.25"/>
  <cols>
    <col min="3" max="3" width="42.5703125" customWidth="1"/>
    <col min="4" max="4" width="16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297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276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zoomScale="90" zoomScaleNormal="90" workbookViewId="0">
      <selection activeCell="E92" sqref="E92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/>
      <c r="D8" s="114"/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/>
      <c r="D9" s="114"/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/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 t="s">
        <v>121</v>
      </c>
      <c r="D18" s="114" t="s">
        <v>122</v>
      </c>
      <c r="E18" s="116">
        <v>12815697</v>
      </c>
      <c r="J18" s="149" t="s">
        <v>108</v>
      </c>
      <c r="K18" s="156"/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/>
      <c r="P20" s="157"/>
    </row>
    <row r="21" spans="2:17" x14ac:dyDescent="0.25">
      <c r="B21" s="112" t="s">
        <v>119</v>
      </c>
      <c r="C21" s="113" t="s">
        <v>121</v>
      </c>
      <c r="D21" s="114" t="s">
        <v>122</v>
      </c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/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 t="s">
        <v>110</v>
      </c>
      <c r="D24" s="122" t="s">
        <v>103</v>
      </c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/>
      <c r="L25" s="150"/>
      <c r="M25" s="94"/>
      <c r="N25" s="112" t="s">
        <v>103</v>
      </c>
      <c r="O25" s="113"/>
      <c r="P25" s="150"/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/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/>
      <c r="P28" s="157"/>
    </row>
    <row r="30" spans="2:17" ht="15.75" thickBot="1" x14ac:dyDescent="0.3">
      <c r="J30" s="149" t="s">
        <v>116</v>
      </c>
      <c r="K30" s="158"/>
      <c r="L30" s="159"/>
      <c r="N30" s="149" t="s">
        <v>115</v>
      </c>
      <c r="O30" s="158"/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2:14" x14ac:dyDescent="0.25">
      <c r="K33" s="151" t="s">
        <v>124</v>
      </c>
      <c r="L33" s="152"/>
      <c r="M33" s="152"/>
      <c r="N33" s="153"/>
    </row>
    <row r="34" spans="2:14" x14ac:dyDescent="0.25">
      <c r="B34" s="110" t="s">
        <v>83</v>
      </c>
      <c r="C34" s="111" t="s">
        <v>92</v>
      </c>
      <c r="D34" s="111" t="s">
        <v>91</v>
      </c>
      <c r="E34" s="111" t="s">
        <v>84</v>
      </c>
      <c r="K34" s="151" t="s">
        <v>119</v>
      </c>
      <c r="L34" s="152"/>
      <c r="M34" s="152"/>
      <c r="N34" s="153"/>
    </row>
    <row r="35" spans="2:14" x14ac:dyDescent="0.25">
      <c r="B35" s="112" t="s">
        <v>99</v>
      </c>
      <c r="C35" s="113" t="s">
        <v>94</v>
      </c>
      <c r="D35" s="114" t="s">
        <v>80</v>
      </c>
      <c r="E35" s="113">
        <v>23878437</v>
      </c>
      <c r="K35" s="151" t="s">
        <v>118</v>
      </c>
      <c r="L35" s="152"/>
      <c r="M35" s="152"/>
      <c r="N35" s="153"/>
    </row>
    <row r="36" spans="2:14" x14ac:dyDescent="0.25">
      <c r="B36" s="112" t="s">
        <v>87</v>
      </c>
      <c r="C36" s="113" t="s">
        <v>94</v>
      </c>
      <c r="D36" s="114" t="s">
        <v>80</v>
      </c>
      <c r="E36" s="113">
        <v>5978717</v>
      </c>
      <c r="K36" s="151" t="s">
        <v>120</v>
      </c>
      <c r="L36" s="152"/>
      <c r="M36" s="152"/>
      <c r="N36" s="153"/>
    </row>
    <row r="37" spans="2:14" x14ac:dyDescent="0.25">
      <c r="B37" s="112" t="s">
        <v>100</v>
      </c>
      <c r="C37" s="113" t="s">
        <v>94</v>
      </c>
      <c r="D37" s="114" t="s">
        <v>80</v>
      </c>
      <c r="E37" s="113">
        <v>5221842</v>
      </c>
      <c r="K37" s="95"/>
      <c r="L37" s="96"/>
      <c r="M37" s="94"/>
    </row>
    <row r="38" spans="2:14" x14ac:dyDescent="0.25">
      <c r="B38" s="112" t="s">
        <v>85</v>
      </c>
      <c r="C38" s="113" t="s">
        <v>94</v>
      </c>
      <c r="D38" s="114" t="s">
        <v>80</v>
      </c>
      <c r="E38" s="113">
        <v>3620179</v>
      </c>
      <c r="K38" s="95"/>
      <c r="L38" s="96"/>
      <c r="M38" s="94"/>
    </row>
    <row r="39" spans="2:14" x14ac:dyDescent="0.25">
      <c r="B39" s="112" t="s">
        <v>88</v>
      </c>
      <c r="C39" s="113" t="s">
        <v>94</v>
      </c>
      <c r="D39" s="114" t="s">
        <v>80</v>
      </c>
      <c r="E39" s="113">
        <v>2221114</v>
      </c>
      <c r="K39" s="95"/>
      <c r="L39" s="96"/>
      <c r="M39" s="94"/>
    </row>
    <row r="40" spans="2:14" x14ac:dyDescent="0.25">
      <c r="B40" s="112" t="s">
        <v>86</v>
      </c>
      <c r="C40" s="113" t="s">
        <v>94</v>
      </c>
      <c r="D40" s="114" t="s">
        <v>80</v>
      </c>
      <c r="E40" s="113">
        <v>36052</v>
      </c>
      <c r="K40" s="95"/>
      <c r="L40" s="96"/>
      <c r="M40" s="94"/>
    </row>
    <row r="41" spans="2:14" x14ac:dyDescent="0.25">
      <c r="B41" s="112" t="s">
        <v>13</v>
      </c>
      <c r="C41" s="113" t="s">
        <v>94</v>
      </c>
      <c r="D41" s="114" t="s">
        <v>96</v>
      </c>
      <c r="E41" s="113">
        <v>2604488</v>
      </c>
      <c r="K41" s="95"/>
      <c r="L41" s="96"/>
      <c r="M41" s="94"/>
    </row>
    <row r="42" spans="2:14" x14ac:dyDescent="0.25">
      <c r="B42" s="112" t="s">
        <v>15</v>
      </c>
      <c r="C42" s="113" t="s">
        <v>94</v>
      </c>
      <c r="D42" s="114" t="s">
        <v>96</v>
      </c>
      <c r="E42" s="113">
        <v>1899926</v>
      </c>
      <c r="K42" s="95"/>
      <c r="L42" s="96"/>
      <c r="M42" s="94"/>
    </row>
    <row r="43" spans="2:14" x14ac:dyDescent="0.25">
      <c r="B43" s="112" t="s">
        <v>89</v>
      </c>
      <c r="C43" s="113" t="s">
        <v>94</v>
      </c>
      <c r="D43" s="114" t="s">
        <v>96</v>
      </c>
      <c r="E43" s="113">
        <v>-1355484</v>
      </c>
    </row>
    <row r="44" spans="2:14" x14ac:dyDescent="0.25">
      <c r="B44" s="112" t="s">
        <v>35</v>
      </c>
      <c r="C44" s="113" t="s">
        <v>110</v>
      </c>
      <c r="D44" s="114" t="s">
        <v>103</v>
      </c>
      <c r="E44" s="116">
        <v>19812878</v>
      </c>
    </row>
    <row r="45" spans="2:14" x14ac:dyDescent="0.25">
      <c r="B45" s="112" t="s">
        <v>34</v>
      </c>
      <c r="C45" s="113" t="s">
        <v>110</v>
      </c>
      <c r="D45" s="114" t="s">
        <v>103</v>
      </c>
      <c r="E45" s="116">
        <v>2442739</v>
      </c>
    </row>
    <row r="46" spans="2:14" x14ac:dyDescent="0.25">
      <c r="B46" s="112" t="s">
        <v>98</v>
      </c>
      <c r="C46" s="113" t="s">
        <v>110</v>
      </c>
      <c r="D46" s="114" t="s">
        <v>103</v>
      </c>
      <c r="E46" s="116">
        <v>1688874</v>
      </c>
    </row>
    <row r="47" spans="2:14" x14ac:dyDescent="0.25">
      <c r="B47" s="112" t="s">
        <v>90</v>
      </c>
      <c r="C47" s="113" t="s">
        <v>93</v>
      </c>
      <c r="D47" s="114" t="s">
        <v>80</v>
      </c>
      <c r="E47" s="115">
        <v>9697732</v>
      </c>
    </row>
    <row r="48" spans="2:14" x14ac:dyDescent="0.25">
      <c r="B48" s="112" t="s">
        <v>101</v>
      </c>
      <c r="C48" s="113" t="s">
        <v>93</v>
      </c>
      <c r="D48" s="114" t="s">
        <v>80</v>
      </c>
      <c r="E48" s="114">
        <v>2572227</v>
      </c>
    </row>
    <row r="49" spans="2:5" x14ac:dyDescent="0.25">
      <c r="B49" s="112" t="s">
        <v>28</v>
      </c>
      <c r="C49" s="113" t="s">
        <v>93</v>
      </c>
      <c r="D49" s="114" t="s">
        <v>80</v>
      </c>
      <c r="E49" s="114">
        <f>374870+937109</f>
        <v>1311979</v>
      </c>
    </row>
    <row r="50" spans="2:5" x14ac:dyDescent="0.25">
      <c r="B50" s="112" t="s">
        <v>95</v>
      </c>
      <c r="C50" s="113" t="s">
        <v>93</v>
      </c>
      <c r="D50" s="114" t="s">
        <v>80</v>
      </c>
      <c r="E50" s="116">
        <v>900514</v>
      </c>
    </row>
    <row r="51" spans="2:5" x14ac:dyDescent="0.25">
      <c r="B51" s="112" t="s">
        <v>102</v>
      </c>
      <c r="C51" s="113" t="s">
        <v>93</v>
      </c>
      <c r="D51" s="114" t="s">
        <v>96</v>
      </c>
      <c r="E51" s="116">
        <v>5678328</v>
      </c>
    </row>
    <row r="52" spans="2:5" x14ac:dyDescent="0.25">
      <c r="B52" s="112" t="s">
        <v>117</v>
      </c>
      <c r="C52" s="113" t="s">
        <v>121</v>
      </c>
      <c r="D52" s="114" t="s">
        <v>122</v>
      </c>
      <c r="E52" s="116">
        <v>135233</v>
      </c>
    </row>
    <row r="53" spans="2:5" x14ac:dyDescent="0.25">
      <c r="B53" s="112" t="s">
        <v>118</v>
      </c>
      <c r="C53" s="113" t="s">
        <v>121</v>
      </c>
      <c r="D53" s="114" t="s">
        <v>122</v>
      </c>
      <c r="E53" s="116">
        <v>12815697</v>
      </c>
    </row>
    <row r="54" spans="2:5" x14ac:dyDescent="0.25">
      <c r="B54" s="112" t="s">
        <v>119</v>
      </c>
      <c r="C54" s="113" t="s">
        <v>121</v>
      </c>
      <c r="D54" s="114" t="s">
        <v>122</v>
      </c>
      <c r="E54" s="116">
        <v>2296649</v>
      </c>
    </row>
    <row r="55" spans="2:5" x14ac:dyDescent="0.25">
      <c r="B55" s="112" t="s">
        <v>120</v>
      </c>
      <c r="C55" s="113" t="s">
        <v>121</v>
      </c>
      <c r="D55" s="114" t="s">
        <v>122</v>
      </c>
      <c r="E55" s="116">
        <v>677134</v>
      </c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10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10:16" x14ac:dyDescent="0.25">
      <c r="K82" s="95"/>
      <c r="L82" s="96"/>
      <c r="M82" s="94"/>
    </row>
    <row r="83" spans="10:16" x14ac:dyDescent="0.25"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10:16" x14ac:dyDescent="0.25"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10:16" x14ac:dyDescent="0.25">
      <c r="J85" s="112" t="s">
        <v>105</v>
      </c>
      <c r="K85" s="113">
        <f>E40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E47</f>
        <v>9697732</v>
      </c>
      <c r="P85" s="150">
        <f>O85/O$103</f>
        <v>0.21987693942522199</v>
      </c>
    </row>
    <row r="86" spans="10:16" x14ac:dyDescent="0.25">
      <c r="J86" s="112" t="s">
        <v>85</v>
      </c>
      <c r="K86" s="113">
        <f>E38</f>
        <v>3620179</v>
      </c>
      <c r="L86" s="150">
        <f t="shared" si="0"/>
        <v>8.208041619333889E-2</v>
      </c>
      <c r="M86" s="94"/>
      <c r="N86" s="112" t="s">
        <v>28</v>
      </c>
      <c r="O86" s="113">
        <f>E49</f>
        <v>1311979</v>
      </c>
      <c r="P86" s="150">
        <f>O86/O$103</f>
        <v>2.9746535283730599E-2</v>
      </c>
    </row>
    <row r="87" spans="10:16" x14ac:dyDescent="0.25">
      <c r="J87" s="112" t="s">
        <v>87</v>
      </c>
      <c r="K87" s="113">
        <f>E36</f>
        <v>5978717</v>
      </c>
      <c r="L87" s="150">
        <f t="shared" si="0"/>
        <v>0.13555561193581603</v>
      </c>
      <c r="M87" s="94"/>
      <c r="N87" s="112" t="s">
        <v>24</v>
      </c>
      <c r="O87" s="113">
        <f>E48</f>
        <v>2572227</v>
      </c>
      <c r="P87" s="150">
        <f>O87/O$103</f>
        <v>5.8320172207988477E-2</v>
      </c>
    </row>
    <row r="88" spans="10:16" x14ac:dyDescent="0.25">
      <c r="J88" s="112" t="s">
        <v>106</v>
      </c>
      <c r="K88" s="113">
        <f>E35</f>
        <v>23878437</v>
      </c>
      <c r="L88" s="150">
        <f t="shared" si="0"/>
        <v>0.54139644669681319</v>
      </c>
      <c r="M88" s="94"/>
      <c r="N88" s="112" t="s">
        <v>95</v>
      </c>
      <c r="O88" s="121">
        <f>E50</f>
        <v>900514</v>
      </c>
      <c r="P88" s="150">
        <f>O88/O$103</f>
        <v>2.0417378231277618E-2</v>
      </c>
    </row>
    <row r="89" spans="10:16" x14ac:dyDescent="0.25">
      <c r="J89" s="112" t="s">
        <v>107</v>
      </c>
      <c r="K89" s="113">
        <f>E37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10:16" x14ac:dyDescent="0.25">
      <c r="J90" s="112" t="s">
        <v>88</v>
      </c>
      <c r="K90" s="121">
        <f>E39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10:16" x14ac:dyDescent="0.25"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10:16" x14ac:dyDescent="0.25">
      <c r="M92" s="94"/>
      <c r="N92" s="112" t="s">
        <v>24</v>
      </c>
      <c r="O92" s="121">
        <f>E51</f>
        <v>5678328</v>
      </c>
      <c r="P92" s="150">
        <f>O92/O$103</f>
        <v>0.1287448840298476</v>
      </c>
    </row>
    <row r="93" spans="10:16" x14ac:dyDescent="0.25"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10:16" x14ac:dyDescent="0.25">
      <c r="M94" s="94"/>
      <c r="N94" s="94"/>
      <c r="O94" s="94"/>
      <c r="P94" s="94"/>
    </row>
    <row r="95" spans="10:16" ht="15.75" thickBot="1" x14ac:dyDescent="0.3"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10:16" ht="15.75" thickTop="1" x14ac:dyDescent="0.25">
      <c r="J96" s="112" t="s">
        <v>15</v>
      </c>
      <c r="K96" s="113">
        <f>E42</f>
        <v>1899926</v>
      </c>
      <c r="L96" s="150">
        <f>K96/K$103</f>
        <v>4.3077073486296004E-2</v>
      </c>
      <c r="M96" s="94"/>
      <c r="N96" s="94"/>
      <c r="O96" s="94"/>
      <c r="P96" s="94"/>
    </row>
    <row r="97" spans="10:16" x14ac:dyDescent="0.25">
      <c r="J97" s="112" t="s">
        <v>13</v>
      </c>
      <c r="K97" s="113">
        <f>E41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10:16" x14ac:dyDescent="0.25">
      <c r="J98" s="112" t="s">
        <v>41</v>
      </c>
      <c r="K98" s="121">
        <f>E43</f>
        <v>-1355484</v>
      </c>
      <c r="L98" s="150">
        <f>K98/K$103</f>
        <v>-3.073292532314335E-2</v>
      </c>
      <c r="M98" s="94"/>
      <c r="N98" s="112" t="s">
        <v>103</v>
      </c>
      <c r="O98" s="113">
        <f>E46</f>
        <v>1688874</v>
      </c>
      <c r="P98" s="150">
        <f>O98/O$103</f>
        <v>3.8291885792970187E-2</v>
      </c>
    </row>
    <row r="99" spans="10:16" x14ac:dyDescent="0.25"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E44</f>
        <v>19812878</v>
      </c>
      <c r="P99" s="150">
        <f>O99/O$103</f>
        <v>0.44921791774048958</v>
      </c>
    </row>
    <row r="100" spans="10:16" x14ac:dyDescent="0.25">
      <c r="M100" s="94"/>
      <c r="N100" s="112" t="s">
        <v>34</v>
      </c>
      <c r="O100" s="121">
        <f>E45</f>
        <v>2442739</v>
      </c>
      <c r="P100" s="154">
        <f>O100/O$103</f>
        <v>5.5384287288473978E-2</v>
      </c>
    </row>
    <row r="101" spans="10:16" x14ac:dyDescent="0.25"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10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10:16" ht="15.75" thickTop="1" x14ac:dyDescent="0.25">
      <c r="O104" s="95"/>
      <c r="P104" s="96"/>
    </row>
    <row r="105" spans="10:16" x14ac:dyDescent="0.25">
      <c r="J105" s="124"/>
      <c r="K105" s="172" t="s">
        <v>123</v>
      </c>
      <c r="L105" s="175"/>
      <c r="M105" s="175"/>
      <c r="N105" s="176"/>
    </row>
    <row r="106" spans="10:16" x14ac:dyDescent="0.25">
      <c r="K106" s="151" t="s">
        <v>124</v>
      </c>
      <c r="L106" s="152"/>
      <c r="M106" s="152"/>
      <c r="N106" s="153">
        <f>E52</f>
        <v>135233</v>
      </c>
    </row>
    <row r="107" spans="10:16" x14ac:dyDescent="0.25">
      <c r="K107" s="151" t="s">
        <v>119</v>
      </c>
      <c r="L107" s="152"/>
      <c r="M107" s="152"/>
      <c r="N107" s="153">
        <f>E54</f>
        <v>2296649</v>
      </c>
    </row>
    <row r="108" spans="10:16" x14ac:dyDescent="0.25">
      <c r="K108" s="151" t="s">
        <v>118</v>
      </c>
      <c r="L108" s="152"/>
      <c r="M108" s="152"/>
      <c r="N108" s="153">
        <f>E53</f>
        <v>12815697</v>
      </c>
    </row>
    <row r="109" spans="10:16" x14ac:dyDescent="0.25">
      <c r="K109" s="151" t="s">
        <v>120</v>
      </c>
      <c r="L109" s="152"/>
      <c r="M109" s="152"/>
      <c r="N109" s="153">
        <f>E55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19" zoomScaleNormal="100" workbookViewId="0">
      <selection activeCell="B58" sqref="B58:B60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/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/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/>
      <c r="L10" s="179"/>
    </row>
    <row r="11" spans="2:12" x14ac:dyDescent="0.25">
      <c r="B11" s="112" t="s">
        <v>53</v>
      </c>
      <c r="C11" s="113"/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/>
      <c r="L12" s="179"/>
    </row>
    <row r="13" spans="2:12" x14ac:dyDescent="0.25">
      <c r="B13" s="112" t="s">
        <v>52</v>
      </c>
      <c r="C13" s="113"/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/>
      <c r="D14" s="96"/>
      <c r="E14" s="113">
        <v>939612</v>
      </c>
      <c r="J14" s="149" t="s">
        <v>131</v>
      </c>
      <c r="K14" s="184"/>
      <c r="L14" s="157"/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/>
      <c r="L19" s="185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/>
      <c r="L20" s="157"/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/>
      <c r="L22" s="182"/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/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/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/>
      <c r="L32" s="179"/>
    </row>
    <row r="33" spans="2:12" x14ac:dyDescent="0.25">
      <c r="J33" s="112"/>
      <c r="K33" s="120"/>
      <c r="L33" s="120"/>
    </row>
    <row r="34" spans="2:12" x14ac:dyDescent="0.25">
      <c r="B34" s="110" t="s">
        <v>83</v>
      </c>
      <c r="C34" s="111" t="s">
        <v>92</v>
      </c>
      <c r="D34" s="96"/>
      <c r="E34" s="111" t="s">
        <v>84</v>
      </c>
      <c r="J34" s="149" t="s">
        <v>138</v>
      </c>
      <c r="K34" s="184"/>
      <c r="L34" s="157"/>
    </row>
    <row r="35" spans="2:12" x14ac:dyDescent="0.25">
      <c r="B35" s="112" t="s">
        <v>50</v>
      </c>
      <c r="C35" s="113" t="s">
        <v>158</v>
      </c>
      <c r="D35" s="96"/>
      <c r="E35" s="116">
        <v>9961805</v>
      </c>
      <c r="J35" s="124"/>
    </row>
    <row r="36" spans="2:12" x14ac:dyDescent="0.25">
      <c r="B36" s="112" t="s">
        <v>155</v>
      </c>
      <c r="C36" s="113" t="s">
        <v>163</v>
      </c>
      <c r="D36" s="96"/>
      <c r="E36" s="116">
        <v>100633</v>
      </c>
      <c r="J36" s="112" t="s">
        <v>168</v>
      </c>
      <c r="K36" s="114"/>
      <c r="L36" s="179"/>
    </row>
    <row r="37" spans="2:12" x14ac:dyDescent="0.25">
      <c r="B37" s="112" t="s">
        <v>52</v>
      </c>
      <c r="C37" s="113" t="s">
        <v>160</v>
      </c>
      <c r="D37" s="96"/>
      <c r="E37" s="116">
        <v>1435863</v>
      </c>
      <c r="J37" s="112"/>
      <c r="K37" s="120"/>
      <c r="L37" s="120"/>
    </row>
    <row r="38" spans="2:12" ht="15.75" thickBot="1" x14ac:dyDescent="0.3">
      <c r="B38" s="112" t="s">
        <v>53</v>
      </c>
      <c r="C38" s="113" t="s">
        <v>160</v>
      </c>
      <c r="D38" s="96"/>
      <c r="E38" s="113">
        <v>2358710</v>
      </c>
      <c r="J38" s="149" t="s">
        <v>140</v>
      </c>
      <c r="K38" s="187"/>
      <c r="L38" s="159"/>
    </row>
    <row r="39" spans="2:12" ht="15.75" thickTop="1" x14ac:dyDescent="0.25">
      <c r="B39" s="112" t="s">
        <v>27</v>
      </c>
      <c r="C39" s="113" t="s">
        <v>160</v>
      </c>
      <c r="D39" s="96"/>
      <c r="E39" s="115">
        <v>313204</v>
      </c>
      <c r="J39" s="112"/>
      <c r="K39" s="188"/>
      <c r="L39" s="186"/>
    </row>
    <row r="40" spans="2:12" ht="15.75" thickBot="1" x14ac:dyDescent="0.3">
      <c r="B40" s="112" t="s">
        <v>153</v>
      </c>
      <c r="C40" s="113" t="s">
        <v>160</v>
      </c>
      <c r="D40" s="96"/>
      <c r="E40" s="116">
        <v>297654</v>
      </c>
      <c r="J40" s="149" t="s">
        <v>141</v>
      </c>
      <c r="K40" s="187"/>
      <c r="L40" s="112"/>
    </row>
    <row r="41" spans="2:12" ht="15.75" thickTop="1" x14ac:dyDescent="0.25">
      <c r="B41" s="112" t="s">
        <v>152</v>
      </c>
      <c r="C41" s="113" t="s">
        <v>159</v>
      </c>
      <c r="D41" s="96"/>
      <c r="E41" s="113">
        <v>939612</v>
      </c>
    </row>
    <row r="42" spans="2:12" x14ac:dyDescent="0.25">
      <c r="B42" s="112" t="s">
        <v>145</v>
      </c>
      <c r="C42" s="113" t="s">
        <v>161</v>
      </c>
      <c r="D42" s="96"/>
      <c r="E42" s="116">
        <f>E9</f>
        <v>9722310</v>
      </c>
    </row>
    <row r="43" spans="2:12" x14ac:dyDescent="0.25">
      <c r="B43" s="112" t="s">
        <v>146</v>
      </c>
      <c r="C43" s="113" t="s">
        <v>161</v>
      </c>
      <c r="D43" s="96"/>
      <c r="E43" s="113">
        <f>E10</f>
        <v>5883890</v>
      </c>
    </row>
    <row r="44" spans="2:12" x14ac:dyDescent="0.25">
      <c r="B44" s="112" t="s">
        <v>147</v>
      </c>
      <c r="C44" s="113" t="s">
        <v>161</v>
      </c>
      <c r="D44" s="96"/>
      <c r="E44" s="114">
        <f>E12</f>
        <v>2466728</v>
      </c>
    </row>
    <row r="45" spans="2:12" x14ac:dyDescent="0.25">
      <c r="B45" s="112" t="s">
        <v>157</v>
      </c>
      <c r="C45" s="113" t="s">
        <v>164</v>
      </c>
      <c r="D45" s="96"/>
      <c r="E45" s="114">
        <v>9651</v>
      </c>
    </row>
    <row r="46" spans="2:12" x14ac:dyDescent="0.25">
      <c r="B46" s="112" t="s">
        <v>148</v>
      </c>
      <c r="C46" s="113" t="s">
        <v>162</v>
      </c>
      <c r="D46" s="96"/>
      <c r="E46" s="116">
        <v>322963</v>
      </c>
    </row>
    <row r="47" spans="2:12" x14ac:dyDescent="0.25">
      <c r="B47" s="112" t="s">
        <v>149</v>
      </c>
      <c r="C47" s="113" t="s">
        <v>162</v>
      </c>
      <c r="D47" s="96"/>
      <c r="E47" s="113">
        <v>102534</v>
      </c>
    </row>
    <row r="48" spans="2:12" x14ac:dyDescent="0.25">
      <c r="B48" s="112" t="s">
        <v>150</v>
      </c>
      <c r="C48" s="113" t="s">
        <v>162</v>
      </c>
      <c r="D48" s="96"/>
      <c r="E48" s="113">
        <v>59830</v>
      </c>
    </row>
    <row r="49" spans="2:5" x14ac:dyDescent="0.25">
      <c r="B49" s="112" t="s">
        <v>151</v>
      </c>
      <c r="C49" s="113" t="s">
        <v>162</v>
      </c>
      <c r="D49" s="96"/>
      <c r="E49" s="116">
        <v>47900</v>
      </c>
    </row>
    <row r="50" spans="2:5" x14ac:dyDescent="0.25">
      <c r="B50" s="120" t="s">
        <v>156</v>
      </c>
      <c r="C50" s="121"/>
      <c r="D50" s="96"/>
      <c r="E50" s="114">
        <v>0</v>
      </c>
    </row>
    <row r="51" spans="2:5" x14ac:dyDescent="0.25">
      <c r="B51" s="112"/>
      <c r="C51" s="113"/>
      <c r="D51" s="96"/>
      <c r="E51" s="113"/>
    </row>
    <row r="52" spans="2:5" x14ac:dyDescent="0.25">
      <c r="B52" s="112"/>
      <c r="C52" s="113"/>
      <c r="D52" s="96"/>
      <c r="E52" s="113"/>
    </row>
    <row r="53" spans="2:5" x14ac:dyDescent="0.25">
      <c r="B53" s="112" t="s">
        <v>154</v>
      </c>
      <c r="C53" s="113"/>
      <c r="D53" s="96"/>
      <c r="E53" s="113">
        <v>1000</v>
      </c>
    </row>
    <row r="54" spans="2:5" x14ac:dyDescent="0.25">
      <c r="B54" s="112"/>
      <c r="C54" s="113"/>
      <c r="D54" s="96"/>
      <c r="E54" s="116"/>
    </row>
    <row r="77" spans="2:4" x14ac:dyDescent="0.25">
      <c r="B77" s="160" t="s">
        <v>104</v>
      </c>
      <c r="C77" s="161"/>
      <c r="D77" s="177"/>
    </row>
    <row r="78" spans="2:4" x14ac:dyDescent="0.25">
      <c r="B78" s="166" t="s">
        <v>187</v>
      </c>
      <c r="C78" s="167"/>
      <c r="D78" s="178"/>
    </row>
    <row r="80" spans="2:4" x14ac:dyDescent="0.25">
      <c r="B80" s="112" t="s">
        <v>127</v>
      </c>
      <c r="C80" s="116">
        <f>E42+E43+E44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E35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E37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E38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E40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E47+E49-E46-E48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-E36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E45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9" ht="7.15" customHeight="1" x14ac:dyDescent="0.25"/>
    <row r="121" ht="7.15" customHeight="1" x14ac:dyDescent="0.25"/>
    <row r="123" ht="7.15" customHeight="1" x14ac:dyDescent="0.25"/>
    <row r="129" ht="7.15" customHeight="1" x14ac:dyDescent="0.25"/>
    <row r="131" ht="7.15" customHeight="1" x14ac:dyDescent="0.25"/>
    <row r="133" ht="7.15" customHeight="1" x14ac:dyDescent="0.25"/>
    <row r="135" ht="7.15" customHeight="1" x14ac:dyDescent="0.25"/>
    <row r="137" ht="7.15" customHeight="1" x14ac:dyDescent="0.25"/>
    <row r="139" ht="7.15" customHeight="1" x14ac:dyDescent="0.25"/>
    <row r="141" ht="7.15" customHeight="1" x14ac:dyDescent="0.25"/>
    <row r="143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J50"/>
  <sheetViews>
    <sheetView showGridLines="0" workbookViewId="0">
      <selection activeCell="O32" sqref="O32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0" ht="20.25" x14ac:dyDescent="0.3">
      <c r="D5" s="1" t="s">
        <v>71</v>
      </c>
      <c r="E5" s="1"/>
      <c r="F5" s="1"/>
    </row>
    <row r="6" spans="4:10" ht="15.75" x14ac:dyDescent="0.25">
      <c r="D6" s="12" t="s">
        <v>72</v>
      </c>
      <c r="E6" s="13"/>
      <c r="F6" s="13"/>
    </row>
    <row r="7" spans="4:10" x14ac:dyDescent="0.25">
      <c r="D7" s="3" t="s">
        <v>0</v>
      </c>
      <c r="E7" s="3"/>
      <c r="F7" s="3"/>
    </row>
    <row r="8" spans="4:10" x14ac:dyDescent="0.25">
      <c r="D8" s="4" t="s">
        <v>1</v>
      </c>
      <c r="E8" s="6"/>
      <c r="F8" s="6"/>
    </row>
    <row r="9" spans="4:10" x14ac:dyDescent="0.25">
      <c r="D9" s="35"/>
      <c r="E9" s="14" t="s">
        <v>200</v>
      </c>
      <c r="F9" s="5"/>
      <c r="G9" s="14" t="s">
        <v>201</v>
      </c>
      <c r="H9" s="5"/>
      <c r="I9" s="263" t="s">
        <v>295</v>
      </c>
      <c r="J9" s="262"/>
    </row>
    <row r="10" spans="4:10" hidden="1" x14ac:dyDescent="0.25">
      <c r="D10" s="32" t="s">
        <v>43</v>
      </c>
      <c r="E10" s="11">
        <v>196201.18746000002</v>
      </c>
      <c r="F10" s="8">
        <v>0.79993879197333373</v>
      </c>
    </row>
    <row r="11" spans="4:10" hidden="1" x14ac:dyDescent="0.25">
      <c r="D11" s="32" t="s">
        <v>44</v>
      </c>
      <c r="E11" s="11">
        <v>17563.929889999999</v>
      </c>
      <c r="F11" s="8">
        <v>7.1610518980041074E-2</v>
      </c>
    </row>
    <row r="12" spans="4:10" hidden="1" x14ac:dyDescent="0.25">
      <c r="D12" s="32" t="s">
        <v>45</v>
      </c>
      <c r="E12" s="11">
        <v>14634.11939</v>
      </c>
      <c r="F12" s="8">
        <v>5.9665285098321585E-2</v>
      </c>
    </row>
    <row r="13" spans="4:10" hidden="1" x14ac:dyDescent="0.25">
      <c r="D13" s="2" t="s">
        <v>46</v>
      </c>
      <c r="E13" s="11">
        <v>16871.013219999997</v>
      </c>
      <c r="F13" s="8">
        <v>6.8785403948303611E-2</v>
      </c>
    </row>
    <row r="14" spans="4:10" hidden="1" x14ac:dyDescent="0.25">
      <c r="D14" s="2" t="s">
        <v>47</v>
      </c>
      <c r="E14" s="11">
        <v>0</v>
      </c>
      <c r="F14" s="8">
        <v>0</v>
      </c>
    </row>
    <row r="15" spans="4:10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  <c r="I15" s="11">
        <f>E15-G15</f>
        <v>24517.928726181417</v>
      </c>
      <c r="J15" s="260">
        <f>I15/G15</f>
        <v>0.10766353634401066</v>
      </c>
    </row>
    <row r="16" spans="4:10" x14ac:dyDescent="0.25">
      <c r="D16" s="26"/>
      <c r="E16" s="21"/>
      <c r="F16" s="33"/>
      <c r="G16" s="21"/>
      <c r="H16" s="33"/>
      <c r="I16" s="11"/>
      <c r="J16" s="2"/>
    </row>
    <row r="17" spans="4:10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  <c r="I17" s="11"/>
      <c r="J17" s="7"/>
    </row>
    <row r="18" spans="4:10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  <c r="I18" s="11"/>
      <c r="J18" s="7"/>
    </row>
    <row r="19" spans="4:10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  <c r="I19" s="11"/>
      <c r="J19" s="7"/>
    </row>
    <row r="20" spans="4:10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  <c r="I20" s="11"/>
      <c r="J20" s="7"/>
    </row>
    <row r="21" spans="4:10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  <c r="I21" s="11"/>
      <c r="J21" s="7"/>
    </row>
    <row r="22" spans="4:10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I22" s="43">
        <f>E22-G22</f>
        <v>2363.5110974400013</v>
      </c>
      <c r="J22" s="261">
        <f>I22/G22</f>
        <v>1.4610389610389619E-2</v>
      </c>
    </row>
    <row r="23" spans="4:10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I23" s="11">
        <f>E23-G23</f>
        <v>22154.417628741416</v>
      </c>
      <c r="J23" s="260">
        <f>I23/G23</f>
        <v>0.33588614349110157</v>
      </c>
    </row>
    <row r="24" spans="4:10" x14ac:dyDescent="0.25">
      <c r="D24" s="26"/>
      <c r="E24" s="21"/>
      <c r="F24" s="33"/>
      <c r="G24" s="21"/>
      <c r="H24" s="33"/>
      <c r="I24" s="11"/>
      <c r="J24" s="2"/>
    </row>
    <row r="25" spans="4:10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  <c r="I25" s="11"/>
      <c r="J25" s="7"/>
    </row>
    <row r="26" spans="4:10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  <c r="I26" s="11"/>
      <c r="J26" s="7"/>
    </row>
    <row r="27" spans="4:10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  <c r="I27" s="11"/>
      <c r="J27" s="7"/>
    </row>
    <row r="28" spans="4:10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  <c r="I28" s="11"/>
      <c r="J28" s="7"/>
    </row>
    <row r="29" spans="4:10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  <c r="I29" s="11"/>
      <c r="J29" s="7"/>
    </row>
    <row r="30" spans="4:10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  <c r="I30" s="43">
        <f>E30-G30</f>
        <v>-1591.0120000000024</v>
      </c>
      <c r="J30" s="261">
        <f>I30/G30</f>
        <v>-2.6784167700785497E-2</v>
      </c>
    </row>
    <row r="31" spans="4:10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I31" s="11">
        <f>E31-G31</f>
        <v>23745.429628741418</v>
      </c>
      <c r="J31" s="260">
        <f>I31/G31</f>
        <v>3.621438097421406</v>
      </c>
    </row>
    <row r="32" spans="4:10" x14ac:dyDescent="0.25">
      <c r="D32" s="36"/>
      <c r="E32" s="21"/>
      <c r="F32" s="33"/>
      <c r="G32" s="21"/>
      <c r="H32" s="33"/>
      <c r="I32" s="11"/>
      <c r="J32" s="2"/>
    </row>
    <row r="33" spans="4:10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  <c r="I33" s="11">
        <f>E33-G33</f>
        <v>24.036170000000027</v>
      </c>
      <c r="J33" s="7">
        <f>I33/G33</f>
        <v>0.12201101522842653</v>
      </c>
    </row>
    <row r="34" spans="4:10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  <c r="I34" s="11">
        <f t="shared" ref="I34:I46" si="1">E34-G34</f>
        <v>-3.8768799999999999</v>
      </c>
      <c r="J34" s="7">
        <f t="shared" ref="J34:J46" si="2">I34/G34</f>
        <v>-0.25845866666666667</v>
      </c>
    </row>
    <row r="35" spans="4:10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  <c r="I35" s="11">
        <f t="shared" si="1"/>
        <v>-862.24554000000012</v>
      </c>
      <c r="J35" s="7">
        <f t="shared" si="2"/>
        <v>1.6423724571428573</v>
      </c>
    </row>
    <row r="36" spans="4:10" x14ac:dyDescent="0.25">
      <c r="D36" s="40" t="s">
        <v>274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  <c r="I36" s="71">
        <f t="shared" si="1"/>
        <v>890.15859000000023</v>
      </c>
      <c r="J36" s="72">
        <f t="shared" si="2"/>
        <v>1.2590644837340881</v>
      </c>
    </row>
    <row r="37" spans="4:10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  <c r="I37" s="11">
        <f t="shared" si="1"/>
        <v>24635.588218741417</v>
      </c>
      <c r="J37" s="7">
        <f t="shared" si="2"/>
        <v>3.3915069671182585</v>
      </c>
    </row>
    <row r="38" spans="4:10" x14ac:dyDescent="0.25">
      <c r="D38" s="37"/>
      <c r="E38" s="21"/>
      <c r="F38" s="33"/>
      <c r="G38" s="21"/>
      <c r="H38" s="33"/>
      <c r="I38" s="11"/>
      <c r="J38" s="2"/>
    </row>
    <row r="39" spans="4:10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  <c r="I39" s="11">
        <f t="shared" si="1"/>
        <v>25.708590000000001</v>
      </c>
      <c r="J39" s="7">
        <f t="shared" si="2"/>
        <v>0.30019371788883698</v>
      </c>
    </row>
    <row r="40" spans="4:10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  <c r="I40" s="11">
        <f t="shared" si="1"/>
        <v>110.96648999999999</v>
      </c>
      <c r="J40" s="7">
        <f t="shared" si="2"/>
        <v>0.88068642857142854</v>
      </c>
    </row>
    <row r="41" spans="4:10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  <c r="I41" s="71">
        <f t="shared" si="1"/>
        <v>-85.257899999999992</v>
      </c>
      <c r="J41" s="72">
        <f t="shared" si="2"/>
        <v>2.1124355797819621</v>
      </c>
    </row>
    <row r="42" spans="4:10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  <c r="I42" s="11">
        <f t="shared" si="1"/>
        <v>24550.330318741417</v>
      </c>
      <c r="J42" s="7">
        <f t="shared" si="2"/>
        <v>3.3986535015663417</v>
      </c>
    </row>
    <row r="43" spans="4:10" x14ac:dyDescent="0.25">
      <c r="D43" s="37"/>
      <c r="E43" s="21"/>
      <c r="F43" s="33"/>
      <c r="G43" s="21"/>
      <c r="H43" s="33"/>
      <c r="I43" s="11"/>
      <c r="J43" s="2"/>
    </row>
    <row r="44" spans="4:10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  <c r="I44" s="11">
        <f t="shared" si="1"/>
        <v>3924.1848</v>
      </c>
      <c r="J44" s="7">
        <f t="shared" si="2"/>
        <v>1.5</v>
      </c>
    </row>
    <row r="45" spans="4:10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  <c r="I45" s="71">
        <f t="shared" si="1"/>
        <v>3924.1848</v>
      </c>
      <c r="J45" s="72">
        <f t="shared" si="2"/>
        <v>1.5</v>
      </c>
    </row>
    <row r="46" spans="4:10" ht="15.75" thickBot="1" x14ac:dyDescent="0.3">
      <c r="D46" s="38" t="s">
        <v>70</v>
      </c>
      <c r="E46" s="23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  <c r="I46" s="91">
        <f t="shared" si="1"/>
        <v>20626.145518741414</v>
      </c>
      <c r="J46" s="92">
        <f t="shared" si="2"/>
        <v>4.4767206899051351</v>
      </c>
    </row>
    <row r="47" spans="4:10" ht="15.75" thickTop="1" x14ac:dyDescent="0.25"/>
    <row r="48" spans="4:10" x14ac:dyDescent="0.25">
      <c r="D48" s="30" t="s">
        <v>296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I46"/>
  <sheetViews>
    <sheetView showGridLines="0" tabSelected="1" zoomScale="110" zoomScaleNormal="110" workbookViewId="0">
      <selection activeCell="E36" sqref="E36"/>
    </sheetView>
  </sheetViews>
  <sheetFormatPr baseColWidth="10" defaultRowHeight="15" x14ac:dyDescent="0.25"/>
  <cols>
    <col min="3" max="3" width="35.28515625" bestFit="1" customWidth="1"/>
  </cols>
  <sheetData>
    <row r="3" spans="3:9" ht="20.25" x14ac:dyDescent="0.3">
      <c r="C3" s="1" t="s">
        <v>40</v>
      </c>
      <c r="D3" s="1"/>
      <c r="E3" s="1"/>
      <c r="F3" s="45"/>
      <c r="G3" s="45"/>
      <c r="H3" s="44"/>
      <c r="I3" s="44"/>
    </row>
    <row r="4" spans="3:9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9" x14ac:dyDescent="0.25">
      <c r="C5" s="3" t="s">
        <v>0</v>
      </c>
      <c r="D5" s="3"/>
      <c r="E5" s="3"/>
      <c r="F5" s="3"/>
      <c r="G5" s="3"/>
      <c r="H5" s="44"/>
      <c r="I5" s="44"/>
    </row>
    <row r="6" spans="3:9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</row>
    <row r="7" spans="3:9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9" x14ac:dyDescent="0.25">
      <c r="C8" s="54" t="s">
        <v>80</v>
      </c>
      <c r="D8" s="55"/>
      <c r="E8" s="55"/>
      <c r="F8" s="53"/>
      <c r="G8" s="53"/>
      <c r="H8" s="2"/>
      <c r="I8" s="2"/>
    </row>
    <row r="9" spans="3:9" x14ac:dyDescent="0.25">
      <c r="C9" s="50" t="s">
        <v>3</v>
      </c>
      <c r="D9" s="53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9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 t="shared" ref="H10:H13" si="1">D10-F10</f>
        <v>30286.797030000002</v>
      </c>
      <c r="I10" s="7">
        <f t="shared" ref="I10:I20" si="2">H10/F10</f>
        <v>0.32162655280929547</v>
      </c>
    </row>
    <row r="11" spans="3:9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</row>
    <row r="12" spans="3:9" x14ac:dyDescent="0.25">
      <c r="C12" s="57" t="s">
        <v>7</v>
      </c>
      <c r="D12" s="53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1"/>
        <v>-13834.140149999992</v>
      </c>
      <c r="I12" s="7">
        <f t="shared" si="2"/>
        <v>-0.10176496044665417</v>
      </c>
    </row>
    <row r="13" spans="3:9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</row>
    <row r="14" spans="3:9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2"/>
        <v>7.0052721871731435E-2</v>
      </c>
    </row>
    <row r="15" spans="3:9" x14ac:dyDescent="0.25">
      <c r="C15" s="54" t="s">
        <v>96</v>
      </c>
      <c r="D15" s="55"/>
      <c r="E15" s="64"/>
      <c r="F15" s="63"/>
      <c r="G15" s="64"/>
      <c r="H15" s="63"/>
      <c r="I15" s="64"/>
    </row>
    <row r="16" spans="3:9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 t="shared" ref="H16:H18" si="3">D16-F16</f>
        <v>350</v>
      </c>
      <c r="I16" s="7">
        <f t="shared" si="2"/>
        <v>0.16279069767441862</v>
      </c>
    </row>
    <row r="17" spans="3:9" x14ac:dyDescent="0.25">
      <c r="C17" s="50" t="s">
        <v>41</v>
      </c>
      <c r="D17" s="53">
        <v>-1195</v>
      </c>
      <c r="E17" s="7">
        <f t="shared" ref="E17:G20" si="4">D17/D$20</f>
        <v>-4.592809614796879E-3</v>
      </c>
      <c r="F17" s="53">
        <v>-570</v>
      </c>
      <c r="G17" s="7">
        <f t="shared" si="4"/>
        <v>-2.3385269093789294E-3</v>
      </c>
      <c r="H17" s="53">
        <f t="shared" si="3"/>
        <v>-625</v>
      </c>
      <c r="I17" s="7">
        <f t="shared" si="2"/>
        <v>1.0964912280701755</v>
      </c>
    </row>
    <row r="18" spans="3:9" x14ac:dyDescent="0.25">
      <c r="C18" s="50" t="s">
        <v>15</v>
      </c>
      <c r="D18" s="53">
        <v>679.44002</v>
      </c>
      <c r="E18" s="7">
        <f t="shared" si="4"/>
        <v>2.6113294196935428E-3</v>
      </c>
      <c r="F18" s="53">
        <v>862.10602000000006</v>
      </c>
      <c r="G18" s="7">
        <f t="shared" si="4"/>
        <v>3.536944081592228E-3</v>
      </c>
      <c r="H18" s="53">
        <f t="shared" si="3"/>
        <v>-182.66600000000005</v>
      </c>
      <c r="I18" s="7">
        <f t="shared" si="2"/>
        <v>-0.21188345257118149</v>
      </c>
    </row>
    <row r="19" spans="3:9" x14ac:dyDescent="0.25">
      <c r="C19" s="60" t="s">
        <v>12</v>
      </c>
      <c r="D19" s="61">
        <f>SUM(D16:D18)</f>
        <v>1984.44002</v>
      </c>
      <c r="E19" s="62">
        <f t="shared" si="4"/>
        <v>7.6269081203713066E-3</v>
      </c>
      <c r="F19" s="61">
        <f>SUM(F16:F18)</f>
        <v>2442.1060200000002</v>
      </c>
      <c r="G19" s="62">
        <f t="shared" si="4"/>
        <v>1.0019176567239085E-2</v>
      </c>
      <c r="H19" s="61">
        <f>SUM(H16:H18)</f>
        <v>-457.66600000000005</v>
      </c>
      <c r="I19" s="62">
        <f t="shared" si="2"/>
        <v>-0.18740627812710606</v>
      </c>
    </row>
    <row r="20" spans="3:9" ht="15.75" thickBot="1" x14ac:dyDescent="0.3">
      <c r="C20" s="65" t="s">
        <v>19</v>
      </c>
      <c r="D20" s="66">
        <f>D14+D19</f>
        <v>260189.31770000004</v>
      </c>
      <c r="E20" s="67">
        <f t="shared" si="4"/>
        <v>1</v>
      </c>
      <c r="F20" s="66">
        <f>F14+F19</f>
        <v>243743.18623999998</v>
      </c>
      <c r="G20" s="67">
        <f t="shared" si="4"/>
        <v>1</v>
      </c>
      <c r="H20" s="66">
        <f>H14+H19</f>
        <v>16446.131460000011</v>
      </c>
      <c r="I20" s="67">
        <f t="shared" si="2"/>
        <v>6.7473194691918259E-2</v>
      </c>
    </row>
    <row r="21" spans="3:9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9" x14ac:dyDescent="0.25">
      <c r="C22" s="54" t="s">
        <v>21</v>
      </c>
      <c r="D22" s="55"/>
      <c r="E22" s="64"/>
      <c r="F22" s="63"/>
      <c r="G22" s="64"/>
      <c r="H22" s="63"/>
      <c r="I22" s="64"/>
    </row>
    <row r="23" spans="3:9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 t="shared" ref="H23:H25" si="5">D23-F23</f>
        <v>5280.5116500109943</v>
      </c>
      <c r="I23" s="7">
        <f t="shared" ref="I23:I36" si="6">H23/F23</f>
        <v>8.3330712773403301E-2</v>
      </c>
    </row>
    <row r="24" spans="3:9" x14ac:dyDescent="0.25">
      <c r="C24" s="50" t="s">
        <v>23</v>
      </c>
      <c r="D24" s="53">
        <f>27445.47389-10000</f>
        <v>17445.473890000001</v>
      </c>
      <c r="E24" s="7">
        <f t="shared" ref="E24:G36" si="7">D24/D$36</f>
        <v>6.704915460134056E-2</v>
      </c>
      <c r="F24" s="53">
        <f>32003.85887+3275-10000</f>
        <v>25278.858869999996</v>
      </c>
      <c r="G24" s="7">
        <f t="shared" si="7"/>
        <v>0.10371103808050433</v>
      </c>
      <c r="H24" s="53">
        <f t="shared" si="5"/>
        <v>-7833.3849799999953</v>
      </c>
      <c r="I24" s="7">
        <f t="shared" si="6"/>
        <v>-0.30987890000431795</v>
      </c>
    </row>
    <row r="25" spans="3:9" x14ac:dyDescent="0.25">
      <c r="C25" s="50" t="s">
        <v>28</v>
      </c>
      <c r="D25" s="53">
        <v>2186.6396500000001</v>
      </c>
      <c r="E25" s="7">
        <f t="shared" si="7"/>
        <v>8.4040330961895806E-3</v>
      </c>
      <c r="F25" s="53">
        <v>421.69657000000001</v>
      </c>
      <c r="G25" s="7">
        <f t="shared" si="7"/>
        <v>1.7300855728733322E-3</v>
      </c>
      <c r="H25" s="53">
        <f t="shared" si="5"/>
        <v>1764.94308</v>
      </c>
      <c r="I25" s="7">
        <f t="shared" si="6"/>
        <v>4.1853389511799914</v>
      </c>
    </row>
    <row r="26" spans="3:9" x14ac:dyDescent="0.25">
      <c r="C26" s="50"/>
      <c r="D26" s="10">
        <f>SUM(D23:D25)</f>
        <v>88280.757710009988</v>
      </c>
      <c r="E26" s="9">
        <f t="shared" si="7"/>
        <v>0.33929431836270668</v>
      </c>
      <c r="F26" s="10">
        <f>SUM(F23:F25)</f>
        <v>89068.687959998992</v>
      </c>
      <c r="G26" s="9">
        <f t="shared" si="7"/>
        <v>0.36542021680269043</v>
      </c>
      <c r="H26" s="10">
        <f>SUM(H23:H25)</f>
        <v>-787.93024998900091</v>
      </c>
      <c r="I26" s="9">
        <f t="shared" si="6"/>
        <v>-8.8463215079901333E-3</v>
      </c>
    </row>
    <row r="27" spans="3:9" x14ac:dyDescent="0.25">
      <c r="C27" s="54" t="s">
        <v>30</v>
      </c>
      <c r="D27" s="74"/>
      <c r="E27" s="8"/>
      <c r="F27" s="73"/>
      <c r="G27" s="8"/>
      <c r="H27" s="73"/>
      <c r="I27" s="8"/>
    </row>
    <row r="28" spans="3:9" x14ac:dyDescent="0.25">
      <c r="C28" s="50" t="s">
        <v>23</v>
      </c>
      <c r="D28" s="53">
        <v>20000</v>
      </c>
      <c r="E28" s="7">
        <f t="shared" si="7"/>
        <v>7.6867106074744243E-2</v>
      </c>
      <c r="F28" s="53">
        <v>18000</v>
      </c>
      <c r="G28" s="7">
        <f t="shared" si="7"/>
        <v>7.3848218190913861E-2</v>
      </c>
      <c r="H28" s="53">
        <f t="shared" ref="H28" si="8">D28-F28</f>
        <v>2000</v>
      </c>
      <c r="I28" s="7">
        <f t="shared" si="6"/>
        <v>0.1111111111111111</v>
      </c>
    </row>
    <row r="29" spans="3:9" x14ac:dyDescent="0.25">
      <c r="C29" s="51" t="s">
        <v>31</v>
      </c>
      <c r="D29" s="61">
        <f>D26+D28</f>
        <v>108280.75771000999</v>
      </c>
      <c r="E29" s="9">
        <f t="shared" si="7"/>
        <v>0.41616142443745091</v>
      </c>
      <c r="F29" s="61">
        <f>F26+F28</f>
        <v>107068.68795999899</v>
      </c>
      <c r="G29" s="9">
        <f t="shared" si="7"/>
        <v>0.4392684349936043</v>
      </c>
      <c r="H29" s="61">
        <f>H26+H28</f>
        <v>1212.0697500109991</v>
      </c>
      <c r="I29" s="9">
        <f t="shared" si="6"/>
        <v>1.1320487559012864E-2</v>
      </c>
    </row>
    <row r="30" spans="3:9" x14ac:dyDescent="0.25">
      <c r="C30" s="51" t="s">
        <v>32</v>
      </c>
      <c r="D30" s="69"/>
      <c r="E30" s="64"/>
      <c r="F30" s="68"/>
      <c r="G30" s="64"/>
      <c r="H30" s="68"/>
      <c r="I30" s="64"/>
    </row>
    <row r="31" spans="3:9" x14ac:dyDescent="0.25">
      <c r="C31" s="50" t="s">
        <v>33</v>
      </c>
      <c r="D31" s="53">
        <v>92279.950980000009</v>
      </c>
      <c r="E31" s="7">
        <f t="shared" si="7"/>
        <v>0.35466463902759299</v>
      </c>
      <c r="F31" s="53">
        <v>92279.950980000009</v>
      </c>
      <c r="G31" s="7">
        <f t="shared" si="7"/>
        <v>0.3785949974787709</v>
      </c>
      <c r="H31" s="53">
        <f t="shared" ref="H31:H34" si="9">D31-F31</f>
        <v>0</v>
      </c>
      <c r="I31" s="7">
        <f t="shared" si="6"/>
        <v>0</v>
      </c>
    </row>
    <row r="32" spans="3:9" x14ac:dyDescent="0.25">
      <c r="C32" s="75" t="s">
        <v>34</v>
      </c>
      <c r="D32" s="53">
        <v>25234.063229999996</v>
      </c>
      <c r="E32" s="7">
        <f t="shared" si="7"/>
        <v>9.6983470749860648E-2</v>
      </c>
      <c r="F32" s="53">
        <v>4607.3715200000197</v>
      </c>
      <c r="G32" s="7">
        <f t="shared" si="7"/>
        <v>1.8902565405309105E-2</v>
      </c>
      <c r="H32" s="53">
        <f t="shared" si="9"/>
        <v>20626.691709999977</v>
      </c>
      <c r="I32" s="7">
        <f t="shared" si="6"/>
        <v>4.4768891808403346</v>
      </c>
    </row>
    <row r="33" spans="3:9" x14ac:dyDescent="0.25">
      <c r="C33" s="50" t="s">
        <v>35</v>
      </c>
      <c r="D33" s="53">
        <f>F32+F33-10000-230</f>
        <v>31131.050500000019</v>
      </c>
      <c r="E33" s="7">
        <f t="shared" si="7"/>
        <v>0.11964768805008606</v>
      </c>
      <c r="F33" s="53">
        <v>36753.678979999997</v>
      </c>
      <c r="G33" s="7">
        <f t="shared" si="7"/>
        <v>0.15078853914632467</v>
      </c>
      <c r="H33" s="53">
        <f t="shared" si="9"/>
        <v>-5622.6284799999776</v>
      </c>
      <c r="I33" s="7">
        <f t="shared" si="6"/>
        <v>-0.15298137862769073</v>
      </c>
    </row>
    <row r="34" spans="3:9" x14ac:dyDescent="0.25">
      <c r="C34" s="50" t="s">
        <v>37</v>
      </c>
      <c r="D34" s="53">
        <f>3033.4968+230</f>
        <v>3263.4967999999999</v>
      </c>
      <c r="E34" s="7">
        <f t="shared" si="7"/>
        <v>1.2542777735009419E-2</v>
      </c>
      <c r="F34" s="53">
        <v>3033.4967999999999</v>
      </c>
      <c r="G34" s="7">
        <f t="shared" si="7"/>
        <v>1.2445462975991054E-2</v>
      </c>
      <c r="H34" s="53">
        <f t="shared" si="9"/>
        <v>230</v>
      </c>
      <c r="I34" s="7">
        <f t="shared" si="6"/>
        <v>7.5820089871200785E-2</v>
      </c>
    </row>
    <row r="35" spans="3:9" x14ac:dyDescent="0.25">
      <c r="C35" s="65" t="s">
        <v>38</v>
      </c>
      <c r="D35" s="61">
        <f>SUM(D31:D34)</f>
        <v>151908.56151000003</v>
      </c>
      <c r="E35" s="62">
        <f t="shared" si="7"/>
        <v>0.58383857556254914</v>
      </c>
      <c r="F35" s="61">
        <f>SUM(F31:F34)</f>
        <v>136674.49828000003</v>
      </c>
      <c r="G35" s="62">
        <f t="shared" si="7"/>
        <v>0.56073156500639576</v>
      </c>
      <c r="H35" s="61">
        <f>SUM(H31:H34)</f>
        <v>15234.06323</v>
      </c>
      <c r="I35" s="62">
        <f t="shared" si="6"/>
        <v>0.11146236804755291</v>
      </c>
    </row>
    <row r="36" spans="3:9" ht="15.75" thickBot="1" x14ac:dyDescent="0.3">
      <c r="C36" s="51" t="s">
        <v>39</v>
      </c>
      <c r="D36" s="76">
        <f>D29+D35</f>
        <v>260189.31922001002</v>
      </c>
      <c r="E36" s="77">
        <f t="shared" si="7"/>
        <v>1</v>
      </c>
      <c r="F36" s="76">
        <f>F29+F35</f>
        <v>243743.18623999902</v>
      </c>
      <c r="G36" s="77">
        <f t="shared" si="7"/>
        <v>1</v>
      </c>
      <c r="H36" s="76">
        <f>H29+H35</f>
        <v>16446.132980011</v>
      </c>
      <c r="I36" s="77">
        <f t="shared" si="6"/>
        <v>6.7473200928035368E-2</v>
      </c>
    </row>
    <row r="37" spans="3:9" ht="15.75" thickTop="1" x14ac:dyDescent="0.25"/>
    <row r="38" spans="3:9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9" x14ac:dyDescent="0.25">
      <c r="D39" s="196"/>
    </row>
    <row r="42" spans="3:9" x14ac:dyDescent="0.25">
      <c r="D42" t="s">
        <v>290</v>
      </c>
      <c r="F42" s="190">
        <f>F35</f>
        <v>136674.49828000003</v>
      </c>
    </row>
    <row r="43" spans="3:9" x14ac:dyDescent="0.25">
      <c r="D43" t="s">
        <v>291</v>
      </c>
      <c r="F43" s="190">
        <f>D32</f>
        <v>25234.063229999996</v>
      </c>
    </row>
    <row r="44" spans="3:9" x14ac:dyDescent="0.25">
      <c r="D44" t="s">
        <v>292</v>
      </c>
      <c r="F44" s="190">
        <f>F42+F43</f>
        <v>161908.56151000003</v>
      </c>
    </row>
    <row r="45" spans="3:9" x14ac:dyDescent="0.25">
      <c r="D45" t="s">
        <v>293</v>
      </c>
      <c r="F45" s="190">
        <f>D35</f>
        <v>151908.56151000003</v>
      </c>
    </row>
    <row r="46" spans="3:9" x14ac:dyDescent="0.25">
      <c r="D46" t="s">
        <v>220</v>
      </c>
      <c r="F46" s="190">
        <f>F44-F45</f>
        <v>10000</v>
      </c>
      <c r="G46" s="259" t="s">
        <v>294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</vt:lpstr>
      <vt:lpstr>Caso Variaciones</vt:lpstr>
      <vt:lpstr>Resultados 2</vt:lpstr>
      <vt:lpstr>Variaciones</vt:lpstr>
      <vt:lpstr>Análisis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2023-07-25T18:21:43Z</dcterms:modified>
</cp:coreProperties>
</file>