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be46572d0be5faa/Miranda Lagunas y Asociados/MLA/CoFiDe/Control interno y auditoria/Indicadores de Gestión/"/>
    </mc:Choice>
  </mc:AlternateContent>
  <xr:revisionPtr revIDLastSave="477" documentId="8_{B17E730D-8147-4AD5-BC58-8A8B67B04E6B}" xr6:coauthVersionLast="47" xr6:coauthVersionMax="47" xr10:uidLastSave="{D90DE797-651C-471F-8BAC-9042294E0FE8}"/>
  <bookViews>
    <workbookView xWindow="-108" yWindow="-108" windowWidth="23256" windowHeight="12456" tabRatio="968" activeTab="2" xr2:uid="{00000000-000D-0000-FFFF-FFFF00000000}"/>
  </bookViews>
  <sheets>
    <sheet name="Comparativo Gts" sheetId="53" r:id="rId1"/>
    <sheet name="Balance" sheetId="1" r:id="rId2"/>
    <sheet name="Resultados" sheetId="2" r:id="rId3"/>
    <sheet name="Edo. cambios" sheetId="59" r:id="rId4"/>
    <sheet name="Análisis" sheetId="4" r:id="rId5"/>
    <sheet name="Otros pasivos cp" sheetId="39" state="hidden" r:id="rId6"/>
    <sheet name="pasivo a lp" sheetId="43" state="hidden" r:id="rId7"/>
    <sheet name="Hoja1" sheetId="60" state="hidden" r:id="rId8"/>
  </sheets>
  <definedNames>
    <definedName name="\s">#REF!</definedName>
    <definedName name="\z">#REF!</definedName>
    <definedName name="_Abr18">#REF!</definedName>
    <definedName name="_ago18">#REF!</definedName>
    <definedName name="_añoAct">#REF!</definedName>
    <definedName name="_AñoActER1">#REF!</definedName>
    <definedName name="_AñoActER2">#REF!</definedName>
    <definedName name="_AñoAnt">#REF!</definedName>
    <definedName name="_AñoAntER1">#REF!</definedName>
    <definedName name="_AñoAntER2">#REF!</definedName>
    <definedName name="_BalAnt">#REF!</definedName>
    <definedName name="_dic18">#REF!</definedName>
    <definedName name="_ene18">#REF!</definedName>
    <definedName name="_ER_2018">#REF!</definedName>
    <definedName name="_ER_MesAnt">#REF!</definedName>
    <definedName name="_ER_TrimAnt">#REF!</definedName>
    <definedName name="_Feb18">#REF!</definedName>
    <definedName name="_Fill" hidden="1">#REF!</definedName>
    <definedName name="_GastosAcum">#REF!</definedName>
    <definedName name="_GtosOctAcum">#REF!</definedName>
    <definedName name="_Gts_AgoAcum">#REF!</definedName>
    <definedName name="_Gts_Dic18">#REF!</definedName>
    <definedName name="_Gts_JulAcum">#REF!</definedName>
    <definedName name="_Gts_Nov18">#REF!</definedName>
    <definedName name="_GtsDicAcum">#REF!</definedName>
    <definedName name="_GtsNovAcum">#REF!</definedName>
    <definedName name="_GtsSepAcum">#REF!</definedName>
    <definedName name="_jul18">#REF!</definedName>
    <definedName name="_jun18">#REF!</definedName>
    <definedName name="_may18">#REF!</definedName>
    <definedName name="_MesAnt">#REF!</definedName>
    <definedName name="_mzo18">#REF!</definedName>
    <definedName name="_nov18">#REF!</definedName>
    <definedName name="_oct18">#REF!</definedName>
    <definedName name="_rangoBal">#REF!</definedName>
    <definedName name="_RangoER1">#REF!</definedName>
    <definedName name="_rangoER2">#REF!</definedName>
    <definedName name="_rangoGts">#REF!</definedName>
    <definedName name="_sep18">#REF!</definedName>
    <definedName name="_TrimAnt">#REF!</definedName>
    <definedName name="A_IMPRESIÓN_IM">#REF!</definedName>
    <definedName name="_xlnm.Print_Area" localSheetId="3">'Edo. cambios'!$A$1:$C$44</definedName>
    <definedName name="_xlnm.Print_Area" localSheetId="5">'Otros pasivos cp'!$B$3:$E$14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4" i="2" l="1"/>
  <c r="D54" i="2"/>
  <c r="F54" i="2"/>
  <c r="H54" i="2"/>
  <c r="B6" i="4"/>
  <c r="A1" i="53" l="1"/>
  <c r="H11" i="1"/>
  <c r="G17" i="59" s="1"/>
  <c r="H22" i="1"/>
  <c r="H30" i="1"/>
  <c r="H41" i="1"/>
  <c r="G32" i="59" s="1"/>
  <c r="I18" i="2"/>
  <c r="I17" i="2"/>
  <c r="I16" i="2"/>
  <c r="I15" i="2"/>
  <c r="I14" i="2"/>
  <c r="G18" i="2"/>
  <c r="G17" i="2"/>
  <c r="G16" i="2"/>
  <c r="G15" i="2"/>
  <c r="G14" i="2"/>
  <c r="E18" i="2"/>
  <c r="E17" i="2"/>
  <c r="E16" i="2"/>
  <c r="E15" i="2"/>
  <c r="E14" i="2"/>
  <c r="C16" i="2"/>
  <c r="C15" i="2"/>
  <c r="C14" i="2"/>
  <c r="B18" i="4"/>
  <c r="B14" i="4"/>
  <c r="B12" i="4"/>
  <c r="F6" i="4"/>
  <c r="D6" i="4"/>
  <c r="C31" i="59"/>
  <c r="E31" i="59"/>
  <c r="G31" i="59"/>
  <c r="C36" i="59"/>
  <c r="E36" i="59"/>
  <c r="G36" i="59"/>
  <c r="C18" i="59"/>
  <c r="E18" i="59"/>
  <c r="G18" i="59"/>
  <c r="G37" i="59"/>
  <c r="C47" i="59"/>
  <c r="E47" i="59"/>
  <c r="G47" i="59"/>
  <c r="C42" i="59"/>
  <c r="E42" i="59"/>
  <c r="G42" i="59"/>
  <c r="C32" i="59"/>
  <c r="E32" i="59"/>
  <c r="C30" i="59"/>
  <c r="E30" i="59"/>
  <c r="G30" i="59"/>
  <c r="C24" i="59"/>
  <c r="E24" i="59"/>
  <c r="G24" i="59"/>
  <c r="C21" i="59"/>
  <c r="E21" i="59"/>
  <c r="G21" i="59"/>
  <c r="C19" i="59"/>
  <c r="E19" i="59"/>
  <c r="G19" i="59"/>
  <c r="C17" i="59"/>
  <c r="E17" i="59"/>
  <c r="C16" i="59"/>
  <c r="E16" i="59"/>
  <c r="G16" i="59"/>
  <c r="A1" i="4" l="1"/>
  <c r="C9" i="59"/>
  <c r="E9" i="59"/>
  <c r="G9" i="59"/>
  <c r="A1" i="2"/>
  <c r="G49" i="53" l="1"/>
  <c r="G44" i="53"/>
  <c r="G21" i="53"/>
  <c r="G14" i="53"/>
  <c r="G7" i="53"/>
  <c r="G5" i="53"/>
  <c r="F3" i="4"/>
  <c r="B3" i="4"/>
  <c r="E5" i="53"/>
  <c r="H3" i="4"/>
  <c r="G4" i="2"/>
  <c r="H4" i="2"/>
  <c r="I4" i="2"/>
  <c r="H35" i="1"/>
  <c r="F23" i="1"/>
  <c r="B6" i="60"/>
  <c r="B9" i="60" s="1"/>
  <c r="D11" i="39"/>
  <c r="D44" i="43"/>
  <c r="E44" i="43"/>
  <c r="F44" i="43"/>
  <c r="G44" i="43"/>
  <c r="H44" i="43"/>
  <c r="I44" i="43"/>
  <c r="J44" i="43"/>
  <c r="K44" i="43"/>
  <c r="L44" i="43"/>
  <c r="M44" i="43"/>
  <c r="C44" i="43"/>
  <c r="A1" i="59"/>
  <c r="C7" i="53"/>
  <c r="C5" i="53"/>
  <c r="B5" i="53"/>
  <c r="D3" i="4"/>
  <c r="D4" i="2"/>
  <c r="E4" i="59" s="1"/>
  <c r="B4" i="2"/>
  <c r="C4" i="59" s="1"/>
  <c r="E7" i="53"/>
  <c r="E59" i="53"/>
  <c r="E58" i="53"/>
  <c r="E49" i="53"/>
  <c r="G58" i="53"/>
  <c r="G59" i="53"/>
  <c r="E14" i="53"/>
  <c r="E21" i="53"/>
  <c r="E44" i="53"/>
  <c r="H13" i="1" l="1"/>
  <c r="H31" i="1"/>
  <c r="F35" i="1"/>
  <c r="B35" i="1"/>
  <c r="F18" i="1"/>
  <c r="E38" i="59"/>
  <c r="F31" i="1"/>
  <c r="F37" i="1" s="1"/>
  <c r="H39" i="2"/>
  <c r="G38" i="53"/>
  <c r="G53" i="53"/>
  <c r="H46" i="2"/>
  <c r="F31" i="2"/>
  <c r="F67" i="4" s="1"/>
  <c r="F19" i="4" s="1"/>
  <c r="F46" i="2"/>
  <c r="D31" i="1"/>
  <c r="E53" i="53"/>
  <c r="E38" i="53"/>
  <c r="C38" i="53"/>
  <c r="B38" i="53"/>
  <c r="G60" i="53"/>
  <c r="E60" i="53"/>
  <c r="H65" i="4"/>
  <c r="F65" i="4"/>
  <c r="H10" i="2"/>
  <c r="I29" i="2" s="1"/>
  <c r="F13" i="1"/>
  <c r="H18" i="1"/>
  <c r="F4" i="2"/>
  <c r="G4" i="59" s="1"/>
  <c r="H23" i="1"/>
  <c r="C44" i="53"/>
  <c r="C49" i="53"/>
  <c r="B18" i="1"/>
  <c r="B23" i="1"/>
  <c r="D23" i="1"/>
  <c r="D13" i="1"/>
  <c r="D18" i="1"/>
  <c r="D35" i="1"/>
  <c r="B13" i="1"/>
  <c r="B31" i="1"/>
  <c r="B42" i="1"/>
  <c r="B39" i="2"/>
  <c r="C53" i="53"/>
  <c r="B49" i="53"/>
  <c r="B53" i="53"/>
  <c r="B44" i="53"/>
  <c r="B59" i="53"/>
  <c r="B14" i="53"/>
  <c r="C14" i="53"/>
  <c r="F39" i="2"/>
  <c r="H31" i="2"/>
  <c r="H67" i="4" s="1"/>
  <c r="H19" i="4" s="1"/>
  <c r="F10" i="2"/>
  <c r="C59" i="53"/>
  <c r="B7" i="53"/>
  <c r="D46" i="2"/>
  <c r="D39" i="2"/>
  <c r="B31" i="2"/>
  <c r="B67" i="4" s="1"/>
  <c r="B19" i="4" s="1"/>
  <c r="B21" i="53"/>
  <c r="D10" i="2"/>
  <c r="E27" i="2" s="1"/>
  <c r="B46" i="2"/>
  <c r="C58" i="53"/>
  <c r="D65" i="4" s="1"/>
  <c r="C21" i="53"/>
  <c r="D31" i="2"/>
  <c r="B10" i="2"/>
  <c r="B22" i="4" s="1"/>
  <c r="B58" i="53"/>
  <c r="H6" i="4" l="1"/>
  <c r="H37" i="1"/>
  <c r="E55" i="53"/>
  <c r="G55" i="53"/>
  <c r="F25" i="1"/>
  <c r="F14" i="4" s="1"/>
  <c r="H8" i="4"/>
  <c r="D18" i="2"/>
  <c r="D61" i="4" s="1"/>
  <c r="I6" i="2"/>
  <c r="H18" i="4"/>
  <c r="I7" i="2"/>
  <c r="I25" i="2"/>
  <c r="I39" i="2"/>
  <c r="I28" i="2"/>
  <c r="I24" i="2"/>
  <c r="I9" i="2"/>
  <c r="I44" i="2"/>
  <c r="I36" i="2"/>
  <c r="I45" i="2"/>
  <c r="I31" i="2"/>
  <c r="H22" i="4"/>
  <c r="I46" i="2"/>
  <c r="I38" i="2"/>
  <c r="I27" i="2"/>
  <c r="F18" i="2"/>
  <c r="E25" i="59"/>
  <c r="G38" i="59"/>
  <c r="F18" i="4"/>
  <c r="H25" i="1"/>
  <c r="G46" i="2"/>
  <c r="I26" i="2"/>
  <c r="I8" i="2"/>
  <c r="G8" i="2"/>
  <c r="H66" i="4"/>
  <c r="C7" i="2"/>
  <c r="G25" i="2"/>
  <c r="G24" i="2"/>
  <c r="I10" i="2"/>
  <c r="I43" i="2"/>
  <c r="I30" i="2"/>
  <c r="H69" i="4"/>
  <c r="I37" i="2"/>
  <c r="F66" i="4"/>
  <c r="F8" i="4"/>
  <c r="G38" i="2"/>
  <c r="G44" i="2"/>
  <c r="G6" i="2"/>
  <c r="B37" i="1"/>
  <c r="B8" i="4"/>
  <c r="B25" i="1"/>
  <c r="C31" i="1" s="1"/>
  <c r="D18" i="4"/>
  <c r="D8" i="4"/>
  <c r="D25" i="1"/>
  <c r="E35" i="1" s="1"/>
  <c r="C38" i="59"/>
  <c r="D37" i="1"/>
  <c r="G31" i="2"/>
  <c r="G45" i="2"/>
  <c r="G7" i="2"/>
  <c r="G10" i="2"/>
  <c r="F69" i="4"/>
  <c r="G28" i="2"/>
  <c r="G43" i="2"/>
  <c r="G30" i="2"/>
  <c r="G36" i="2"/>
  <c r="G26" i="2"/>
  <c r="G37" i="2"/>
  <c r="G29" i="2"/>
  <c r="F22" i="4"/>
  <c r="G39" i="2"/>
  <c r="E9" i="2"/>
  <c r="C55" i="53"/>
  <c r="D22" i="4"/>
  <c r="B55" i="53"/>
  <c r="G9" i="2"/>
  <c r="G27" i="2"/>
  <c r="E36" i="2"/>
  <c r="H18" i="2"/>
  <c r="E25" i="2"/>
  <c r="E39" i="2"/>
  <c r="D69" i="4"/>
  <c r="E24" i="2"/>
  <c r="E45" i="2"/>
  <c r="E44" i="2"/>
  <c r="E43" i="2"/>
  <c r="E38" i="2"/>
  <c r="E29" i="2"/>
  <c r="E30" i="2"/>
  <c r="E46" i="2"/>
  <c r="E8" i="2"/>
  <c r="E6" i="2"/>
  <c r="E7" i="2"/>
  <c r="E37" i="2"/>
  <c r="E10" i="2"/>
  <c r="E28" i="2"/>
  <c r="E26" i="2"/>
  <c r="C60" i="53"/>
  <c r="B60" i="53"/>
  <c r="B65" i="4"/>
  <c r="B69" i="4"/>
  <c r="C10" i="2"/>
  <c r="C24" i="2"/>
  <c r="C37" i="2"/>
  <c r="C44" i="2"/>
  <c r="C29" i="2"/>
  <c r="C8" i="2"/>
  <c r="C6" i="2"/>
  <c r="C45" i="2"/>
  <c r="C26" i="2"/>
  <c r="C43" i="2"/>
  <c r="C39" i="2"/>
  <c r="C28" i="2"/>
  <c r="C25" i="2"/>
  <c r="C46" i="2"/>
  <c r="C36" i="2"/>
  <c r="C38" i="2"/>
  <c r="C17" i="2"/>
  <c r="C27" i="2"/>
  <c r="C9" i="2"/>
  <c r="C30" i="2"/>
  <c r="D67" i="4"/>
  <c r="D19" i="4" s="1"/>
  <c r="E31" i="2"/>
  <c r="C31" i="2"/>
  <c r="H14" i="4" l="1"/>
  <c r="F52" i="4"/>
  <c r="B18" i="2"/>
  <c r="H52" i="4"/>
  <c r="E18" i="1"/>
  <c r="D52" i="4"/>
  <c r="H62" i="4"/>
  <c r="G25" i="59"/>
  <c r="C25" i="59"/>
  <c r="F62" i="4"/>
  <c r="D24" i="4"/>
  <c r="D26" i="4" s="1"/>
  <c r="D28" i="4"/>
  <c r="D20" i="2"/>
  <c r="E20" i="2" s="1"/>
  <c r="D36" i="4" s="1"/>
  <c r="B52" i="4"/>
  <c r="C13" i="1"/>
  <c r="C42" i="1"/>
  <c r="E13" i="1"/>
  <c r="C37" i="1"/>
  <c r="B44" i="1"/>
  <c r="C44" i="1" s="1"/>
  <c r="E37" i="1"/>
  <c r="D14" i="4"/>
  <c r="E9" i="1"/>
  <c r="E29" i="1"/>
  <c r="E39" i="1"/>
  <c r="E25" i="1"/>
  <c r="E27" i="1"/>
  <c r="E7" i="1"/>
  <c r="E21" i="1"/>
  <c r="E31" i="1"/>
  <c r="E17" i="1"/>
  <c r="E16" i="1"/>
  <c r="E30" i="1"/>
  <c r="E8" i="1"/>
  <c r="E10" i="1"/>
  <c r="E28" i="1"/>
  <c r="E22" i="1"/>
  <c r="E11" i="1"/>
  <c r="E12" i="1"/>
  <c r="E34" i="1"/>
  <c r="E23" i="1"/>
  <c r="C25" i="1"/>
  <c r="C9" i="1"/>
  <c r="C16" i="1"/>
  <c r="C11" i="1"/>
  <c r="C8" i="1"/>
  <c r="C41" i="1"/>
  <c r="C7" i="1"/>
  <c r="C39" i="1"/>
  <c r="C28" i="1"/>
  <c r="C29" i="1"/>
  <c r="C21" i="1"/>
  <c r="C30" i="1"/>
  <c r="C34" i="1"/>
  <c r="C27" i="1"/>
  <c r="C40" i="1"/>
  <c r="C35" i="1"/>
  <c r="C17" i="1"/>
  <c r="C12" i="1"/>
  <c r="C23" i="1"/>
  <c r="C18" i="1"/>
  <c r="C22" i="1"/>
  <c r="C10" i="1"/>
  <c r="H20" i="2"/>
  <c r="H28" i="4"/>
  <c r="H61" i="4"/>
  <c r="H24" i="4"/>
  <c r="H26" i="4" s="1"/>
  <c r="F24" i="4"/>
  <c r="F26" i="4" s="1"/>
  <c r="F61" i="4"/>
  <c r="F28" i="4"/>
  <c r="F20" i="2"/>
  <c r="G65" i="4"/>
  <c r="I65" i="4"/>
  <c r="G66" i="4"/>
  <c r="I66" i="4"/>
  <c r="D66" i="4"/>
  <c r="E65" i="4"/>
  <c r="C65" i="4"/>
  <c r="B66" i="4"/>
  <c r="B20" i="2" l="1"/>
  <c r="B34" i="2" s="1"/>
  <c r="C34" i="2" s="1"/>
  <c r="B38" i="4" s="1"/>
  <c r="B28" i="4"/>
  <c r="B24" i="4"/>
  <c r="B26" i="4" s="1"/>
  <c r="C18" i="2"/>
  <c r="B61" i="4" s="1"/>
  <c r="H63" i="4"/>
  <c r="H57" i="4" s="1"/>
  <c r="H58" i="4" s="1"/>
  <c r="F63" i="4"/>
  <c r="F57" i="4" s="1"/>
  <c r="F58" i="4" s="1"/>
  <c r="B47" i="1"/>
  <c r="D30" i="4"/>
  <c r="D32" i="4" s="1"/>
  <c r="D34" i="2"/>
  <c r="E34" i="2" s="1"/>
  <c r="D38" i="4" s="1"/>
  <c r="H30" i="4"/>
  <c r="H32" i="4" s="1"/>
  <c r="G20" i="2"/>
  <c r="F36" i="4" s="1"/>
  <c r="F34" i="2"/>
  <c r="F30" i="4"/>
  <c r="F32" i="4" s="1"/>
  <c r="H34" i="2"/>
  <c r="H41" i="2" s="1"/>
  <c r="I20" i="2"/>
  <c r="H36" i="4" s="1"/>
  <c r="B62" i="4"/>
  <c r="C66" i="4"/>
  <c r="D62" i="4"/>
  <c r="D63" i="4" s="1"/>
  <c r="D57" i="4" s="1"/>
  <c r="D58" i="4" s="1"/>
  <c r="E66" i="4"/>
  <c r="C20" i="2" l="1"/>
  <c r="B36" i="4" s="1"/>
  <c r="B41" i="2"/>
  <c r="B48" i="2" s="1"/>
  <c r="B30" i="4"/>
  <c r="B32" i="4" s="1"/>
  <c r="B63" i="4"/>
  <c r="B57" i="4" s="1"/>
  <c r="B58" i="4" s="1"/>
  <c r="D41" i="2"/>
  <c r="E41" i="2" s="1"/>
  <c r="H48" i="2"/>
  <c r="H50" i="2" s="1"/>
  <c r="I41" i="2"/>
  <c r="G34" i="2"/>
  <c r="F38" i="4" s="1"/>
  <c r="F41" i="2"/>
  <c r="C41" i="2" l="1"/>
  <c r="B46" i="4"/>
  <c r="B44" i="4"/>
  <c r="H42" i="1"/>
  <c r="H44" i="4" s="1"/>
  <c r="D48" i="2"/>
  <c r="I34" i="2"/>
  <c r="H38" i="4" s="1"/>
  <c r="F48" i="2"/>
  <c r="F50" i="2" s="1"/>
  <c r="G41" i="2"/>
  <c r="I48" i="2"/>
  <c r="H40" i="4" s="1"/>
  <c r="H50" i="4" s="1"/>
  <c r="H54" i="4" s="1"/>
  <c r="H46" i="4"/>
  <c r="C48" i="2"/>
  <c r="C6" i="59"/>
  <c r="C12" i="59" s="1"/>
  <c r="C27" i="59" s="1"/>
  <c r="B50" i="2"/>
  <c r="B40" i="4" l="1"/>
  <c r="B50" i="4" s="1"/>
  <c r="B54" i="4" s="1"/>
  <c r="G6" i="59"/>
  <c r="G12" i="59" s="1"/>
  <c r="G27" i="59" s="1"/>
  <c r="H44" i="1"/>
  <c r="H47" i="1" s="1"/>
  <c r="H12" i="4"/>
  <c r="E6" i="59"/>
  <c r="E12" i="59" s="1"/>
  <c r="E27" i="59" s="1"/>
  <c r="D46" i="4"/>
  <c r="E48" i="2"/>
  <c r="D40" i="4" s="1"/>
  <c r="D50" i="4" s="1"/>
  <c r="D54" i="4" s="1"/>
  <c r="G48" i="2"/>
  <c r="F40" i="4" s="1"/>
  <c r="F50" i="4" s="1"/>
  <c r="F54" i="4" s="1"/>
  <c r="F46" i="4"/>
  <c r="F42" i="1" l="1"/>
  <c r="E40" i="1"/>
  <c r="E41" i="1"/>
  <c r="D50" i="2"/>
  <c r="D42" i="1"/>
  <c r="D44" i="4" s="1"/>
  <c r="F44" i="1" l="1"/>
  <c r="F47" i="1" s="1"/>
  <c r="F12" i="4"/>
  <c r="F44" i="4"/>
  <c r="G33" i="59"/>
  <c r="G40" i="59" s="1"/>
  <c r="G44" i="59" s="1"/>
  <c r="G49" i="59" s="1"/>
  <c r="E33" i="59"/>
  <c r="E40" i="59" s="1"/>
  <c r="E44" i="59" s="1"/>
  <c r="E49" i="59" s="1"/>
  <c r="D44" i="1"/>
  <c r="D47" i="1" s="1"/>
  <c r="E42" i="1"/>
  <c r="C33" i="59"/>
  <c r="C40" i="59" s="1"/>
  <c r="C44" i="59" s="1"/>
  <c r="C49" i="59" s="1"/>
  <c r="D12" i="4"/>
  <c r="E44" i="1" l="1"/>
</calcChain>
</file>

<file path=xl/sharedStrings.xml><?xml version="1.0" encoding="utf-8"?>
<sst xmlns="http://schemas.openxmlformats.org/spreadsheetml/2006/main" count="379" uniqueCount="217">
  <si>
    <t>Estado de resultados</t>
  </si>
  <si>
    <t>Nombre de cuenta</t>
  </si>
  <si>
    <t>%</t>
  </si>
  <si>
    <t>11100000 - Bancos</t>
  </si>
  <si>
    <t>11600000 - Caja Chica</t>
  </si>
  <si>
    <t>11200000 - Cuentas por Cobrar</t>
  </si>
  <si>
    <t>11300000 - Inventario en Tránsito</t>
  </si>
  <si>
    <t>11400000 - Almacén de Mercancias</t>
  </si>
  <si>
    <t>11500000 - Otros Activos Circulantes</t>
  </si>
  <si>
    <t>Total 11000000 - Activo Circulante</t>
  </si>
  <si>
    <t>- - - - - - - - - - - - -</t>
  </si>
  <si>
    <t>12100000 - Activo Fijo</t>
  </si>
  <si>
    <t>12200000 - Depreciación y Amortización</t>
  </si>
  <si>
    <t>Total 12000000 - Activo Fijo</t>
  </si>
  <si>
    <t>13000000 - Activo Diferido</t>
  </si>
  <si>
    <t>14000000 - Inversiones</t>
  </si>
  <si>
    <t>Total 14000000 - Otros Activos</t>
  </si>
  <si>
    <t>Total Activos</t>
  </si>
  <si>
    <t>21100000 - Cuentas por Pagar</t>
  </si>
  <si>
    <t>21200000 - Impuestos por Pagar</t>
  </si>
  <si>
    <t>21300000 - IVA por Pagar</t>
  </si>
  <si>
    <t>21400000 - Otros Pasivos a Corto Plazo</t>
  </si>
  <si>
    <t>Total 21000000 - Pasivo Circulante</t>
  </si>
  <si>
    <t>22100000 - Pasivos a Largo Plazo</t>
  </si>
  <si>
    <t>Total 22000000 - Pasivos a Largo Plazo</t>
  </si>
  <si>
    <t>Total Pasivos</t>
  </si>
  <si>
    <t>31100000 - Capital Social</t>
  </si>
  <si>
    <t>31400000 - Resultados</t>
  </si>
  <si>
    <t>Período ganancias</t>
  </si>
  <si>
    <t>Total Capital Contable</t>
  </si>
  <si>
    <t>Total de Pasivo más Capital</t>
  </si>
  <si>
    <t>=============</t>
  </si>
  <si>
    <t>41100000 - Comercializadora</t>
  </si>
  <si>
    <t>41500000 - Otros ingresos</t>
  </si>
  <si>
    <t>Total 41000000 - INGRESOS</t>
  </si>
  <si>
    <t>51100000 - Venta de equipo</t>
  </si>
  <si>
    <t>Total 51000000 - COSTO DE VENTAS</t>
  </si>
  <si>
    <t>Ganancia bruta</t>
  </si>
  <si>
    <t>61200000 - Gastos de venta</t>
  </si>
  <si>
    <t>61500000 - Gastos de operación</t>
  </si>
  <si>
    <t>Total 61000000 - GASTOS</t>
  </si>
  <si>
    <t>Ganancias comerciales</t>
  </si>
  <si>
    <t>72100000 - Diferencia cambiaria</t>
  </si>
  <si>
    <t>Total Financieros</t>
  </si>
  <si>
    <t>Ganancias por costes financiación</t>
  </si>
  <si>
    <t>81100000 - Baja de activo fijo</t>
  </si>
  <si>
    <t>81200000 - Ingresos y gastos extraordinarios</t>
  </si>
  <si>
    <t>Total 81000000 - Otros Ingresos y Gastos</t>
  </si>
  <si>
    <t>Total 61100000 - Marketing</t>
  </si>
  <si>
    <t>61201000 - Personal de Ventas</t>
  </si>
  <si>
    <t>61206000 - Tiendas</t>
  </si>
  <si>
    <t>Total 61200000 - Gastos de venta</t>
  </si>
  <si>
    <t>Total 61202000 - Servicio y soporte</t>
  </si>
  <si>
    <t>61511000 - Recursos humanos</t>
  </si>
  <si>
    <t>61303000 - Depreciaciones y Amortizaciones</t>
  </si>
  <si>
    <t>61304001 - Gastos Varios - Gastos de Administración</t>
  </si>
  <si>
    <t>Total 61300000 - Gastos de Administración</t>
  </si>
  <si>
    <t>61506000 - Mensajería (UPS, DHL, etc.) y Correos</t>
  </si>
  <si>
    <t>61507000 - Taxis y pasajes</t>
  </si>
  <si>
    <t>61510000 - Gastos legales y notarios</t>
  </si>
  <si>
    <t>61508000 - Gastos Varios - Gastos de Operación</t>
  </si>
  <si>
    <t>61059001 - Actualizaciones y multas de impuestos</t>
  </si>
  <si>
    <t>61513000 - Gastos No Deducibles</t>
  </si>
  <si>
    <t>61701000 - Cuentas Incobrables</t>
  </si>
  <si>
    <t>Total 61500000 - Gastos de operación</t>
  </si>
  <si>
    <t>Análisis financiero</t>
  </si>
  <si>
    <t>Concepto</t>
  </si>
  <si>
    <t>Liquidez:</t>
  </si>
  <si>
    <t>AC a PC</t>
  </si>
  <si>
    <t>AC - INV a PC</t>
  </si>
  <si>
    <t>Endeudamiento:</t>
  </si>
  <si>
    <t>PT a CC</t>
  </si>
  <si>
    <t>PT a AT</t>
  </si>
  <si>
    <t>Capital de trabajo</t>
  </si>
  <si>
    <t>Eficiencia operativa:</t>
  </si>
  <si>
    <t>Rotación de cuentas por cobrar</t>
  </si>
  <si>
    <t>Rotación Inventarios</t>
  </si>
  <si>
    <t>Ciclo operativo</t>
  </si>
  <si>
    <t>Rotación de cuentas por pagar</t>
  </si>
  <si>
    <t>Ciclo financiero corto</t>
  </si>
  <si>
    <t>Ciclo conversión de efectivo</t>
  </si>
  <si>
    <t>Márgenes:</t>
  </si>
  <si>
    <t>Márgen bruto</t>
  </si>
  <si>
    <t>Margen de operación</t>
  </si>
  <si>
    <t>Rentabilidad:</t>
  </si>
  <si>
    <t>Rendimiento de capital</t>
  </si>
  <si>
    <t>Rendimiento de activos</t>
  </si>
  <si>
    <t>Método Dupont:</t>
  </si>
  <si>
    <t>Márgen neto (UN a VT)</t>
  </si>
  <si>
    <t>Rotación de activos (VT a AT)</t>
  </si>
  <si>
    <t>Rendimiento de activos (UN a AT)</t>
  </si>
  <si>
    <t>Punto de equilibrio</t>
  </si>
  <si>
    <t>Costo variable</t>
  </si>
  <si>
    <t>Gastos variables</t>
  </si>
  <si>
    <t>Contribución marginal</t>
  </si>
  <si>
    <t>Gastos fijos (promedio mes)</t>
  </si>
  <si>
    <t>Gastos promedio mensual</t>
  </si>
  <si>
    <t>MXP</t>
  </si>
  <si>
    <t>73100000 - Otros gastos financieros</t>
  </si>
  <si>
    <t>Total Gastos</t>
  </si>
  <si>
    <t>Comparativo de gastos</t>
  </si>
  <si>
    <t>Fijo</t>
  </si>
  <si>
    <t>Variable</t>
  </si>
  <si>
    <t>Gastos Fijos</t>
  </si>
  <si>
    <t>Gastos Variables</t>
  </si>
  <si>
    <t>Diferencia</t>
  </si>
  <si>
    <t>Gastos variables (promedio mensual)</t>
  </si>
  <si>
    <t>Venta promedio mensual</t>
  </si>
  <si>
    <t>81400000 - Impuestos a la utilidad</t>
  </si>
  <si>
    <t>61000000 - Gastos de Administración</t>
  </si>
  <si>
    <t>61300000 - Personal de administración</t>
  </si>
  <si>
    <t>61302000 - Herramientas administrativas</t>
  </si>
  <si>
    <t>61304000 - Gastos de Oficinas</t>
  </si>
  <si>
    <t>61700000 - Recursos Humanos</t>
  </si>
  <si>
    <t>61702000 - Personal de Recursos Humanos</t>
  </si>
  <si>
    <t>61710000 - Gastos de Recursos Humanos</t>
  </si>
  <si>
    <t>61511002 - Selección de personal</t>
  </si>
  <si>
    <t>61511003 - Capacitación de personal</t>
  </si>
  <si>
    <t>61510004 - Eventos especiales para personal</t>
  </si>
  <si>
    <t>61514000 - Personal de operación</t>
  </si>
  <si>
    <t>61515000 - Gastos de equipo de transporte</t>
  </si>
  <si>
    <t>61516000 - Seguros y fianzas</t>
  </si>
  <si>
    <t>61517000 - Telefonos</t>
  </si>
  <si>
    <t>61518000 - Consumibles de oficina</t>
  </si>
  <si>
    <t>61519000 - Bodegas</t>
  </si>
  <si>
    <t>61519100 - Trasporte de valores</t>
  </si>
  <si>
    <t>61205000 - Viaticos y gastos de viaje</t>
  </si>
  <si>
    <t>61111000 - Marketing</t>
  </si>
  <si>
    <t>61100000 - Personal de marketing</t>
  </si>
  <si>
    <t>61180000 - Propaganda y publicidad</t>
  </si>
  <si>
    <t>61202000 - Servicio</t>
  </si>
  <si>
    <t>61211000 - Personal de servicio</t>
  </si>
  <si>
    <t>61204100 - Servicio a clientes</t>
  </si>
  <si>
    <t>61400000 - Gastos Dirección</t>
  </si>
  <si>
    <t>61410000 - Personal Dirección</t>
  </si>
  <si>
    <t>61130000 - Patrocinios</t>
  </si>
  <si>
    <t>HI TECH AUDIO SA DE CV</t>
  </si>
  <si>
    <t>Nombre de acreedor</t>
  </si>
  <si>
    <t>Saldo</t>
  </si>
  <si>
    <t>Moneda</t>
  </si>
  <si>
    <t>21301001</t>
  </si>
  <si>
    <t>IVA - por Cobrar/Provisionado 2010</t>
  </si>
  <si>
    <t>TOTAL OTROS PASIVOS A CORTO PLAZO</t>
  </si>
  <si>
    <t>61520000 - Almacén Deposito Fiscal</t>
  </si>
  <si>
    <t>PTU pendiente pagar</t>
  </si>
  <si>
    <t>BANAMEX</t>
  </si>
  <si>
    <t>Monto credito</t>
  </si>
  <si>
    <t>Tasa fija int anual</t>
  </si>
  <si>
    <t>POR PAGAR</t>
  </si>
  <si>
    <t>num pagos men</t>
  </si>
  <si>
    <t>PERIODO</t>
  </si>
  <si>
    <t>SALDO</t>
  </si>
  <si>
    <t>INTERES</t>
  </si>
  <si>
    <t>CAPITAL</t>
  </si>
  <si>
    <t>PAGO</t>
  </si>
  <si>
    <t>FECHA PAGO</t>
  </si>
  <si>
    <t>SANTANDER</t>
  </si>
  <si>
    <t>Tasa int anual</t>
  </si>
  <si>
    <t>BANCOMER</t>
  </si>
  <si>
    <t>61203000 - Depreciación y amortizaciones</t>
  </si>
  <si>
    <t>Margen de seguridad</t>
  </si>
  <si>
    <t>Operación:</t>
  </si>
  <si>
    <t>Utilidad (pérdida) neta</t>
  </si>
  <si>
    <t>Más:</t>
  </si>
  <si>
    <t>Cargos a resultados que no requieren uso de efectivo:</t>
  </si>
  <si>
    <t>Depreciación</t>
  </si>
  <si>
    <t>Amortización</t>
  </si>
  <si>
    <t>Reservas inventario y cxc</t>
  </si>
  <si>
    <t>Recursos generados en la operación:</t>
  </si>
  <si>
    <t>Flujos utilizados en la operación, provenientes de cambios</t>
  </si>
  <si>
    <t>en el capital de trabajo operacional:</t>
  </si>
  <si>
    <t>Clientes</t>
  </si>
  <si>
    <t>Pago de impuestos</t>
  </si>
  <si>
    <t>Otras cuentas de activo circulante</t>
  </si>
  <si>
    <t>Pagos anticipados y anticipo de proveedores</t>
  </si>
  <si>
    <t>Cuentas por pagar</t>
  </si>
  <si>
    <t>Anticipos de clientes</t>
  </si>
  <si>
    <t>Acreedores diversos</t>
  </si>
  <si>
    <t>Otras cuentas de pasivo a corto plazo</t>
  </si>
  <si>
    <t>Flujos utilizados en la operación</t>
  </si>
  <si>
    <t>Recursos netos generados (utilizados) en la operación:</t>
  </si>
  <si>
    <t>Financiamiento</t>
  </si>
  <si>
    <t>Obtención (Amortización) de créditos</t>
  </si>
  <si>
    <t>Inversión:</t>
  </si>
  <si>
    <t>Adquisición de activo fijo</t>
  </si>
  <si>
    <t>Recursos utilizados en actividades de inversión:</t>
  </si>
  <si>
    <t>Incremento (decremento) de efectivo:</t>
  </si>
  <si>
    <t>Efectivo e inversiones al inicio del ejercicio</t>
  </si>
  <si>
    <t>Saldo final en efectivo e inversiones</t>
  </si>
  <si>
    <t>Saldo en balance</t>
  </si>
  <si>
    <t>Inventarios</t>
  </si>
  <si>
    <t>Pago de dividendos</t>
  </si>
  <si>
    <t>Código de cuenta</t>
  </si>
  <si>
    <t>COSTO</t>
  </si>
  <si>
    <t>Comisones por venta equipo</t>
  </si>
  <si>
    <t>Comisiones de tarjeta credito x cobro de una vta</t>
  </si>
  <si>
    <t>Dif con respecto al año pasado</t>
  </si>
  <si>
    <t>51100000 - Comisiones y otros costos</t>
  </si>
  <si>
    <t>Prestamo a Cristopher Pedroza en Julio que regresa en Agosto</t>
  </si>
  <si>
    <t>Prestamo a Karla Santiago en Junio que regresa en Agosto</t>
  </si>
  <si>
    <t>Integración de otros pasivos a corto plazo Octubre 2018</t>
  </si>
  <si>
    <t>IVA por Pagar al SAT</t>
  </si>
  <si>
    <t>Márgen neto</t>
  </si>
  <si>
    <t>Estado de flujo de efectivo</t>
  </si>
  <si>
    <t>Inversión Colombia</t>
  </si>
  <si>
    <t>Estado de situación financiera al cierre de</t>
  </si>
  <si>
    <t>Empresa La Comercial CM, SA de CV</t>
  </si>
  <si>
    <t>Reducción de capital</t>
  </si>
  <si>
    <t>Gastos (3 meses)</t>
  </si>
  <si>
    <t>41700000 - Tiendas</t>
  </si>
  <si>
    <t>51400000 - Costo tiendas</t>
  </si>
  <si>
    <t>41300000 - Refacciones y servicio</t>
  </si>
  <si>
    <t>51300000 - Refacciones y servicio</t>
  </si>
  <si>
    <t>71100000 - Intereses financieros</t>
  </si>
  <si>
    <t>Clientes nuevos</t>
  </si>
  <si>
    <t>Clientes existentes</t>
  </si>
  <si>
    <t>Total de clientes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</si>
</sst>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;[Red]\(#,##0\)"/>
    <numFmt numFmtId="166" formatCode="#,##0.00_ ;[Red]\-#,##0.00\ "/>
    <numFmt numFmtId="167" formatCode="#,##0.00_ ;\-#,##0.00\ "/>
    <numFmt numFmtId="168" formatCode="[$-80A]General"/>
    <numFmt numFmtId="169" formatCode="&quot; &quot;#,##0.00&quot; &quot;;&quot;-&quot;#,##0.00&quot; &quot;;&quot; -&quot;#&quot; &quot;;&quot; &quot;@&quot; &quot;"/>
    <numFmt numFmtId="170" formatCode="d/mm/yy;@"/>
    <numFmt numFmtId="171" formatCode="dd/mm/yy;@"/>
    <numFmt numFmtId="172" formatCode="_(* #,##0_);_(* \(#,##0\);_(* &quot;-&quot;??_);_(@_)"/>
    <numFmt numFmtId="173" formatCode="_-* #,##0.00_-;\-* #,##0.00_-;_-* \-??_-;_-@_-"/>
  </numFmts>
  <fonts count="45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18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19" borderId="0" applyNumberFormat="0" applyBorder="0" applyAlignment="0" applyProtection="0"/>
    <xf numFmtId="0" fontId="20" fillId="20" borderId="10" applyNumberFormat="0" applyAlignment="0" applyProtection="0"/>
    <xf numFmtId="0" fontId="21" fillId="21" borderId="11" applyNumberFormat="0" applyAlignment="0" applyProtection="0"/>
    <xf numFmtId="0" fontId="22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10" applyNumberFormat="0" applyAlignment="0" applyProtection="0"/>
    <xf numFmtId="169" fontId="25" fillId="0" borderId="0"/>
    <xf numFmtId="0" fontId="16" fillId="0" borderId="0"/>
    <xf numFmtId="0" fontId="26" fillId="29" borderId="0" applyNumberFormat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16" fillId="0" borderId="0"/>
    <xf numFmtId="44" fontId="17" fillId="0" borderId="0" applyFill="0" applyBorder="0" applyAlignment="0" applyProtection="0"/>
    <xf numFmtId="0" fontId="27" fillId="30" borderId="0" applyNumberFormat="0" applyBorder="0" applyAlignment="0" applyProtection="0"/>
    <xf numFmtId="0" fontId="28" fillId="30" borderId="0" applyNumberFormat="0" applyBorder="0" applyAlignment="0" applyProtection="0"/>
    <xf numFmtId="168" fontId="25" fillId="0" borderId="0"/>
    <xf numFmtId="0" fontId="5" fillId="0" borderId="0"/>
    <xf numFmtId="0" fontId="18" fillId="31" borderId="13" applyNumberFormat="0" applyFont="0" applyAlignment="0" applyProtection="0"/>
    <xf numFmtId="9" fontId="18" fillId="0" borderId="0" applyFont="0" applyFill="0" applyBorder="0" applyAlignment="0" applyProtection="0"/>
    <xf numFmtId="0" fontId="29" fillId="20" borderId="1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23" fillId="0" borderId="16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</cellStyleXfs>
  <cellXfs count="127">
    <xf numFmtId="0" fontId="0" fillId="0" borderId="0" xfId="0"/>
    <xf numFmtId="43" fontId="36" fillId="0" borderId="0" xfId="39" applyFont="1" applyFill="1" applyAlignment="1">
      <alignment horizontal="centerContinuous"/>
    </xf>
    <xf numFmtId="0" fontId="0" fillId="0" borderId="0" xfId="0" applyFill="1"/>
    <xf numFmtId="43" fontId="37" fillId="0" borderId="0" xfId="39" applyFont="1" applyFill="1" applyAlignment="1">
      <alignment horizontal="centerContinuous"/>
    </xf>
    <xf numFmtId="0" fontId="38" fillId="0" borderId="0" xfId="0" applyFont="1" applyFill="1" applyAlignment="1">
      <alignment horizontal="center"/>
    </xf>
    <xf numFmtId="17" fontId="38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43" fontId="0" fillId="0" borderId="0" xfId="0" applyNumberFormat="1" applyFill="1"/>
    <xf numFmtId="164" fontId="0" fillId="0" borderId="0" xfId="0" applyNumberFormat="1" applyFill="1"/>
    <xf numFmtId="164" fontId="35" fillId="0" borderId="0" xfId="0" applyNumberFormat="1" applyFont="1" applyFill="1"/>
    <xf numFmtId="10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35" fillId="0" borderId="0" xfId="0" applyFont="1" applyFill="1"/>
    <xf numFmtId="43" fontId="35" fillId="0" borderId="0" xfId="39" applyFont="1" applyFill="1"/>
    <xf numFmtId="43" fontId="39" fillId="0" borderId="0" xfId="39" applyFont="1" applyFill="1" applyAlignment="1">
      <alignment horizontal="centerContinuous"/>
    </xf>
    <xf numFmtId="43" fontId="18" fillId="0" borderId="0" xfId="39" applyFont="1" applyFill="1" applyAlignment="1">
      <alignment horizontal="centerContinuous"/>
    </xf>
    <xf numFmtId="43" fontId="35" fillId="0" borderId="0" xfId="39" applyFont="1" applyFill="1" applyAlignment="1">
      <alignment horizontal="centerContinuous"/>
    </xf>
    <xf numFmtId="43" fontId="38" fillId="0" borderId="0" xfId="39" applyFont="1" applyFill="1" applyAlignment="1">
      <alignment horizontal="center"/>
    </xf>
    <xf numFmtId="17" fontId="38" fillId="0" borderId="0" xfId="39" applyNumberFormat="1" applyFont="1" applyFill="1" applyAlignment="1">
      <alignment horizontal="center"/>
    </xf>
    <xf numFmtId="43" fontId="40" fillId="0" borderId="0" xfId="39" applyFont="1" applyFill="1" applyBorder="1"/>
    <xf numFmtId="10" fontId="35" fillId="0" borderId="0" xfId="48" applyNumberFormat="1" applyFont="1" applyFill="1"/>
    <xf numFmtId="164" fontId="18" fillId="0" borderId="0" xfId="39" applyNumberFormat="1" applyFont="1" applyFill="1" applyAlignment="1">
      <alignment horizontal="right"/>
    </xf>
    <xf numFmtId="43" fontId="18" fillId="0" borderId="0" xfId="39" applyFont="1" applyFill="1" applyAlignment="1">
      <alignment horizontal="right"/>
    </xf>
    <xf numFmtId="10" fontId="18" fillId="0" borderId="0" xfId="48" applyNumberFormat="1" applyFont="1" applyFill="1"/>
    <xf numFmtId="10" fontId="35" fillId="0" borderId="0" xfId="48" applyNumberFormat="1" applyFont="1" applyFill="1" applyAlignment="1">
      <alignment horizontal="center"/>
    </xf>
    <xf numFmtId="43" fontId="18" fillId="0" borderId="0" xfId="39" applyFont="1" applyFill="1" applyAlignment="1">
      <alignment horizontal="center"/>
    </xf>
    <xf numFmtId="10" fontId="18" fillId="0" borderId="0" xfId="48" applyNumberFormat="1" applyFont="1" applyFill="1" applyAlignment="1">
      <alignment horizontal="center"/>
    </xf>
    <xf numFmtId="9" fontId="42" fillId="0" borderId="0" xfId="48" applyNumberFormat="1" applyFont="1" applyFill="1"/>
    <xf numFmtId="38" fontId="40" fillId="0" borderId="0" xfId="39" applyNumberFormat="1" applyFont="1" applyFill="1" applyBorder="1"/>
    <xf numFmtId="38" fontId="18" fillId="0" borderId="0" xfId="39" applyNumberFormat="1" applyFont="1" applyFill="1"/>
    <xf numFmtId="38" fontId="35" fillId="0" borderId="0" xfId="39" applyNumberFormat="1" applyFont="1" applyFill="1"/>
    <xf numFmtId="38" fontId="41" fillId="0" borderId="0" xfId="39" applyNumberFormat="1" applyFont="1" applyFill="1" applyBorder="1"/>
    <xf numFmtId="17" fontId="0" fillId="0" borderId="0" xfId="0" applyNumberFormat="1" applyFill="1"/>
    <xf numFmtId="38" fontId="41" fillId="0" borderId="1" xfId="39" applyNumberFormat="1" applyFont="1" applyFill="1" applyBorder="1"/>
    <xf numFmtId="165" fontId="18" fillId="0" borderId="0" xfId="39" applyNumberFormat="1" applyFont="1" applyFill="1"/>
    <xf numFmtId="165" fontId="35" fillId="0" borderId="0" xfId="39" applyNumberFormat="1" applyFont="1" applyFill="1"/>
    <xf numFmtId="165" fontId="18" fillId="0" borderId="0" xfId="39" applyNumberFormat="1" applyFont="1" applyFill="1" applyAlignment="1">
      <alignment horizontal="right"/>
    </xf>
    <xf numFmtId="0" fontId="30" fillId="0" borderId="0" xfId="0" applyFont="1" applyFill="1"/>
    <xf numFmtId="0" fontId="35" fillId="0" borderId="0" xfId="0" applyFont="1" applyAlignment="1">
      <alignment horizontal="center"/>
    </xf>
    <xf numFmtId="9" fontId="43" fillId="0" borderId="0" xfId="48" applyNumberFormat="1" applyFont="1" applyFill="1"/>
    <xf numFmtId="17" fontId="18" fillId="0" borderId="0" xfId="39" applyNumberFormat="1" applyFont="1" applyFill="1"/>
    <xf numFmtId="164" fontId="18" fillId="0" borderId="0" xfId="39" applyNumberFormat="1" applyFont="1" applyFill="1"/>
    <xf numFmtId="43" fontId="18" fillId="0" borderId="0" xfId="39" applyFont="1"/>
    <xf numFmtId="166" fontId="18" fillId="0" borderId="0" xfId="39" applyNumberFormat="1" applyFont="1"/>
    <xf numFmtId="43" fontId="35" fillId="34" borderId="2" xfId="39" applyFont="1" applyFill="1" applyBorder="1" applyAlignment="1">
      <alignment horizontal="centerContinuous"/>
    </xf>
    <xf numFmtId="43" fontId="18" fillId="34" borderId="3" xfId="39" applyFont="1" applyFill="1" applyBorder="1" applyAlignment="1">
      <alignment horizontal="centerContinuous"/>
    </xf>
    <xf numFmtId="166" fontId="18" fillId="34" borderId="3" xfId="39" applyNumberFormat="1" applyFont="1" applyFill="1" applyBorder="1" applyAlignment="1">
      <alignment horizontal="centerContinuous"/>
    </xf>
    <xf numFmtId="43" fontId="18" fillId="34" borderId="4" xfId="39" applyFont="1" applyFill="1" applyBorder="1" applyAlignment="1">
      <alignment horizontal="centerContinuous"/>
    </xf>
    <xf numFmtId="43" fontId="18" fillId="34" borderId="5" xfId="39" applyFont="1" applyFill="1" applyBorder="1" applyAlignment="1">
      <alignment horizontal="centerContinuous"/>
    </xf>
    <xf numFmtId="166" fontId="18" fillId="34" borderId="5" xfId="39" applyNumberFormat="1" applyFont="1" applyFill="1" applyBorder="1" applyAlignment="1">
      <alignment horizontal="centerContinuous"/>
    </xf>
    <xf numFmtId="43" fontId="18" fillId="34" borderId="6" xfId="39" applyFont="1" applyFill="1" applyBorder="1" applyAlignment="1">
      <alignment horizontal="centerContinuous"/>
    </xf>
    <xf numFmtId="43" fontId="38" fillId="35" borderId="7" xfId="39" applyFont="1" applyFill="1" applyBorder="1" applyAlignment="1">
      <alignment horizontal="center" vertical="center" wrapText="1"/>
    </xf>
    <xf numFmtId="166" fontId="38" fillId="35" borderId="7" xfId="39" applyNumberFormat="1" applyFont="1" applyFill="1" applyBorder="1" applyAlignment="1">
      <alignment horizontal="center" vertical="center" wrapText="1"/>
    </xf>
    <xf numFmtId="43" fontId="35" fillId="36" borderId="0" xfId="39" applyFont="1" applyFill="1"/>
    <xf numFmtId="166" fontId="35" fillId="36" borderId="0" xfId="39" applyNumberFormat="1" applyFont="1" applyFill="1"/>
    <xf numFmtId="0" fontId="21" fillId="37" borderId="0" xfId="0" applyFont="1" applyFill="1"/>
    <xf numFmtId="10" fontId="18" fillId="0" borderId="0" xfId="48" applyNumberFormat="1" applyFont="1"/>
    <xf numFmtId="167" fontId="0" fillId="0" borderId="0" xfId="0" applyNumberFormat="1"/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71" fontId="0" fillId="0" borderId="0" xfId="0" applyNumberFormat="1"/>
    <xf numFmtId="0" fontId="21" fillId="33" borderId="0" xfId="0" applyFont="1" applyFill="1"/>
    <xf numFmtId="0" fontId="21" fillId="38" borderId="0" xfId="0" applyFont="1" applyFill="1"/>
    <xf numFmtId="14" fontId="35" fillId="0" borderId="0" xfId="0" applyNumberFormat="1" applyFont="1"/>
    <xf numFmtId="167" fontId="35" fillId="0" borderId="1" xfId="0" applyNumberFormat="1" applyFont="1" applyBorder="1"/>
    <xf numFmtId="167" fontId="0" fillId="32" borderId="0" xfId="0" applyNumberFormat="1" applyFill="1"/>
    <xf numFmtId="0" fontId="0" fillId="0" borderId="0" xfId="0"/>
    <xf numFmtId="4" fontId="0" fillId="0" borderId="0" xfId="0" applyNumberFormat="1"/>
    <xf numFmtId="167" fontId="0" fillId="0" borderId="0" xfId="0" applyNumberFormat="1" applyFill="1"/>
    <xf numFmtId="172" fontId="12" fillId="0" borderId="0" xfId="40" applyNumberFormat="1" applyFont="1" applyFill="1" applyBorder="1" applyAlignment="1"/>
    <xf numFmtId="172" fontId="5" fillId="0" borderId="0" xfId="40" applyNumberFormat="1" applyFont="1" applyFill="1" applyBorder="1" applyAlignment="1"/>
    <xf numFmtId="43" fontId="12" fillId="0" borderId="0" xfId="40" applyFont="1" applyFill="1" applyBorder="1" applyAlignment="1"/>
    <xf numFmtId="43" fontId="12" fillId="0" borderId="0" xfId="40" applyFont="1" applyFill="1" applyBorder="1" applyAlignment="1">
      <alignment horizontal="left"/>
    </xf>
    <xf numFmtId="172" fontId="5" fillId="0" borderId="0" xfId="40" quotePrefix="1" applyNumberFormat="1" applyFont="1" applyFill="1" applyBorder="1" applyAlignment="1">
      <alignment horizontal="left"/>
    </xf>
    <xf numFmtId="172" fontId="15" fillId="0" borderId="0" xfId="40" quotePrefix="1" applyNumberFormat="1" applyFont="1" applyFill="1" applyBorder="1" applyAlignment="1">
      <alignment horizontal="right"/>
    </xf>
    <xf numFmtId="172" fontId="14" fillId="0" borderId="0" xfId="40" applyNumberFormat="1" applyFont="1" applyFill="1" applyBorder="1" applyAlignment="1"/>
    <xf numFmtId="172" fontId="15" fillId="0" borderId="8" xfId="40" applyNumberFormat="1" applyFont="1" applyFill="1" applyBorder="1" applyAlignment="1"/>
    <xf numFmtId="0" fontId="5" fillId="0" borderId="0" xfId="46" applyFont="1" applyFill="1" applyBorder="1" applyAlignment="1">
      <alignment horizontal="left"/>
    </xf>
    <xf numFmtId="0" fontId="5" fillId="0" borderId="0" xfId="46" applyFont="1" applyFill="1" applyBorder="1" applyAlignment="1"/>
    <xf numFmtId="43" fontId="12" fillId="0" borderId="0" xfId="40" quotePrefix="1" applyFont="1" applyFill="1" applyBorder="1" applyAlignment="1"/>
    <xf numFmtId="43" fontId="12" fillId="0" borderId="0" xfId="40" quotePrefix="1" applyFont="1" applyFill="1" applyBorder="1" applyAlignment="1">
      <alignment horizontal="left"/>
    </xf>
    <xf numFmtId="43" fontId="12" fillId="0" borderId="0" xfId="40" applyFont="1" applyFill="1" applyBorder="1" applyAlignment="1">
      <alignment horizontal="right"/>
    </xf>
    <xf numFmtId="43" fontId="6" fillId="0" borderId="0" xfId="40" applyFont="1" applyFill="1" applyAlignment="1">
      <alignment horizontal="centerContinuous"/>
    </xf>
    <xf numFmtId="43" fontId="7" fillId="0" borderId="0" xfId="40" applyFont="1" applyFill="1" applyAlignment="1">
      <alignment horizontal="centerContinuous"/>
    </xf>
    <xf numFmtId="0" fontId="5" fillId="0" borderId="0" xfId="46" applyFont="1" applyFill="1"/>
    <xf numFmtId="43" fontId="8" fillId="0" borderId="0" xfId="40" applyFont="1" applyFill="1" applyAlignment="1">
      <alignment horizontal="centerContinuous"/>
    </xf>
    <xf numFmtId="43" fontId="9" fillId="0" borderId="0" xfId="40" quotePrefix="1" applyFont="1" applyFill="1" applyAlignment="1">
      <alignment horizontal="centerContinuous"/>
    </xf>
    <xf numFmtId="43" fontId="10" fillId="0" borderId="0" xfId="40" applyFont="1" applyFill="1" applyAlignment="1">
      <alignment horizontal="center"/>
    </xf>
    <xf numFmtId="17" fontId="10" fillId="0" borderId="0" xfId="40" applyNumberFormat="1" applyFont="1" applyFill="1" applyAlignment="1">
      <alignment horizontal="centerContinuous"/>
    </xf>
    <xf numFmtId="43" fontId="11" fillId="0" borderId="0" xfId="40" applyFont="1" applyFill="1" applyBorder="1" applyAlignment="1">
      <alignment horizontal="center"/>
    </xf>
    <xf numFmtId="43" fontId="12" fillId="0" borderId="0" xfId="40" applyFont="1" applyFill="1" applyBorder="1" applyAlignment="1">
      <alignment horizontal="center"/>
    </xf>
    <xf numFmtId="43" fontId="13" fillId="0" borderId="0" xfId="40" applyFont="1" applyFill="1" applyBorder="1" applyAlignment="1"/>
    <xf numFmtId="43" fontId="11" fillId="0" borderId="0" xfId="40" applyFont="1" applyFill="1" applyBorder="1" applyAlignment="1"/>
    <xf numFmtId="172" fontId="12" fillId="0" borderId="8" xfId="40" applyNumberFormat="1" applyFont="1" applyFill="1" applyBorder="1" applyAlignment="1"/>
    <xf numFmtId="43" fontId="12" fillId="0" borderId="0" xfId="40" quotePrefix="1" applyFont="1" applyFill="1" applyBorder="1" applyAlignment="1">
      <alignment horizontal="right"/>
    </xf>
    <xf numFmtId="172" fontId="12" fillId="0" borderId="0" xfId="40" applyNumberFormat="1" applyFont="1" applyFill="1" applyBorder="1" applyAlignment="1">
      <alignment horizontal="center"/>
    </xf>
    <xf numFmtId="172" fontId="5" fillId="0" borderId="0" xfId="46" applyNumberFormat="1" applyFont="1" applyFill="1"/>
    <xf numFmtId="172" fontId="15" fillId="0" borderId="0" xfId="40" applyNumberFormat="1" applyFont="1" applyFill="1" applyBorder="1" applyAlignment="1"/>
    <xf numFmtId="172" fontId="15" fillId="0" borderId="1" xfId="40" applyNumberFormat="1" applyFont="1" applyFill="1" applyBorder="1" applyAlignment="1"/>
    <xf numFmtId="172" fontId="11" fillId="0" borderId="0" xfId="40" applyNumberFormat="1" applyFont="1" applyFill="1" applyBorder="1" applyAlignment="1"/>
    <xf numFmtId="43" fontId="5" fillId="0" borderId="0" xfId="40" applyFont="1" applyFill="1"/>
    <xf numFmtId="43" fontId="5" fillId="0" borderId="0" xfId="46" applyNumberFormat="1" applyFont="1" applyFill="1"/>
    <xf numFmtId="0" fontId="5" fillId="0" borderId="0" xfId="46" applyFont="1" applyFill="1" applyBorder="1"/>
    <xf numFmtId="0" fontId="5" fillId="0" borderId="0" xfId="46" applyFont="1" applyFill="1" applyBorder="1" applyAlignment="1">
      <alignment horizontal="centerContinuous"/>
    </xf>
    <xf numFmtId="43" fontId="7" fillId="0" borderId="0" xfId="40" applyFont="1" applyFill="1" applyBorder="1" applyAlignment="1">
      <alignment horizontal="centerContinuous"/>
    </xf>
    <xf numFmtId="43" fontId="9" fillId="0" borderId="0" xfId="40" quotePrefix="1" applyFont="1" applyFill="1" applyBorder="1" applyAlignment="1">
      <alignment horizontal="centerContinuous"/>
    </xf>
    <xf numFmtId="43" fontId="5" fillId="0" borderId="0" xfId="40" applyFont="1" applyFill="1" applyBorder="1" applyAlignment="1">
      <alignment horizontal="centerContinuous"/>
    </xf>
    <xf numFmtId="43" fontId="5" fillId="0" borderId="0" xfId="40" applyFont="1" applyFill="1" applyBorder="1" applyAlignment="1">
      <alignment horizontal="center"/>
    </xf>
    <xf numFmtId="17" fontId="5" fillId="0" borderId="0" xfId="40" applyNumberFormat="1" applyFont="1" applyFill="1" applyBorder="1" applyAlignment="1">
      <alignment horizontal="centerContinuous"/>
    </xf>
    <xf numFmtId="43" fontId="5" fillId="0" borderId="0" xfId="40" quotePrefix="1" applyFont="1" applyFill="1" applyBorder="1" applyAlignment="1">
      <alignment horizontal="right"/>
    </xf>
    <xf numFmtId="43" fontId="5" fillId="0" borderId="0" xfId="40" applyFont="1" applyFill="1" applyBorder="1" applyAlignment="1"/>
    <xf numFmtId="43" fontId="5" fillId="0" borderId="0" xfId="40" applyFont="1" applyFill="1" applyBorder="1" applyAlignment="1">
      <alignment horizontal="right"/>
    </xf>
    <xf numFmtId="43" fontId="5" fillId="0" borderId="0" xfId="40" quotePrefix="1" applyFont="1" applyFill="1" applyBorder="1" applyAlignment="1">
      <alignment horizontal="left"/>
    </xf>
    <xf numFmtId="43" fontId="5" fillId="0" borderId="0" xfId="40" quotePrefix="1" applyFont="1" applyFill="1" applyBorder="1" applyAlignment="1">
      <alignment horizontal="center"/>
    </xf>
    <xf numFmtId="43" fontId="5" fillId="0" borderId="0" xfId="40" quotePrefix="1" applyFont="1" applyFill="1" applyBorder="1" applyAlignment="1"/>
    <xf numFmtId="172" fontId="5" fillId="0" borderId="0" xfId="46" applyNumberFormat="1" applyFont="1" applyFill="1" applyBorder="1"/>
    <xf numFmtId="4" fontId="35" fillId="0" borderId="1" xfId="0" applyNumberFormat="1" applyFont="1" applyBorder="1"/>
    <xf numFmtId="0" fontId="35" fillId="0" borderId="0" xfId="0" applyFont="1" applyAlignment="1">
      <alignment horizontal="center" wrapText="1"/>
    </xf>
    <xf numFmtId="43" fontId="18" fillId="0" borderId="0" xfId="39" applyFont="1"/>
    <xf numFmtId="43" fontId="18" fillId="0" borderId="0" xfId="39" applyFont="1" applyFill="1"/>
    <xf numFmtId="43" fontId="18" fillId="34" borderId="9" xfId="39" applyFont="1" applyFill="1" applyBorder="1" applyAlignment="1">
      <alignment horizontal="centerContinuous"/>
    </xf>
    <xf numFmtId="0" fontId="18" fillId="0" borderId="0" xfId="39" applyNumberFormat="1" applyFont="1" applyAlignment="1">
      <alignment horizontal="left"/>
    </xf>
    <xf numFmtId="0" fontId="5" fillId="0" borderId="0" xfId="46" applyFont="1" applyFill="1" applyAlignment="1">
      <alignment horizontal="centerContinuous"/>
    </xf>
    <xf numFmtId="43" fontId="44" fillId="0" borderId="0" xfId="40" applyFont="1" applyFill="1" applyAlignment="1">
      <alignment horizontal="centerContinuous"/>
    </xf>
    <xf numFmtId="0" fontId="18" fillId="0" borderId="0" xfId="39" applyNumberFormat="1" applyFont="1" applyFill="1" applyAlignment="1">
      <alignment horizontal="center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14" xr:uid="{00000000-0005-0000-0000-00000D000000}"/>
    <cellStyle name="60% - Énfasis2" xfId="15" builtinId="36" customBuiltin="1"/>
    <cellStyle name="60% - Énfasis2 2" xfId="16" xr:uid="{00000000-0005-0000-0000-00000F000000}"/>
    <cellStyle name="60% - Énfasis3" xfId="17" builtinId="40" customBuiltin="1"/>
    <cellStyle name="60% - Énfasis3 2" xfId="18" xr:uid="{00000000-0005-0000-0000-000011000000}"/>
    <cellStyle name="60% - Énfasis4" xfId="19" builtinId="44" customBuiltin="1"/>
    <cellStyle name="60% - Énfasis4 2" xfId="20" xr:uid="{00000000-0005-0000-0000-000013000000}"/>
    <cellStyle name="60% - Énfasis5" xfId="21" builtinId="48" customBuiltin="1"/>
    <cellStyle name="60% - Énfasis5 2" xfId="22" xr:uid="{00000000-0005-0000-0000-000015000000}"/>
    <cellStyle name="60% - Énfasis6" xfId="23" builtinId="52" customBuiltin="1"/>
    <cellStyle name="60% - Énfasis6 2" xfId="24" xr:uid="{00000000-0005-0000-0000-000017000000}"/>
    <cellStyle name="Cálculo" xfId="25" builtinId="22" customBuiltin="1"/>
    <cellStyle name="Celda de comprobación" xfId="26" builtinId="23" customBuiltin="1"/>
    <cellStyle name="Celda vinculada" xfId="27" builtinId="24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xcel Built-in Comma" xfId="36" xr:uid="{00000000-0005-0000-0000-000023000000}"/>
    <cellStyle name="Excel Built-in Normal" xfId="37" xr:uid="{00000000-0005-0000-0000-000024000000}"/>
    <cellStyle name="Incorrecto" xfId="38" builtinId="27" customBuiltin="1"/>
    <cellStyle name="Millares" xfId="39" builtinId="3"/>
    <cellStyle name="Millares 2" xfId="40" xr:uid="{00000000-0005-0000-0000-000027000000}"/>
    <cellStyle name="Millares 3" xfId="41" xr:uid="{00000000-0005-0000-0000-000028000000}"/>
    <cellStyle name="Moneda 2" xfId="42" xr:uid="{00000000-0005-0000-0000-000029000000}"/>
    <cellStyle name="Neutral" xfId="43" builtinId="28" customBuiltin="1"/>
    <cellStyle name="Neutral 2" xfId="44" xr:uid="{00000000-0005-0000-0000-00002B000000}"/>
    <cellStyle name="Normal" xfId="0" builtinId="0"/>
    <cellStyle name="Normal 2" xfId="45" xr:uid="{00000000-0005-0000-0000-00002D000000}"/>
    <cellStyle name="Normal 2 2" xfId="46" xr:uid="{00000000-0005-0000-0000-00002E000000}"/>
    <cellStyle name="Notas" xfId="47" builtinId="10" customBuiltin="1"/>
    <cellStyle name="Porcentaje" xfId="48" builtinId="5"/>
    <cellStyle name="Salida" xfId="49" builtinId="21" customBuiltin="1"/>
    <cellStyle name="Texto de advertencia" xfId="50" builtinId="11" customBuiltin="1"/>
    <cellStyle name="Texto explicativo" xfId="51" builtinId="53" customBuiltin="1"/>
    <cellStyle name="Título" xfId="52" builtinId="15" customBuiltin="1"/>
    <cellStyle name="Título 2" xfId="53" builtinId="17" customBuiltin="1"/>
    <cellStyle name="Título 3" xfId="54" builtinId="18" customBuiltin="1"/>
    <cellStyle name="Título 4" xfId="55" xr:uid="{00000000-0005-0000-0000-000037000000}"/>
    <cellStyle name="Total" xfId="56" builtinId="25" customBuiltin="1"/>
  </cellStyles>
  <dxfs count="25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1"/>
  <sheetViews>
    <sheetView showGridLines="0" zoomScale="130" zoomScaleNormal="13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A9" sqref="A9"/>
    </sheetView>
  </sheetViews>
  <sheetFormatPr baseColWidth="10" defaultRowHeight="14.4" x14ac:dyDescent="0.3"/>
  <cols>
    <col min="1" max="1" width="46.109375" style="121" customWidth="1"/>
    <col min="2" max="2" width="12.6640625" style="121" customWidth="1"/>
    <col min="3" max="3" width="13.44140625" style="121" customWidth="1"/>
    <col min="4" max="4" width="3.33203125" style="121" customWidth="1"/>
    <col min="5" max="5" width="12.6640625" style="121" bestFit="1" customWidth="1"/>
    <col min="6" max="6" width="3.6640625" style="121" customWidth="1"/>
    <col min="7" max="16384" width="11.5546875" style="121"/>
  </cols>
  <sheetData>
    <row r="1" spans="1:9" ht="21" x14ac:dyDescent="0.4">
      <c r="A1" s="16" t="str">
        <f>Balance!A1</f>
        <v>Empresa La Comercial CM, SA de CV</v>
      </c>
      <c r="B1" s="17"/>
      <c r="C1" s="17"/>
      <c r="D1" s="17"/>
    </row>
    <row r="2" spans="1:9" x14ac:dyDescent="0.3">
      <c r="A2" s="18" t="s">
        <v>100</v>
      </c>
      <c r="B2" s="17"/>
      <c r="C2" s="17"/>
      <c r="D2" s="17"/>
    </row>
    <row r="3" spans="1:9" ht="6.75" customHeight="1" x14ac:dyDescent="0.3"/>
    <row r="4" spans="1:9" ht="6.75" customHeight="1" x14ac:dyDescent="0.3"/>
    <row r="5" spans="1:9" x14ac:dyDescent="0.3">
      <c r="A5" s="19" t="s">
        <v>1</v>
      </c>
      <c r="B5" s="20">
        <f>Balance!B5</f>
        <v>44531</v>
      </c>
      <c r="C5" s="20">
        <f>Balance!D5</f>
        <v>44166</v>
      </c>
      <c r="D5" s="20"/>
      <c r="E5" s="20">
        <f>Balance!F5</f>
        <v>43800</v>
      </c>
      <c r="G5" s="20">
        <f>Balance!H5</f>
        <v>43435</v>
      </c>
    </row>
    <row r="6" spans="1:9" x14ac:dyDescent="0.3">
      <c r="A6" s="121" t="s">
        <v>134</v>
      </c>
      <c r="B6" s="30">
        <v>2993638.04</v>
      </c>
      <c r="C6" s="30">
        <v>3005982.37</v>
      </c>
      <c r="D6" s="31"/>
      <c r="E6" s="30">
        <v>0</v>
      </c>
      <c r="G6" s="30">
        <v>0</v>
      </c>
      <c r="I6" s="121" t="s">
        <v>101</v>
      </c>
    </row>
    <row r="7" spans="1:9" x14ac:dyDescent="0.3">
      <c r="A7" s="15" t="s">
        <v>133</v>
      </c>
      <c r="B7" s="33">
        <f>B6</f>
        <v>2993638.04</v>
      </c>
      <c r="C7" s="33">
        <f>C6</f>
        <v>3005982.37</v>
      </c>
      <c r="D7" s="31"/>
      <c r="E7" s="33">
        <f>E6</f>
        <v>0</v>
      </c>
      <c r="G7" s="33">
        <f>G6</f>
        <v>0</v>
      </c>
    </row>
    <row r="8" spans="1:9" x14ac:dyDescent="0.3">
      <c r="A8" s="15"/>
      <c r="B8" s="15"/>
      <c r="C8" s="15"/>
      <c r="D8" s="15"/>
      <c r="E8" s="15"/>
      <c r="G8" s="15"/>
      <c r="I8" s="15"/>
    </row>
    <row r="9" spans="1:9" x14ac:dyDescent="0.3">
      <c r="A9" s="121" t="s">
        <v>110</v>
      </c>
      <c r="B9" s="30">
        <v>3264531.71</v>
      </c>
      <c r="C9" s="30">
        <v>4600840.68</v>
      </c>
      <c r="D9" s="31"/>
      <c r="E9" s="30">
        <v>6801741.21</v>
      </c>
      <c r="G9" s="30">
        <v>4205729.8600000003</v>
      </c>
      <c r="I9" s="121" t="s">
        <v>101</v>
      </c>
    </row>
    <row r="10" spans="1:9" x14ac:dyDescent="0.3">
      <c r="A10" s="121" t="s">
        <v>111</v>
      </c>
      <c r="B10" s="30">
        <v>191716.17</v>
      </c>
      <c r="C10" s="30">
        <v>116372.72</v>
      </c>
      <c r="D10" s="31"/>
      <c r="E10" s="30">
        <v>393199.38</v>
      </c>
      <c r="G10" s="30">
        <v>205059.94</v>
      </c>
      <c r="I10" s="121" t="s">
        <v>101</v>
      </c>
    </row>
    <row r="11" spans="1:9" x14ac:dyDescent="0.3">
      <c r="A11" s="121" t="s">
        <v>54</v>
      </c>
      <c r="B11" s="30">
        <v>86976.66</v>
      </c>
      <c r="C11" s="30">
        <v>44581.91</v>
      </c>
      <c r="D11" s="31"/>
      <c r="E11" s="30">
        <v>0</v>
      </c>
      <c r="G11" s="30">
        <v>0</v>
      </c>
      <c r="I11" s="121" t="s">
        <v>101</v>
      </c>
    </row>
    <row r="12" spans="1:9" x14ac:dyDescent="0.3">
      <c r="A12" s="121" t="s">
        <v>112</v>
      </c>
      <c r="B12" s="30">
        <v>1697581.5</v>
      </c>
      <c r="C12" s="30">
        <v>1431292.83</v>
      </c>
      <c r="D12" s="31"/>
      <c r="E12" s="30">
        <v>1371658.77</v>
      </c>
      <c r="G12" s="30">
        <v>1238280.73</v>
      </c>
      <c r="I12" s="121" t="s">
        <v>101</v>
      </c>
    </row>
    <row r="13" spans="1:9" x14ac:dyDescent="0.3">
      <c r="A13" s="121" t="s">
        <v>55</v>
      </c>
      <c r="B13" s="30">
        <v>23438.93</v>
      </c>
      <c r="C13" s="30">
        <v>37297.589999999997</v>
      </c>
      <c r="D13" s="31"/>
      <c r="E13" s="30">
        <v>1134787.99</v>
      </c>
      <c r="G13" s="30">
        <v>989140.67</v>
      </c>
      <c r="I13" s="121" t="s">
        <v>101</v>
      </c>
    </row>
    <row r="14" spans="1:9" x14ac:dyDescent="0.3">
      <c r="A14" s="15" t="s">
        <v>56</v>
      </c>
      <c r="B14" s="33">
        <f>SUM(B9:B13)</f>
        <v>5264244.97</v>
      </c>
      <c r="C14" s="33">
        <f>SUM(C9:C13)</f>
        <v>6230385.7299999995</v>
      </c>
      <c r="D14" s="31"/>
      <c r="E14" s="33">
        <f>SUM(E9:E13)</f>
        <v>9701387.3499999996</v>
      </c>
      <c r="G14" s="33">
        <f>SUM(G9:G13)</f>
        <v>6638211.2000000011</v>
      </c>
    </row>
    <row r="15" spans="1:9" x14ac:dyDescent="0.3">
      <c r="A15" s="15"/>
      <c r="B15" s="15"/>
      <c r="C15" s="15"/>
      <c r="D15" s="15"/>
      <c r="E15" s="15"/>
      <c r="G15" s="15"/>
      <c r="I15" s="15"/>
    </row>
    <row r="16" spans="1:9" x14ac:dyDescent="0.3">
      <c r="A16" s="121" t="s">
        <v>114</v>
      </c>
      <c r="B16" s="30">
        <v>1393353.38</v>
      </c>
      <c r="C16" s="30">
        <v>1000509.02</v>
      </c>
      <c r="D16" s="31"/>
      <c r="E16" s="30">
        <v>0</v>
      </c>
      <c r="G16" s="30">
        <v>0</v>
      </c>
      <c r="I16" s="121" t="s">
        <v>101</v>
      </c>
    </row>
    <row r="17" spans="1:9" x14ac:dyDescent="0.3">
      <c r="A17" s="121" t="s">
        <v>116</v>
      </c>
      <c r="B17" s="30">
        <v>284501.57</v>
      </c>
      <c r="C17" s="30">
        <v>59836.03</v>
      </c>
      <c r="D17" s="31"/>
      <c r="E17" s="30">
        <v>192329.76</v>
      </c>
      <c r="G17" s="30">
        <v>239654.69</v>
      </c>
      <c r="I17" s="121" t="s">
        <v>101</v>
      </c>
    </row>
    <row r="18" spans="1:9" x14ac:dyDescent="0.3">
      <c r="A18" s="121" t="s">
        <v>117</v>
      </c>
      <c r="B18" s="30">
        <v>0</v>
      </c>
      <c r="C18" s="30">
        <v>28515</v>
      </c>
      <c r="D18" s="31"/>
      <c r="E18" s="30">
        <v>120000</v>
      </c>
      <c r="G18" s="30">
        <v>86810.07</v>
      </c>
      <c r="I18" s="121" t="s">
        <v>101</v>
      </c>
    </row>
    <row r="19" spans="1:9" x14ac:dyDescent="0.3">
      <c r="A19" s="121" t="s">
        <v>115</v>
      </c>
      <c r="B19" s="30">
        <v>24208.17</v>
      </c>
      <c r="C19" s="30">
        <v>50404.44</v>
      </c>
      <c r="D19" s="31"/>
      <c r="E19" s="30">
        <v>0</v>
      </c>
      <c r="G19" s="30">
        <v>0</v>
      </c>
      <c r="I19" s="121" t="s">
        <v>101</v>
      </c>
    </row>
    <row r="20" spans="1:9" x14ac:dyDescent="0.3">
      <c r="A20" s="121" t="s">
        <v>118</v>
      </c>
      <c r="B20" s="30">
        <v>28875.59</v>
      </c>
      <c r="C20" s="30">
        <v>45001.06</v>
      </c>
      <c r="D20" s="31"/>
      <c r="E20" s="30">
        <v>67342.23</v>
      </c>
      <c r="G20" s="30">
        <v>49085.72</v>
      </c>
      <c r="I20" s="121" t="s">
        <v>101</v>
      </c>
    </row>
    <row r="21" spans="1:9" x14ac:dyDescent="0.3">
      <c r="A21" s="15" t="s">
        <v>53</v>
      </c>
      <c r="B21" s="33">
        <f>SUM(B16:B20)</f>
        <v>1730938.71</v>
      </c>
      <c r="C21" s="33">
        <f>SUM(C16:C20)</f>
        <v>1184265.55</v>
      </c>
      <c r="D21" s="31"/>
      <c r="E21" s="33">
        <f>SUM(E16:E20)</f>
        <v>379671.99</v>
      </c>
      <c r="G21" s="33">
        <f>SUM(G16:G20)</f>
        <v>375550.48</v>
      </c>
    </row>
    <row r="22" spans="1:9" x14ac:dyDescent="0.3">
      <c r="A22" s="15"/>
      <c r="B22" s="15"/>
      <c r="C22" s="15"/>
      <c r="D22" s="15"/>
      <c r="E22" s="15"/>
      <c r="G22" s="15"/>
      <c r="I22" s="15"/>
    </row>
    <row r="23" spans="1:9" x14ac:dyDescent="0.3">
      <c r="A23" s="121" t="s">
        <v>119</v>
      </c>
      <c r="B23" s="30">
        <v>6178606.9000000004</v>
      </c>
      <c r="C23" s="30">
        <v>5249736.4000000004</v>
      </c>
      <c r="D23" s="31"/>
      <c r="E23" s="30">
        <v>4173528.89</v>
      </c>
      <c r="G23" s="30">
        <v>3020078.03</v>
      </c>
      <c r="I23" s="121" t="s">
        <v>101</v>
      </c>
    </row>
    <row r="24" spans="1:9" x14ac:dyDescent="0.3">
      <c r="A24" s="121" t="s">
        <v>120</v>
      </c>
      <c r="B24" s="30">
        <v>188023.66</v>
      </c>
      <c r="C24" s="30">
        <v>244863.35999999999</v>
      </c>
      <c r="D24" s="31"/>
      <c r="E24" s="30">
        <v>558359.62</v>
      </c>
      <c r="G24" s="30">
        <v>685977.96</v>
      </c>
      <c r="I24" s="121" t="s">
        <v>102</v>
      </c>
    </row>
    <row r="25" spans="1:9" x14ac:dyDescent="0.3">
      <c r="A25" s="121" t="s">
        <v>121</v>
      </c>
      <c r="B25" s="30">
        <v>463238.95</v>
      </c>
      <c r="C25" s="30">
        <v>290500.67</v>
      </c>
      <c r="D25" s="31"/>
      <c r="E25" s="30">
        <v>138708.54999999999</v>
      </c>
      <c r="G25" s="30">
        <v>137428.65</v>
      </c>
      <c r="I25" s="121" t="s">
        <v>101</v>
      </c>
    </row>
    <row r="26" spans="1:9" x14ac:dyDescent="0.3">
      <c r="A26" s="121" t="s">
        <v>122</v>
      </c>
      <c r="B26" s="30">
        <v>2862.1</v>
      </c>
      <c r="C26" s="30">
        <v>2520.14</v>
      </c>
      <c r="D26" s="31"/>
      <c r="E26" s="30">
        <v>51529.66</v>
      </c>
      <c r="G26" s="30">
        <v>50420.34</v>
      </c>
      <c r="I26" s="121" t="s">
        <v>102</v>
      </c>
    </row>
    <row r="27" spans="1:9" x14ac:dyDescent="0.3">
      <c r="A27" s="121" t="s">
        <v>123</v>
      </c>
      <c r="B27" s="30">
        <v>179099.91</v>
      </c>
      <c r="C27" s="30">
        <v>253539.04</v>
      </c>
      <c r="D27" s="31"/>
      <c r="E27" s="30">
        <v>389183.44</v>
      </c>
      <c r="G27" s="30">
        <v>479652.49</v>
      </c>
      <c r="I27" s="121" t="s">
        <v>102</v>
      </c>
    </row>
    <row r="28" spans="1:9" x14ac:dyDescent="0.3">
      <c r="A28" s="121" t="s">
        <v>124</v>
      </c>
      <c r="B28" s="30">
        <v>696298.78</v>
      </c>
      <c r="C28" s="30">
        <v>444834.37</v>
      </c>
      <c r="D28" s="31"/>
      <c r="E28" s="30">
        <v>317546.21000000002</v>
      </c>
      <c r="G28" s="30">
        <v>314049.87</v>
      </c>
      <c r="I28" s="121" t="s">
        <v>101</v>
      </c>
    </row>
    <row r="29" spans="1:9" x14ac:dyDescent="0.3">
      <c r="A29" s="121" t="s">
        <v>125</v>
      </c>
      <c r="B29" s="30">
        <v>128395.36</v>
      </c>
      <c r="C29" s="30">
        <v>107758.31</v>
      </c>
      <c r="D29" s="31"/>
      <c r="E29" s="30">
        <v>0</v>
      </c>
      <c r="G29" s="30">
        <v>0</v>
      </c>
      <c r="I29" s="121" t="s">
        <v>101</v>
      </c>
    </row>
    <row r="30" spans="1:9" x14ac:dyDescent="0.3">
      <c r="A30" s="2" t="s">
        <v>143</v>
      </c>
      <c r="B30" s="30">
        <v>0</v>
      </c>
      <c r="C30" s="30">
        <v>59725.34</v>
      </c>
      <c r="D30" s="31"/>
      <c r="E30" s="30">
        <v>0</v>
      </c>
      <c r="G30" s="30">
        <v>0</v>
      </c>
      <c r="I30" s="121" t="s">
        <v>102</v>
      </c>
    </row>
    <row r="31" spans="1:9" x14ac:dyDescent="0.3">
      <c r="A31" s="121" t="s">
        <v>60</v>
      </c>
      <c r="B31" s="30">
        <v>170106.54</v>
      </c>
      <c r="C31" s="30">
        <v>66030.55</v>
      </c>
      <c r="D31" s="31"/>
      <c r="E31" s="30">
        <v>267150.5</v>
      </c>
      <c r="G31" s="30">
        <v>235832.25</v>
      </c>
      <c r="I31" s="121" t="s">
        <v>102</v>
      </c>
    </row>
    <row r="32" spans="1:9" x14ac:dyDescent="0.3">
      <c r="A32" s="121" t="s">
        <v>61</v>
      </c>
      <c r="B32" s="30">
        <v>125654.57</v>
      </c>
      <c r="C32" s="30">
        <v>22431.45</v>
      </c>
      <c r="D32" s="31"/>
      <c r="E32" s="30">
        <v>8141</v>
      </c>
      <c r="G32" s="30">
        <v>1587</v>
      </c>
      <c r="I32" s="121" t="s">
        <v>101</v>
      </c>
    </row>
    <row r="33" spans="1:9" x14ac:dyDescent="0.3">
      <c r="A33" s="121" t="s">
        <v>59</v>
      </c>
      <c r="B33" s="30">
        <v>126256.28</v>
      </c>
      <c r="C33" s="30">
        <v>19440.560000000001</v>
      </c>
      <c r="D33" s="31"/>
      <c r="E33" s="30">
        <v>108272.42</v>
      </c>
      <c r="G33" s="30">
        <v>6000</v>
      </c>
      <c r="I33" s="121" t="s">
        <v>101</v>
      </c>
    </row>
    <row r="34" spans="1:9" x14ac:dyDescent="0.3">
      <c r="A34" s="121" t="s">
        <v>58</v>
      </c>
      <c r="B34" s="30">
        <v>9103.9699999999993</v>
      </c>
      <c r="C34" s="30">
        <v>26034.03</v>
      </c>
      <c r="D34" s="31"/>
      <c r="E34" s="30">
        <v>26384.17</v>
      </c>
      <c r="G34" s="30">
        <v>18546.3</v>
      </c>
      <c r="I34" s="121" t="s">
        <v>102</v>
      </c>
    </row>
    <row r="35" spans="1:9" x14ac:dyDescent="0.3">
      <c r="A35" s="121" t="s">
        <v>57</v>
      </c>
      <c r="B35" s="30">
        <v>444618</v>
      </c>
      <c r="C35" s="30">
        <v>99983.33</v>
      </c>
      <c r="D35" s="31"/>
      <c r="E35" s="30">
        <v>74691.47</v>
      </c>
      <c r="G35" s="30">
        <v>81867.66</v>
      </c>
      <c r="I35" s="121" t="s">
        <v>102</v>
      </c>
    </row>
    <row r="36" spans="1:9" x14ac:dyDescent="0.3">
      <c r="A36" s="121" t="s">
        <v>62</v>
      </c>
      <c r="B36" s="30">
        <v>156522.76999999999</v>
      </c>
      <c r="C36" s="30">
        <v>74378.31</v>
      </c>
      <c r="D36" s="31"/>
      <c r="E36" s="30">
        <v>147543.78</v>
      </c>
      <c r="G36" s="30">
        <v>103205.95</v>
      </c>
      <c r="I36" s="121" t="s">
        <v>101</v>
      </c>
    </row>
    <row r="37" spans="1:9" x14ac:dyDescent="0.3">
      <c r="A37" s="2" t="s">
        <v>63</v>
      </c>
      <c r="B37" s="30">
        <v>0</v>
      </c>
      <c r="C37" s="30">
        <v>122511.45</v>
      </c>
      <c r="D37" s="31"/>
      <c r="E37" s="30">
        <v>0</v>
      </c>
      <c r="G37" s="30">
        <v>0</v>
      </c>
      <c r="I37" s="121" t="s">
        <v>101</v>
      </c>
    </row>
    <row r="38" spans="1:9" x14ac:dyDescent="0.3">
      <c r="A38" s="15" t="s">
        <v>64</v>
      </c>
      <c r="B38" s="33">
        <f>SUM(B23:B37)</f>
        <v>8868787.790000001</v>
      </c>
      <c r="C38" s="33">
        <f>SUM(C23:C37)</f>
        <v>7084287.3099999996</v>
      </c>
      <c r="D38" s="32"/>
      <c r="E38" s="33">
        <f>SUM(E23:E37)</f>
        <v>6261039.71</v>
      </c>
      <c r="G38" s="33">
        <f>SUM(G23:G37)</f>
        <v>5134646.5</v>
      </c>
    </row>
    <row r="39" spans="1:9" x14ac:dyDescent="0.3">
      <c r="A39" s="15"/>
      <c r="B39" s="15"/>
      <c r="C39" s="15"/>
      <c r="D39" s="15"/>
      <c r="E39" s="15"/>
      <c r="G39" s="15"/>
      <c r="I39" s="15"/>
    </row>
    <row r="40" spans="1:9" x14ac:dyDescent="0.3">
      <c r="A40" s="121" t="s">
        <v>49</v>
      </c>
      <c r="B40" s="30">
        <v>7091069.2800000003</v>
      </c>
      <c r="C40" s="30">
        <v>8425397.9700000007</v>
      </c>
      <c r="D40" s="31"/>
      <c r="E40" s="30">
        <v>9835857.7699999996</v>
      </c>
      <c r="G40" s="30">
        <v>3833774.32</v>
      </c>
      <c r="I40" s="121" t="s">
        <v>101</v>
      </c>
    </row>
    <row r="41" spans="1:9" x14ac:dyDescent="0.3">
      <c r="A41" s="2" t="s">
        <v>159</v>
      </c>
      <c r="B41" s="30">
        <v>182358.97</v>
      </c>
      <c r="C41" s="30">
        <v>88988.68</v>
      </c>
      <c r="D41" s="31"/>
      <c r="E41" s="30">
        <v>0</v>
      </c>
      <c r="G41" s="30">
        <v>0</v>
      </c>
      <c r="I41" s="121" t="s">
        <v>101</v>
      </c>
    </row>
    <row r="42" spans="1:9" x14ac:dyDescent="0.3">
      <c r="A42" s="121" t="s">
        <v>126</v>
      </c>
      <c r="B42" s="30">
        <v>590450.52</v>
      </c>
      <c r="C42" s="30">
        <v>781567.03</v>
      </c>
      <c r="D42" s="31"/>
      <c r="E42" s="30">
        <v>1195285.77</v>
      </c>
      <c r="G42" s="30">
        <v>580963.25</v>
      </c>
      <c r="I42" s="121" t="s">
        <v>102</v>
      </c>
    </row>
    <row r="43" spans="1:9" x14ac:dyDescent="0.3">
      <c r="A43" s="121" t="s">
        <v>50</v>
      </c>
      <c r="B43" s="30">
        <v>5410461.9299999997</v>
      </c>
      <c r="C43" s="30">
        <v>6034885.2699999996</v>
      </c>
      <c r="D43" s="31"/>
      <c r="E43" s="30">
        <v>5926128.8399999999</v>
      </c>
      <c r="G43" s="30">
        <v>3042829.43</v>
      </c>
      <c r="I43" s="121" t="s">
        <v>101</v>
      </c>
    </row>
    <row r="44" spans="1:9" x14ac:dyDescent="0.3">
      <c r="A44" s="15" t="s">
        <v>51</v>
      </c>
      <c r="B44" s="33">
        <f>SUM(B40:B43)</f>
        <v>13274340.699999999</v>
      </c>
      <c r="C44" s="33">
        <f>SUM(C40:C43)</f>
        <v>15330838.949999999</v>
      </c>
      <c r="D44" s="32"/>
      <c r="E44" s="33">
        <f>SUM(E40:E43)</f>
        <v>16957272.379999999</v>
      </c>
      <c r="G44" s="33">
        <f>SUM(G40:G43)</f>
        <v>7457567</v>
      </c>
    </row>
    <row r="45" spans="1:9" x14ac:dyDescent="0.3">
      <c r="A45" s="15"/>
      <c r="B45" s="15"/>
      <c r="C45" s="15"/>
      <c r="D45" s="15"/>
      <c r="E45" s="15"/>
      <c r="G45" s="15"/>
      <c r="I45" s="15"/>
    </row>
    <row r="46" spans="1:9" x14ac:dyDescent="0.3">
      <c r="A46" s="121" t="s">
        <v>128</v>
      </c>
      <c r="B46" s="30">
        <v>818335.23</v>
      </c>
      <c r="C46" s="30">
        <v>375234.05</v>
      </c>
      <c r="D46" s="31"/>
      <c r="E46" s="30">
        <v>377108.73</v>
      </c>
      <c r="G46" s="30">
        <v>321846.26</v>
      </c>
      <c r="I46" s="121" t="s">
        <v>101</v>
      </c>
    </row>
    <row r="47" spans="1:9" x14ac:dyDescent="0.3">
      <c r="A47" s="121" t="s">
        <v>129</v>
      </c>
      <c r="B47" s="30">
        <v>3525534.12</v>
      </c>
      <c r="C47" s="30">
        <v>3910508.03</v>
      </c>
      <c r="D47" s="31"/>
      <c r="E47" s="30">
        <v>3358898.04</v>
      </c>
      <c r="G47" s="30">
        <v>2231855.73</v>
      </c>
      <c r="I47" s="121" t="s">
        <v>101</v>
      </c>
    </row>
    <row r="48" spans="1:9" x14ac:dyDescent="0.3">
      <c r="A48" s="121" t="s">
        <v>135</v>
      </c>
      <c r="B48" s="30">
        <v>40000</v>
      </c>
      <c r="C48" s="30">
        <v>46200</v>
      </c>
      <c r="D48" s="31"/>
      <c r="E48" s="30">
        <v>75211.69</v>
      </c>
      <c r="G48" s="30">
        <v>29068.41</v>
      </c>
      <c r="I48" s="121" t="s">
        <v>102</v>
      </c>
    </row>
    <row r="49" spans="1:9" x14ac:dyDescent="0.3">
      <c r="A49" s="15" t="s">
        <v>48</v>
      </c>
      <c r="B49" s="33">
        <f>SUM(B46:B48)</f>
        <v>4383869.3499999996</v>
      </c>
      <c r="C49" s="33">
        <f>SUM(C46:C48)</f>
        <v>4331942.08</v>
      </c>
      <c r="D49" s="33"/>
      <c r="E49" s="33">
        <f>SUM(E46:E48)</f>
        <v>3811218.46</v>
      </c>
      <c r="G49" s="33">
        <f>SUM(G46:G48)</f>
        <v>2582770.4000000004</v>
      </c>
    </row>
    <row r="50" spans="1:9" x14ac:dyDescent="0.3">
      <c r="A50" s="15"/>
      <c r="B50" s="15"/>
      <c r="C50" s="15"/>
      <c r="D50" s="15"/>
      <c r="E50" s="15"/>
      <c r="G50" s="15"/>
      <c r="I50" s="15"/>
    </row>
    <row r="51" spans="1:9" x14ac:dyDescent="0.3">
      <c r="A51" s="121" t="s">
        <v>131</v>
      </c>
      <c r="B51" s="30">
        <v>1283057.26</v>
      </c>
      <c r="C51" s="30">
        <v>627656.43000000005</v>
      </c>
      <c r="D51" s="31"/>
      <c r="E51" s="30">
        <v>1949560.52</v>
      </c>
      <c r="G51" s="30">
        <v>891074.64</v>
      </c>
      <c r="I51" s="121" t="s">
        <v>101</v>
      </c>
    </row>
    <row r="52" spans="1:9" x14ac:dyDescent="0.3">
      <c r="A52" s="121" t="s">
        <v>132</v>
      </c>
      <c r="B52" s="30">
        <v>27594.1</v>
      </c>
      <c r="C52" s="30">
        <v>15015.04</v>
      </c>
      <c r="D52" s="31"/>
      <c r="E52" s="30">
        <v>23924.49</v>
      </c>
      <c r="G52" s="30">
        <v>59805.77</v>
      </c>
      <c r="I52" s="121" t="s">
        <v>102</v>
      </c>
    </row>
    <row r="53" spans="1:9" x14ac:dyDescent="0.3">
      <c r="A53" s="15" t="s">
        <v>52</v>
      </c>
      <c r="B53" s="33">
        <f>SUM(B51:B52)</f>
        <v>1310651.3600000001</v>
      </c>
      <c r="C53" s="33">
        <f>SUM(C51:C52)</f>
        <v>642671.47000000009</v>
      </c>
      <c r="D53" s="32"/>
      <c r="E53" s="33">
        <f>SUM(E51:E52)</f>
        <v>1973485.01</v>
      </c>
      <c r="G53" s="33">
        <f>SUM(G51:G52)</f>
        <v>950880.41</v>
      </c>
    </row>
    <row r="54" spans="1:9" x14ac:dyDescent="0.3">
      <c r="A54" s="15"/>
      <c r="B54" s="15"/>
      <c r="C54" s="15"/>
      <c r="D54" s="15"/>
      <c r="E54" s="15"/>
      <c r="F54" s="15"/>
      <c r="G54" s="15"/>
      <c r="I54" s="15"/>
    </row>
    <row r="55" spans="1:9" x14ac:dyDescent="0.3">
      <c r="A55" s="15" t="s">
        <v>99</v>
      </c>
      <c r="B55" s="33">
        <f>B7+B14+B21+B38+B44+B49+B53</f>
        <v>37826470.919999994</v>
      </c>
      <c r="C55" s="33">
        <f>C7+C14+C21+C38+C44+C49+C53</f>
        <v>37810373.460000001</v>
      </c>
      <c r="D55" s="31"/>
      <c r="E55" s="33">
        <f>E7+E14+E21+E38+E44+E49+E53</f>
        <v>39084074.899999999</v>
      </c>
      <c r="G55" s="33">
        <f>G7+G14+G21+G38+G44+G49+G53</f>
        <v>23139625.989999998</v>
      </c>
    </row>
    <row r="58" spans="1:9" x14ac:dyDescent="0.3">
      <c r="A58" s="121" t="s">
        <v>103</v>
      </c>
      <c r="B58" s="30">
        <f>SUMIF($I$6:$I$53,$I58,B$6:B$53)</f>
        <v>36174612.119999997</v>
      </c>
      <c r="C58" s="30">
        <f>SUMIF($I$6:$I$53,$I58,C$6:C$53)</f>
        <v>36214895.600000001</v>
      </c>
      <c r="E58" s="30">
        <f>SUMIF($I$6:$I$53,$I58,E$6:E$53)</f>
        <v>36422354.090000004</v>
      </c>
      <c r="G58" s="30">
        <f>SUMIF($I$6:$I$53,$I58,G$6:G$53)</f>
        <v>20917491.560000002</v>
      </c>
      <c r="I58" s="121" t="s">
        <v>101</v>
      </c>
    </row>
    <row r="59" spans="1:9" x14ac:dyDescent="0.3">
      <c r="A59" s="121" t="s">
        <v>104</v>
      </c>
      <c r="B59" s="30">
        <f>SUMIF($I$6:$I$53,$I59,B$6:B$53)</f>
        <v>1651858.8000000003</v>
      </c>
      <c r="C59" s="30">
        <f>SUMIF($I$6:$I$53,$I59,C$6:C$53)</f>
        <v>1595477.86</v>
      </c>
      <c r="E59" s="30">
        <f>SUMIF($I$6:$I$53,$I59,E$6:E$53)</f>
        <v>2661720.81</v>
      </c>
      <c r="G59" s="30">
        <f>SUMIF($I$6:$I$53,$I59,G$6:G$53)</f>
        <v>2222134.4300000002</v>
      </c>
      <c r="I59" s="121" t="s">
        <v>102</v>
      </c>
    </row>
    <row r="60" spans="1:9" ht="15" thickBot="1" x14ac:dyDescent="0.35">
      <c r="B60" s="35">
        <f>SUM(B58:B59)</f>
        <v>37826470.919999994</v>
      </c>
      <c r="C60" s="35">
        <f>SUM(C58:C59)</f>
        <v>37810373.460000001</v>
      </c>
      <c r="E60" s="35">
        <f>SUM(E58:E59)</f>
        <v>39084074.900000006</v>
      </c>
      <c r="G60" s="35">
        <f>SUM(G58:G59)</f>
        <v>23139625.990000002</v>
      </c>
    </row>
    <row r="61" spans="1:9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showGridLines="0" zoomScale="140" zoomScaleNormal="140" workbookViewId="0">
      <pane xSplit="3" ySplit="5" topLeftCell="D36" activePane="bottomRight" state="frozen"/>
      <selection pane="topRight" activeCell="D1" sqref="D1"/>
      <selection pane="bottomLeft" activeCell="A6" sqref="A6"/>
      <selection pane="bottomRight" activeCell="H40" sqref="H40:H41"/>
    </sheetView>
  </sheetViews>
  <sheetFormatPr baseColWidth="10" defaultRowHeight="14.4" x14ac:dyDescent="0.3"/>
  <cols>
    <col min="1" max="1" width="32.77734375" style="121" customWidth="1"/>
    <col min="2" max="2" width="16.44140625" style="121" bestFit="1" customWidth="1"/>
    <col min="3" max="3" width="9.6640625" style="121" customWidth="1"/>
    <col min="4" max="4" width="13.33203125" style="121" customWidth="1"/>
    <col min="5" max="5" width="10" style="121" customWidth="1"/>
    <col min="6" max="6" width="13.33203125" style="121" customWidth="1"/>
    <col min="7" max="7" width="9.6640625" style="121" customWidth="1"/>
    <col min="8" max="8" width="12.44140625" style="121" bestFit="1" customWidth="1"/>
    <col min="9" max="16384" width="11.5546875" style="121"/>
  </cols>
  <sheetData>
    <row r="1" spans="1:9" ht="21" x14ac:dyDescent="0.4">
      <c r="A1" s="16" t="s">
        <v>206</v>
      </c>
      <c r="B1" s="17"/>
      <c r="C1" s="17"/>
      <c r="D1" s="17"/>
      <c r="E1" s="17"/>
      <c r="F1" s="17"/>
    </row>
    <row r="2" spans="1:9" x14ac:dyDescent="0.3">
      <c r="A2" s="18" t="s">
        <v>205</v>
      </c>
      <c r="B2" s="17"/>
      <c r="C2" s="17"/>
      <c r="D2" s="17"/>
      <c r="E2" s="17"/>
      <c r="F2" s="17"/>
    </row>
    <row r="3" spans="1:9" ht="6.75" customHeight="1" x14ac:dyDescent="0.3"/>
    <row r="4" spans="1:9" ht="6.75" customHeight="1" x14ac:dyDescent="0.3"/>
    <row r="5" spans="1:9" x14ac:dyDescent="0.3">
      <c r="A5" s="19" t="s">
        <v>1</v>
      </c>
      <c r="B5" s="20">
        <v>44531</v>
      </c>
      <c r="C5" s="19" t="s">
        <v>2</v>
      </c>
      <c r="D5" s="20">
        <v>44166</v>
      </c>
      <c r="E5" s="19" t="s">
        <v>2</v>
      </c>
      <c r="F5" s="20">
        <v>43800</v>
      </c>
      <c r="G5" s="19" t="s">
        <v>2</v>
      </c>
      <c r="H5" s="20">
        <v>43435</v>
      </c>
      <c r="I5" s="19" t="s">
        <v>2</v>
      </c>
    </row>
    <row r="6" spans="1:9" x14ac:dyDescent="0.3">
      <c r="D6" s="42"/>
      <c r="F6" s="42"/>
      <c r="H6" s="42"/>
    </row>
    <row r="7" spans="1:9" x14ac:dyDescent="0.3">
      <c r="A7" s="121" t="s">
        <v>3</v>
      </c>
      <c r="B7" s="36">
        <v>1352579.75</v>
      </c>
      <c r="C7" s="28">
        <f t="shared" ref="C7:C13" si="0">B7/B$25</f>
        <v>3.681597717349111E-2</v>
      </c>
      <c r="D7" s="36">
        <v>14926182.85</v>
      </c>
      <c r="E7" s="28">
        <f t="shared" ref="E7:E13" si="1">D7/D$25</f>
        <v>0.28275767042089517</v>
      </c>
      <c r="F7" s="36">
        <v>12591547.43</v>
      </c>
      <c r="G7" s="28">
        <v>6.9359900926913032E-4</v>
      </c>
      <c r="H7" s="36">
        <v>8349163.79</v>
      </c>
      <c r="I7" s="28">
        <v>6.9359900926913032E-4</v>
      </c>
    </row>
    <row r="8" spans="1:9" x14ac:dyDescent="0.3">
      <c r="A8" s="121" t="s">
        <v>4</v>
      </c>
      <c r="B8" s="36">
        <v>53569.05</v>
      </c>
      <c r="C8" s="28">
        <f t="shared" si="0"/>
        <v>1.4581002872515311E-3</v>
      </c>
      <c r="D8" s="36">
        <v>34982.239999999998</v>
      </c>
      <c r="E8" s="28">
        <f t="shared" si="1"/>
        <v>6.6269432633304871E-4</v>
      </c>
      <c r="F8" s="36">
        <v>25407.31</v>
      </c>
      <c r="G8" s="28">
        <v>1.216456984261149E-3</v>
      </c>
      <c r="H8" s="36">
        <v>17626.88</v>
      </c>
      <c r="I8" s="28">
        <v>1.216456984261149E-3</v>
      </c>
    </row>
    <row r="9" spans="1:9" x14ac:dyDescent="0.3">
      <c r="A9" s="121" t="s">
        <v>5</v>
      </c>
      <c r="B9" s="36">
        <v>6201809.6100000003</v>
      </c>
      <c r="C9" s="28">
        <f t="shared" si="0"/>
        <v>0.16880755536677067</v>
      </c>
      <c r="D9" s="36">
        <v>9491947.5700000003</v>
      </c>
      <c r="E9" s="28">
        <f t="shared" si="1"/>
        <v>0.17981295081417797</v>
      </c>
      <c r="F9" s="36">
        <v>5553739.6600000001</v>
      </c>
      <c r="G9" s="28">
        <v>1.1683920837862766E-2</v>
      </c>
      <c r="H9" s="36">
        <v>1060857.56</v>
      </c>
      <c r="I9" s="28">
        <v>1.1683920837862766E-2</v>
      </c>
    </row>
    <row r="10" spans="1:9" x14ac:dyDescent="0.3">
      <c r="A10" s="121" t="s">
        <v>6</v>
      </c>
      <c r="B10" s="36">
        <v>3076706.29</v>
      </c>
      <c r="C10" s="28">
        <f t="shared" si="0"/>
        <v>8.3745116354267859E-2</v>
      </c>
      <c r="D10" s="36">
        <v>6396198.3499999996</v>
      </c>
      <c r="E10" s="28">
        <f t="shared" si="1"/>
        <v>0.12116789424135813</v>
      </c>
      <c r="F10" s="36">
        <v>5579579.4699999997</v>
      </c>
      <c r="G10" s="28">
        <v>3.2631554567494628E-2</v>
      </c>
      <c r="H10" s="36">
        <v>5127940.37</v>
      </c>
      <c r="I10" s="28">
        <v>3.2631554567494628E-2</v>
      </c>
    </row>
    <row r="11" spans="1:9" x14ac:dyDescent="0.3">
      <c r="A11" s="121" t="s">
        <v>7</v>
      </c>
      <c r="B11" s="36">
        <v>19265371.68</v>
      </c>
      <c r="C11" s="28">
        <f t="shared" si="0"/>
        <v>0.52438570369673365</v>
      </c>
      <c r="D11" s="36">
        <v>16549240.890000001</v>
      </c>
      <c r="E11" s="28">
        <f t="shared" si="1"/>
        <v>0.31350445377202529</v>
      </c>
      <c r="F11" s="36">
        <v>16400858.43</v>
      </c>
      <c r="G11" s="28">
        <v>0.80819001428023929</v>
      </c>
      <c r="H11" s="36">
        <f>12921841.44-970176.77</f>
        <v>11951664.67</v>
      </c>
      <c r="I11" s="28">
        <v>0.80819001428023929</v>
      </c>
    </row>
    <row r="12" spans="1:9" x14ac:dyDescent="0.3">
      <c r="A12" s="121" t="s">
        <v>8</v>
      </c>
      <c r="B12" s="36">
        <v>1154899.25</v>
      </c>
      <c r="C12" s="28">
        <f t="shared" si="0"/>
        <v>3.1435295719666072E-2</v>
      </c>
      <c r="D12" s="36">
        <v>534901.18999999994</v>
      </c>
      <c r="E12" s="28">
        <f t="shared" si="1"/>
        <v>1.0133027037771055E-2</v>
      </c>
      <c r="F12" s="36">
        <v>1214704.48</v>
      </c>
      <c r="G12" s="28">
        <v>2.5496434762702531E-2</v>
      </c>
      <c r="H12" s="36">
        <v>437003.07</v>
      </c>
      <c r="I12" s="28">
        <v>2.5496434762702531E-2</v>
      </c>
    </row>
    <row r="13" spans="1:9" s="15" customFormat="1" x14ac:dyDescent="0.3">
      <c r="A13" s="15" t="s">
        <v>9</v>
      </c>
      <c r="B13" s="37">
        <f>SUM(B7:B12)</f>
        <v>31104935.629999999</v>
      </c>
      <c r="C13" s="26">
        <f t="shared" si="0"/>
        <v>0.84664774859818093</v>
      </c>
      <c r="D13" s="37">
        <f>SUM(D7:D12)</f>
        <v>47933453.089999996</v>
      </c>
      <c r="E13" s="26">
        <f t="shared" si="1"/>
        <v>0.9080386906125606</v>
      </c>
      <c r="F13" s="37">
        <f>SUM(F7:F12)</f>
        <v>41365836.779999994</v>
      </c>
      <c r="G13" s="26">
        <v>0.87991198044182939</v>
      </c>
      <c r="H13" s="37">
        <f>SUM(H7:H12)</f>
        <v>26944256.340000004</v>
      </c>
      <c r="I13" s="26">
        <v>0.87991198044182939</v>
      </c>
    </row>
    <row r="14" spans="1:9" x14ac:dyDescent="0.3">
      <c r="B14" s="36" t="s">
        <v>10</v>
      </c>
      <c r="C14" s="121" t="s">
        <v>10</v>
      </c>
      <c r="D14" s="36" t="s">
        <v>10</v>
      </c>
      <c r="E14" s="121" t="s">
        <v>10</v>
      </c>
      <c r="F14" s="36" t="s">
        <v>10</v>
      </c>
      <c r="G14" s="121" t="s">
        <v>10</v>
      </c>
      <c r="H14" s="36" t="s">
        <v>10</v>
      </c>
      <c r="I14" s="121" t="s">
        <v>10</v>
      </c>
    </row>
    <row r="15" spans="1:9" x14ac:dyDescent="0.3">
      <c r="B15" s="36"/>
      <c r="C15" s="27"/>
      <c r="D15" s="36"/>
      <c r="E15" s="27"/>
      <c r="F15" s="36"/>
      <c r="G15" s="27"/>
      <c r="H15" s="36"/>
      <c r="I15" s="27"/>
    </row>
    <row r="16" spans="1:9" x14ac:dyDescent="0.3">
      <c r="A16" s="121" t="s">
        <v>11</v>
      </c>
      <c r="B16" s="36">
        <v>4089245.64</v>
      </c>
      <c r="C16" s="28">
        <f>B16/B$25</f>
        <v>0.11130550648790806</v>
      </c>
      <c r="D16" s="36">
        <v>3327619.83</v>
      </c>
      <c r="E16" s="28">
        <f>D16/D$25</f>
        <v>6.3037552241775943E-2</v>
      </c>
      <c r="F16" s="36">
        <v>1379392.05</v>
      </c>
      <c r="G16" s="28">
        <v>9.9094423113615979E-2</v>
      </c>
      <c r="H16" s="36">
        <v>1440001.45</v>
      </c>
      <c r="I16" s="28">
        <v>9.9094423113615979E-2</v>
      </c>
    </row>
    <row r="17" spans="1:9" x14ac:dyDescent="0.3">
      <c r="A17" s="121" t="s">
        <v>12</v>
      </c>
      <c r="B17" s="36">
        <v>-1806792.56</v>
      </c>
      <c r="C17" s="28">
        <f>B17/B$25</f>
        <v>-4.9179232238390061E-2</v>
      </c>
      <c r="D17" s="36">
        <v>-1505807.47</v>
      </c>
      <c r="E17" s="28">
        <f>D17/D$25</f>
        <v>-2.8525619483455677E-2</v>
      </c>
      <c r="F17" s="36">
        <v>-1321586.75</v>
      </c>
      <c r="G17" s="28">
        <v>-4.0613502105012425E-2</v>
      </c>
      <c r="H17" s="36">
        <v>-1130158.94</v>
      </c>
      <c r="I17" s="28">
        <v>-4.0613502105012425E-2</v>
      </c>
    </row>
    <row r="18" spans="1:9" s="15" customFormat="1" x14ac:dyDescent="0.3">
      <c r="A18" s="15" t="s">
        <v>13</v>
      </c>
      <c r="B18" s="37">
        <f>SUM(B16:B17)</f>
        <v>2282453.08</v>
      </c>
      <c r="C18" s="26">
        <f>B18/B$25</f>
        <v>6.2126274249517992E-2</v>
      </c>
      <c r="D18" s="37">
        <f>SUM(D16:D17)</f>
        <v>1821812.36</v>
      </c>
      <c r="E18" s="26">
        <f>D18/D$25</f>
        <v>3.451193275832027E-2</v>
      </c>
      <c r="F18" s="37">
        <f>SUM(F16:F17)</f>
        <v>57805.300000000047</v>
      </c>
      <c r="G18" s="26">
        <v>5.8480921008603561E-2</v>
      </c>
      <c r="H18" s="37">
        <f>SUM(H16:H17)</f>
        <v>309842.51</v>
      </c>
      <c r="I18" s="26">
        <v>5.8480921008603561E-2</v>
      </c>
    </row>
    <row r="19" spans="1:9" x14ac:dyDescent="0.3">
      <c r="B19" s="36" t="s">
        <v>10</v>
      </c>
      <c r="C19" s="121" t="s">
        <v>10</v>
      </c>
      <c r="D19" s="36" t="s">
        <v>10</v>
      </c>
      <c r="E19" s="121" t="s">
        <v>10</v>
      </c>
      <c r="F19" s="36" t="s">
        <v>10</v>
      </c>
      <c r="G19" s="121" t="s">
        <v>10</v>
      </c>
      <c r="H19" s="36" t="s">
        <v>10</v>
      </c>
      <c r="I19" s="121" t="s">
        <v>10</v>
      </c>
    </row>
    <row r="20" spans="1:9" x14ac:dyDescent="0.3">
      <c r="B20" s="36"/>
      <c r="C20" s="27"/>
      <c r="D20" s="36"/>
      <c r="E20" s="27"/>
      <c r="F20" s="36"/>
      <c r="G20" s="27"/>
      <c r="H20" s="36"/>
      <c r="I20" s="27"/>
    </row>
    <row r="21" spans="1:9" x14ac:dyDescent="0.3">
      <c r="A21" s="121" t="s">
        <v>14</v>
      </c>
      <c r="B21" s="36">
        <v>3351545.14</v>
      </c>
      <c r="C21" s="28">
        <f>B21/B$25</f>
        <v>9.122597715230106E-2</v>
      </c>
      <c r="D21" s="36">
        <v>3032631.79</v>
      </c>
      <c r="E21" s="28">
        <f t="shared" ref="C21:E31" si="2">D21/D$25</f>
        <v>5.744937662911917E-2</v>
      </c>
      <c r="F21" s="36">
        <v>1486835.71</v>
      </c>
      <c r="G21" s="28">
        <v>6.1607098549566988E-2</v>
      </c>
      <c r="H21" s="36">
        <v>927961.91</v>
      </c>
      <c r="I21" s="28">
        <v>6.1607098549566988E-2</v>
      </c>
    </row>
    <row r="22" spans="1:9" x14ac:dyDescent="0.3">
      <c r="A22" s="121" t="s">
        <v>15</v>
      </c>
      <c r="B22" s="36">
        <v>0</v>
      </c>
      <c r="C22" s="28">
        <f t="shared" si="2"/>
        <v>0</v>
      </c>
      <c r="D22" s="36">
        <v>0</v>
      </c>
      <c r="E22" s="28">
        <f t="shared" si="2"/>
        <v>0</v>
      </c>
      <c r="F22" s="36">
        <v>0.03</v>
      </c>
      <c r="G22" s="28">
        <v>0</v>
      </c>
      <c r="H22" s="36">
        <f>1970341.16-600000</f>
        <v>1370341.16</v>
      </c>
      <c r="I22" s="28">
        <v>0</v>
      </c>
    </row>
    <row r="23" spans="1:9" s="15" customFormat="1" x14ac:dyDescent="0.3">
      <c r="A23" s="15" t="s">
        <v>16</v>
      </c>
      <c r="B23" s="37">
        <f>SUM(B21:B22)</f>
        <v>3351545.14</v>
      </c>
      <c r="C23" s="26">
        <f t="shared" si="2"/>
        <v>9.122597715230106E-2</v>
      </c>
      <c r="D23" s="37">
        <f>SUM(D21:D22)</f>
        <v>3032631.79</v>
      </c>
      <c r="E23" s="26">
        <f t="shared" si="2"/>
        <v>5.744937662911917E-2</v>
      </c>
      <c r="F23" s="37">
        <f>SUM(F21:F22)</f>
        <v>1486835.74</v>
      </c>
      <c r="G23" s="26">
        <v>6.1607098549566988E-2</v>
      </c>
      <c r="H23" s="37">
        <f>SUM(H21:H22)</f>
        <v>2298303.0699999998</v>
      </c>
      <c r="I23" s="26">
        <v>6.1607098549566988E-2</v>
      </c>
    </row>
    <row r="24" spans="1:9" x14ac:dyDescent="0.3">
      <c r="B24" s="36" t="s">
        <v>10</v>
      </c>
      <c r="C24" s="121" t="s">
        <v>10</v>
      </c>
      <c r="D24" s="36" t="s">
        <v>10</v>
      </c>
      <c r="E24" s="121" t="s">
        <v>10</v>
      </c>
      <c r="F24" s="36" t="s">
        <v>10</v>
      </c>
      <c r="G24" s="121" t="s">
        <v>10</v>
      </c>
      <c r="H24" s="36" t="s">
        <v>10</v>
      </c>
      <c r="I24" s="121" t="s">
        <v>10</v>
      </c>
    </row>
    <row r="25" spans="1:9" s="15" customFormat="1" x14ac:dyDescent="0.3">
      <c r="A25" s="15" t="s">
        <v>17</v>
      </c>
      <c r="B25" s="37">
        <f>B13+B18+B23</f>
        <v>36738933.850000001</v>
      </c>
      <c r="C25" s="26">
        <f t="shared" si="2"/>
        <v>1</v>
      </c>
      <c r="D25" s="37">
        <f>D13+D18+D23</f>
        <v>52787897.239999995</v>
      </c>
      <c r="E25" s="26">
        <f t="shared" si="2"/>
        <v>1</v>
      </c>
      <c r="F25" s="37">
        <f>F13+F18+F23</f>
        <v>42910477.819999993</v>
      </c>
      <c r="G25" s="26">
        <v>1</v>
      </c>
      <c r="H25" s="37">
        <f>H13+H18+H23</f>
        <v>29552401.920000006</v>
      </c>
      <c r="I25" s="26">
        <v>1</v>
      </c>
    </row>
    <row r="26" spans="1:9" x14ac:dyDescent="0.3">
      <c r="B26" s="36"/>
      <c r="C26" s="27"/>
      <c r="D26" s="36"/>
      <c r="E26" s="27"/>
      <c r="F26" s="36"/>
      <c r="G26" s="27"/>
      <c r="H26" s="36"/>
      <c r="I26" s="27"/>
    </row>
    <row r="27" spans="1:9" x14ac:dyDescent="0.3">
      <c r="A27" s="121" t="s">
        <v>18</v>
      </c>
      <c r="B27" s="36">
        <v>15050924.560000001</v>
      </c>
      <c r="C27" s="28">
        <f t="shared" si="2"/>
        <v>0.40967232803899123</v>
      </c>
      <c r="D27" s="36">
        <v>22997688.41</v>
      </c>
      <c r="E27" s="28">
        <f t="shared" si="2"/>
        <v>0.43566214250666374</v>
      </c>
      <c r="F27" s="36">
        <v>7064073.7800000003</v>
      </c>
      <c r="G27" s="28">
        <v>0.5368955271891801</v>
      </c>
      <c r="H27" s="36">
        <v>5745603.9500000002</v>
      </c>
      <c r="I27" s="28">
        <v>0.5368955271891801</v>
      </c>
    </row>
    <row r="28" spans="1:9" x14ac:dyDescent="0.3">
      <c r="A28" s="121" t="s">
        <v>19</v>
      </c>
      <c r="B28" s="36">
        <v>104117.05</v>
      </c>
      <c r="C28" s="28">
        <f t="shared" si="2"/>
        <v>2.8339703711897455E-3</v>
      </c>
      <c r="D28" s="36">
        <v>743800.53</v>
      </c>
      <c r="E28" s="28">
        <f t="shared" si="2"/>
        <v>1.4090361027610429E-2</v>
      </c>
      <c r="F28" s="36">
        <v>1940253.74</v>
      </c>
      <c r="G28" s="28">
        <v>2.3446188307993759E-2</v>
      </c>
      <c r="H28" s="36">
        <v>2966753.34</v>
      </c>
      <c r="I28" s="28">
        <v>2.3446188307993759E-2</v>
      </c>
    </row>
    <row r="29" spans="1:9" x14ac:dyDescent="0.3">
      <c r="A29" s="121" t="s">
        <v>20</v>
      </c>
      <c r="B29" s="36">
        <v>807854.82</v>
      </c>
      <c r="C29" s="28">
        <f t="shared" si="2"/>
        <v>2.1989065423029416E-2</v>
      </c>
      <c r="D29" s="36">
        <v>3376440.3200000003</v>
      </c>
      <c r="E29" s="28">
        <f t="shared" si="2"/>
        <v>6.396239472561345E-2</v>
      </c>
      <c r="F29" s="36">
        <v>89529.4</v>
      </c>
      <c r="G29" s="28">
        <v>-1.8536716941015424E-2</v>
      </c>
      <c r="H29" s="36">
        <v>441221.18</v>
      </c>
      <c r="I29" s="28">
        <v>-1.8536716941015424E-2</v>
      </c>
    </row>
    <row r="30" spans="1:9" x14ac:dyDescent="0.3">
      <c r="A30" s="121" t="s">
        <v>21</v>
      </c>
      <c r="B30" s="36">
        <v>813638.19</v>
      </c>
      <c r="C30" s="28">
        <f t="shared" si="2"/>
        <v>2.2146483436943826E-2</v>
      </c>
      <c r="D30" s="36">
        <v>790426.04</v>
      </c>
      <c r="E30" s="28">
        <f t="shared" si="2"/>
        <v>1.4973622389358128E-2</v>
      </c>
      <c r="F30" s="36">
        <v>1784531.63</v>
      </c>
      <c r="G30" s="28">
        <v>1.4991190737857317E-2</v>
      </c>
      <c r="H30" s="36">
        <f>1209275.35+400000</f>
        <v>1609275.35</v>
      </c>
      <c r="I30" s="28">
        <v>1.4991190737857317E-2</v>
      </c>
    </row>
    <row r="31" spans="1:9" s="15" customFormat="1" x14ac:dyDescent="0.3">
      <c r="A31" s="15" t="s">
        <v>22</v>
      </c>
      <c r="B31" s="37">
        <f>SUM(B27:B30)</f>
        <v>16776534.620000001</v>
      </c>
      <c r="C31" s="26">
        <f t="shared" si="2"/>
        <v>0.45664184727015428</v>
      </c>
      <c r="D31" s="37">
        <f>SUM(D27:D30)</f>
        <v>27908355.300000001</v>
      </c>
      <c r="E31" s="26">
        <f t="shared" si="2"/>
        <v>0.52868852064924576</v>
      </c>
      <c r="F31" s="37">
        <f>SUM(F27:F30)</f>
        <v>10878388.550000001</v>
      </c>
      <c r="G31" s="26">
        <v>0.55679618929401586</v>
      </c>
      <c r="H31" s="37">
        <f>SUM(H27:H30)</f>
        <v>10762853.819999998</v>
      </c>
      <c r="I31" s="26">
        <v>0.55679618929401586</v>
      </c>
    </row>
    <row r="32" spans="1:9" x14ac:dyDescent="0.3">
      <c r="B32" s="36" t="s">
        <v>10</v>
      </c>
      <c r="C32" s="121" t="s">
        <v>10</v>
      </c>
      <c r="D32" s="36" t="s">
        <v>10</v>
      </c>
      <c r="E32" s="121" t="s">
        <v>10</v>
      </c>
      <c r="F32" s="36" t="s">
        <v>10</v>
      </c>
      <c r="G32" s="121" t="s">
        <v>10</v>
      </c>
      <c r="H32" s="36" t="s">
        <v>10</v>
      </c>
      <c r="I32" s="121" t="s">
        <v>10</v>
      </c>
    </row>
    <row r="33" spans="1:9" x14ac:dyDescent="0.3">
      <c r="B33" s="36"/>
      <c r="C33" s="27"/>
      <c r="D33" s="36"/>
      <c r="E33" s="27"/>
      <c r="F33" s="36"/>
      <c r="G33" s="27"/>
      <c r="H33" s="36"/>
      <c r="I33" s="27"/>
    </row>
    <row r="34" spans="1:9" x14ac:dyDescent="0.3">
      <c r="A34" s="121" t="s">
        <v>23</v>
      </c>
      <c r="B34" s="36">
        <v>7369818.4199999999</v>
      </c>
      <c r="C34" s="28">
        <f t="shared" ref="C34:E44" si="3">B34/B$25</f>
        <v>0.20059968125612876</v>
      </c>
      <c r="D34" s="36">
        <v>7010053.4100000001</v>
      </c>
      <c r="E34" s="28">
        <f t="shared" si="3"/>
        <v>0.13279660256457682</v>
      </c>
      <c r="F34" s="36">
        <v>10058446.74</v>
      </c>
      <c r="G34" s="28">
        <v>9.9654492935431119E-2</v>
      </c>
      <c r="H34" s="36">
        <v>3217520</v>
      </c>
      <c r="I34" s="28">
        <v>9.9654492935431119E-2</v>
      </c>
    </row>
    <row r="35" spans="1:9" s="15" customFormat="1" x14ac:dyDescent="0.3">
      <c r="A35" s="15" t="s">
        <v>24</v>
      </c>
      <c r="B35" s="37">
        <f>B34</f>
        <v>7369818.4199999999</v>
      </c>
      <c r="C35" s="26">
        <f t="shared" si="3"/>
        <v>0.20059968125612876</v>
      </c>
      <c r="D35" s="37">
        <f>D34</f>
        <v>7010053.4100000001</v>
      </c>
      <c r="E35" s="26">
        <f t="shared" si="3"/>
        <v>0.13279660256457682</v>
      </c>
      <c r="F35" s="37">
        <f>F34</f>
        <v>10058446.74</v>
      </c>
      <c r="G35" s="26">
        <v>9.9654492935431119E-2</v>
      </c>
      <c r="H35" s="37">
        <f>H34</f>
        <v>3217520</v>
      </c>
      <c r="I35" s="26">
        <v>9.9654492935431119E-2</v>
      </c>
    </row>
    <row r="36" spans="1:9" x14ac:dyDescent="0.3">
      <c r="B36" s="36" t="s">
        <v>10</v>
      </c>
      <c r="C36" s="121" t="s">
        <v>10</v>
      </c>
      <c r="D36" s="36" t="s">
        <v>10</v>
      </c>
      <c r="E36" s="121" t="s">
        <v>10</v>
      </c>
      <c r="F36" s="36" t="s">
        <v>10</v>
      </c>
      <c r="G36" s="121" t="s">
        <v>10</v>
      </c>
      <c r="H36" s="36" t="s">
        <v>10</v>
      </c>
      <c r="I36" s="121" t="s">
        <v>10</v>
      </c>
    </row>
    <row r="37" spans="1:9" s="15" customFormat="1" x14ac:dyDescent="0.3">
      <c r="A37" s="15" t="s">
        <v>25</v>
      </c>
      <c r="B37" s="37">
        <f>B31+B35</f>
        <v>24146353.039999999</v>
      </c>
      <c r="C37" s="26">
        <f t="shared" si="3"/>
        <v>0.65724152852628293</v>
      </c>
      <c r="D37" s="37">
        <f>D31+D35</f>
        <v>34918408.710000001</v>
      </c>
      <c r="E37" s="26">
        <f t="shared" si="3"/>
        <v>0.66148512321382258</v>
      </c>
      <c r="F37" s="37">
        <f>F31+F35</f>
        <v>20936835.289999999</v>
      </c>
      <c r="G37" s="26">
        <v>0.65645068222944702</v>
      </c>
      <c r="H37" s="37">
        <f>H31+H35</f>
        <v>13980373.819999998</v>
      </c>
      <c r="I37" s="26">
        <v>0.65645068222944702</v>
      </c>
    </row>
    <row r="38" spans="1:9" x14ac:dyDescent="0.3">
      <c r="B38" s="36"/>
      <c r="C38" s="27"/>
      <c r="D38" s="36"/>
      <c r="E38" s="27"/>
      <c r="F38" s="36"/>
      <c r="G38" s="27"/>
      <c r="H38" s="36"/>
      <c r="I38" s="27"/>
    </row>
    <row r="39" spans="1:9" x14ac:dyDescent="0.3">
      <c r="A39" s="121" t="s">
        <v>26</v>
      </c>
      <c r="B39" s="36">
        <v>1688873.9</v>
      </c>
      <c r="C39" s="28">
        <f t="shared" si="3"/>
        <v>4.5969594732809586E-2</v>
      </c>
      <c r="D39" s="36">
        <v>1688873.9</v>
      </c>
      <c r="E39" s="28">
        <f t="shared" si="3"/>
        <v>3.1993581640911747E-2</v>
      </c>
      <c r="F39" s="36">
        <v>1688873.9</v>
      </c>
      <c r="G39" s="28">
        <v>4.1533028146644412E-2</v>
      </c>
      <c r="H39" s="36">
        <v>1888873.9</v>
      </c>
      <c r="I39" s="28">
        <v>4.1533028146644412E-2</v>
      </c>
    </row>
    <row r="40" spans="1:9" x14ac:dyDescent="0.3">
      <c r="A40" s="121" t="s">
        <v>27</v>
      </c>
      <c r="B40" s="36">
        <v>15734667.9</v>
      </c>
      <c r="C40" s="28">
        <f t="shared" si="3"/>
        <v>0.42828319308999219</v>
      </c>
      <c r="D40" s="36">
        <v>19112836.019999992</v>
      </c>
      <c r="E40" s="28">
        <f t="shared" si="3"/>
        <v>0.36206852364479586</v>
      </c>
      <c r="F40" s="36">
        <v>14020273.79000001</v>
      </c>
      <c r="G40" s="28">
        <v>0.39114449503788723</v>
      </c>
      <c r="H40" s="36">
        <v>8043757.7499999981</v>
      </c>
      <c r="I40" s="28">
        <v>0.39114449503788723</v>
      </c>
    </row>
    <row r="41" spans="1:9" x14ac:dyDescent="0.3">
      <c r="A41" s="121" t="s">
        <v>28</v>
      </c>
      <c r="B41" s="36">
        <v>-4830960.99</v>
      </c>
      <c r="C41" s="28">
        <f t="shared" si="3"/>
        <v>-0.13149431634908479</v>
      </c>
      <c r="D41" s="36">
        <v>-2932221.3899999917</v>
      </c>
      <c r="E41" s="28">
        <f t="shared" si="3"/>
        <v>-5.554722849953006E-2</v>
      </c>
      <c r="F41" s="36">
        <v>6264494.8399999877</v>
      </c>
      <c r="G41" s="28">
        <v>-8.9128205413978437E-2</v>
      </c>
      <c r="H41" s="36">
        <f>Resultados!H48</f>
        <v>5639396.4478969909</v>
      </c>
      <c r="I41" s="28">
        <v>-8.9128205413978437E-2</v>
      </c>
    </row>
    <row r="42" spans="1:9" s="15" customFormat="1" x14ac:dyDescent="0.3">
      <c r="A42" s="15" t="s">
        <v>29</v>
      </c>
      <c r="B42" s="37">
        <f>SUM(B39:B41)</f>
        <v>12592580.810000001</v>
      </c>
      <c r="C42" s="26">
        <f t="shared" si="3"/>
        <v>0.34275847147371696</v>
      </c>
      <c r="D42" s="37">
        <f>SUM(D39:D41)</f>
        <v>17869488.529999997</v>
      </c>
      <c r="E42" s="26">
        <f t="shared" si="3"/>
        <v>0.33851487678617748</v>
      </c>
      <c r="F42" s="37">
        <f>SUM(F39:F41)</f>
        <v>21973642.529999997</v>
      </c>
      <c r="G42" s="26">
        <v>0.3435493177705532</v>
      </c>
      <c r="H42" s="37">
        <f>SUM(H39:H41)</f>
        <v>15572028.097896989</v>
      </c>
      <c r="I42" s="26">
        <v>0.3435493177705532</v>
      </c>
    </row>
    <row r="43" spans="1:9" x14ac:dyDescent="0.3">
      <c r="B43" s="36" t="s">
        <v>10</v>
      </c>
      <c r="C43" s="121" t="s">
        <v>10</v>
      </c>
      <c r="D43" s="36" t="s">
        <v>10</v>
      </c>
      <c r="E43" s="121" t="s">
        <v>10</v>
      </c>
      <c r="F43" s="36" t="s">
        <v>10</v>
      </c>
      <c r="G43" s="121" t="s">
        <v>10</v>
      </c>
      <c r="H43" s="36" t="s">
        <v>10</v>
      </c>
      <c r="I43" s="121" t="s">
        <v>10</v>
      </c>
    </row>
    <row r="44" spans="1:9" x14ac:dyDescent="0.3">
      <c r="A44" s="15" t="s">
        <v>30</v>
      </c>
      <c r="B44" s="37">
        <f>B37+B42</f>
        <v>36738933.850000001</v>
      </c>
      <c r="C44" s="26">
        <f t="shared" si="3"/>
        <v>1</v>
      </c>
      <c r="D44" s="37">
        <f>D37+D42</f>
        <v>52787897.239999995</v>
      </c>
      <c r="E44" s="26">
        <f t="shared" si="3"/>
        <v>1</v>
      </c>
      <c r="F44" s="37">
        <f>F37+F42</f>
        <v>42910477.819999993</v>
      </c>
      <c r="G44" s="26">
        <v>1.0000000000000002</v>
      </c>
      <c r="H44" s="37">
        <f>H37+H42</f>
        <v>29552401.917896986</v>
      </c>
      <c r="I44" s="26">
        <v>1.0000000000000002</v>
      </c>
    </row>
    <row r="45" spans="1:9" x14ac:dyDescent="0.3">
      <c r="B45" s="38" t="s">
        <v>31</v>
      </c>
      <c r="C45" s="121" t="s">
        <v>31</v>
      </c>
      <c r="D45" s="36" t="s">
        <v>31</v>
      </c>
      <c r="E45" s="121" t="s">
        <v>31</v>
      </c>
      <c r="F45" s="36" t="s">
        <v>31</v>
      </c>
      <c r="G45" s="121" t="s">
        <v>31</v>
      </c>
      <c r="H45" s="36" t="s">
        <v>31</v>
      </c>
      <c r="I45" s="121" t="s">
        <v>31</v>
      </c>
    </row>
    <row r="47" spans="1:9" x14ac:dyDescent="0.3">
      <c r="A47" s="121" t="s">
        <v>105</v>
      </c>
      <c r="B47" s="121">
        <f>B25-B44</f>
        <v>0</v>
      </c>
      <c r="D47" s="121">
        <f>D25-D44</f>
        <v>0</v>
      </c>
      <c r="F47" s="121">
        <f>F25-F44</f>
        <v>0</v>
      </c>
      <c r="H47" s="121">
        <f>H25-H44</f>
        <v>2.103019505739212E-3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4"/>
  <sheetViews>
    <sheetView showGridLines="0" tabSelected="1" zoomScale="130" zoomScaleNormal="130" workbookViewId="0">
      <pane xSplit="3" ySplit="4" topLeftCell="D42" activePane="bottomRight" state="frozen"/>
      <selection pane="topRight" activeCell="D1" sqref="D1"/>
      <selection pane="bottomLeft" activeCell="A5" sqref="A5"/>
      <selection pane="bottomRight" activeCell="B54" sqref="B54:H54"/>
    </sheetView>
  </sheetViews>
  <sheetFormatPr baseColWidth="10" defaultRowHeight="14.4" x14ac:dyDescent="0.3"/>
  <cols>
    <col min="1" max="1" width="34.33203125" style="121" customWidth="1"/>
    <col min="2" max="2" width="13.6640625" style="121" customWidth="1"/>
    <col min="3" max="3" width="9.77734375" style="121" customWidth="1"/>
    <col min="4" max="4" width="13.109375" style="121" customWidth="1"/>
    <col min="5" max="5" width="9.77734375" style="121" customWidth="1"/>
    <col min="6" max="6" width="13.5546875" style="121" customWidth="1"/>
    <col min="7" max="7" width="9.77734375" style="121" customWidth="1"/>
    <col min="8" max="8" width="13.5546875" style="121" customWidth="1"/>
    <col min="9" max="9" width="9.77734375" style="121" customWidth="1"/>
    <col min="10" max="16384" width="11.5546875" style="121"/>
  </cols>
  <sheetData>
    <row r="1" spans="1:9" ht="21" x14ac:dyDescent="0.4">
      <c r="A1" s="16" t="str">
        <f>Balance!A1</f>
        <v>Empresa La Comercial CM, SA de CV</v>
      </c>
      <c r="B1" s="17"/>
      <c r="C1" s="17"/>
      <c r="D1" s="17"/>
      <c r="E1" s="17"/>
      <c r="F1" s="17"/>
      <c r="G1" s="17"/>
      <c r="H1" s="17"/>
      <c r="I1" s="17"/>
    </row>
    <row r="2" spans="1:9" x14ac:dyDescent="0.3">
      <c r="A2" s="18" t="s">
        <v>0</v>
      </c>
      <c r="B2" s="17"/>
      <c r="C2" s="17"/>
      <c r="D2" s="17"/>
      <c r="E2" s="17"/>
      <c r="F2" s="17"/>
      <c r="G2" s="17"/>
      <c r="H2" s="17"/>
      <c r="I2" s="17"/>
    </row>
    <row r="4" spans="1:9" x14ac:dyDescent="0.3">
      <c r="A4" s="19" t="s">
        <v>1</v>
      </c>
      <c r="B4" s="20">
        <f>Balance!B5</f>
        <v>44531</v>
      </c>
      <c r="C4" s="19" t="s">
        <v>2</v>
      </c>
      <c r="D4" s="20">
        <f>Balance!D5</f>
        <v>44166</v>
      </c>
      <c r="E4" s="19" t="s">
        <v>2</v>
      </c>
      <c r="F4" s="20">
        <f>Balance!F5</f>
        <v>43800</v>
      </c>
      <c r="G4" s="20" t="str">
        <f>Balance!G5</f>
        <v>%</v>
      </c>
      <c r="H4" s="20">
        <f>Balance!H5</f>
        <v>43435</v>
      </c>
      <c r="I4" s="20" t="str">
        <f>Balance!I5</f>
        <v>%</v>
      </c>
    </row>
    <row r="6" spans="1:9" x14ac:dyDescent="0.3">
      <c r="A6" s="121" t="s">
        <v>32</v>
      </c>
      <c r="B6" s="36">
        <v>50165478.966553003</v>
      </c>
      <c r="C6" s="25">
        <f>B6/B$10</f>
        <v>0.56192937143700028</v>
      </c>
      <c r="D6" s="36">
        <v>50051689.709154002</v>
      </c>
      <c r="E6" s="25">
        <f>D6/D$10</f>
        <v>0.54380077879211308</v>
      </c>
      <c r="F6" s="36">
        <v>76606436.969999999</v>
      </c>
      <c r="G6" s="25">
        <f>F6/F$10</f>
        <v>0.68698652513278757</v>
      </c>
      <c r="H6" s="36">
        <v>51673983.168499999</v>
      </c>
      <c r="I6" s="25">
        <f>H6/H$10</f>
        <v>0.65911400274961451</v>
      </c>
    </row>
    <row r="7" spans="1:9" x14ac:dyDescent="0.3">
      <c r="A7" s="121" t="s">
        <v>209</v>
      </c>
      <c r="B7" s="36">
        <v>35490702.940000005</v>
      </c>
      <c r="C7" s="25">
        <f>B7/B$10</f>
        <v>0.39754964580779428</v>
      </c>
      <c r="D7" s="36">
        <v>39221315.880000003</v>
      </c>
      <c r="E7" s="25">
        <f>D7/D$10</f>
        <v>0.42613111055259073</v>
      </c>
      <c r="F7" s="36">
        <v>32469426.16</v>
      </c>
      <c r="G7" s="25">
        <f>F7/F$10</f>
        <v>0.29117733617410441</v>
      </c>
      <c r="H7" s="36">
        <v>24316916.640000001</v>
      </c>
      <c r="I7" s="25">
        <f>H7/H$10</f>
        <v>0.3101680822408403</v>
      </c>
    </row>
    <row r="8" spans="1:9" x14ac:dyDescent="0.3">
      <c r="A8" s="121" t="s">
        <v>211</v>
      </c>
      <c r="B8" s="36">
        <v>3302105.35</v>
      </c>
      <c r="C8" s="25">
        <f>B8/B$10</f>
        <v>3.6988583025020311E-2</v>
      </c>
      <c r="D8" s="36">
        <v>2532781.66</v>
      </c>
      <c r="E8" s="25">
        <f>D8/D$10</f>
        <v>2.7518124707116131E-2</v>
      </c>
      <c r="F8" s="36">
        <v>2198432.23</v>
      </c>
      <c r="G8" s="25">
        <f>F8/F$10</f>
        <v>1.9714966237355146E-2</v>
      </c>
      <c r="H8" s="36">
        <v>2204113.44</v>
      </c>
      <c r="I8" s="25">
        <f>H8/H$10</f>
        <v>2.8113993597424343E-2</v>
      </c>
    </row>
    <row r="9" spans="1:9" x14ac:dyDescent="0.3">
      <c r="A9" s="121" t="s">
        <v>33</v>
      </c>
      <c r="B9" s="36">
        <v>315350.17276800005</v>
      </c>
      <c r="C9" s="25">
        <f>B9/B$10</f>
        <v>3.5323997301853704E-3</v>
      </c>
      <c r="D9" s="36">
        <v>234701.95413199975</v>
      </c>
      <c r="E9" s="25">
        <f>D9/D$10</f>
        <v>2.5499859481800807E-3</v>
      </c>
      <c r="F9" s="36">
        <v>236533.6991183795</v>
      </c>
      <c r="G9" s="25">
        <f>F9/F$10</f>
        <v>2.1211724557529676E-3</v>
      </c>
      <c r="H9" s="36">
        <v>204145.24749999959</v>
      </c>
      <c r="I9" s="25">
        <f>H9/H$10</f>
        <v>2.6039214121209645E-3</v>
      </c>
    </row>
    <row r="10" spans="1:9" s="15" customFormat="1" x14ac:dyDescent="0.3">
      <c r="A10" s="15" t="s">
        <v>34</v>
      </c>
      <c r="B10" s="37">
        <f>SUM(B6:B9)</f>
        <v>89273637.429320991</v>
      </c>
      <c r="C10" s="22">
        <f>B10/B$10</f>
        <v>1</v>
      </c>
      <c r="D10" s="37">
        <f>SUM(D6:D9)</f>
        <v>92040489.203286007</v>
      </c>
      <c r="E10" s="22">
        <f>D10/D$10</f>
        <v>1</v>
      </c>
      <c r="F10" s="37">
        <f>SUM(F6:F9)</f>
        <v>111510829.05911838</v>
      </c>
      <c r="G10" s="22">
        <f>F10/F$10</f>
        <v>1</v>
      </c>
      <c r="H10" s="37">
        <f>SUM(H6:H9)</f>
        <v>78399158.495999992</v>
      </c>
      <c r="I10" s="22">
        <f>H10/H$10</f>
        <v>1</v>
      </c>
    </row>
    <row r="11" spans="1:9" x14ac:dyDescent="0.3">
      <c r="B11" s="23" t="s">
        <v>10</v>
      </c>
      <c r="C11" s="24" t="s">
        <v>10</v>
      </c>
      <c r="D11" s="23" t="s">
        <v>10</v>
      </c>
      <c r="E11" s="24" t="s">
        <v>10</v>
      </c>
      <c r="F11" s="23" t="s">
        <v>10</v>
      </c>
      <c r="G11" s="24" t="s">
        <v>10</v>
      </c>
      <c r="H11" s="23" t="s">
        <v>10</v>
      </c>
      <c r="I11" s="24" t="s">
        <v>10</v>
      </c>
    </row>
    <row r="12" spans="1:9" x14ac:dyDescent="0.3">
      <c r="B12" s="23"/>
      <c r="C12" s="24"/>
      <c r="D12" s="23"/>
      <c r="E12" s="24"/>
      <c r="F12" s="23"/>
      <c r="G12" s="24"/>
      <c r="H12" s="23"/>
      <c r="I12" s="24"/>
    </row>
    <row r="13" spans="1:9" x14ac:dyDescent="0.3">
      <c r="B13" s="43"/>
      <c r="C13" s="25"/>
      <c r="D13" s="36"/>
      <c r="E13" s="25"/>
      <c r="F13" s="36"/>
      <c r="G13" s="25"/>
      <c r="H13" s="36"/>
      <c r="I13" s="25"/>
    </row>
    <row r="14" spans="1:9" x14ac:dyDescent="0.3">
      <c r="A14" s="121" t="s">
        <v>35</v>
      </c>
      <c r="B14" s="36">
        <v>27136630.379320998</v>
      </c>
      <c r="C14" s="25">
        <f>B14/B$6</f>
        <v>0.54094231607783305</v>
      </c>
      <c r="D14" s="36">
        <v>30855694.473285999</v>
      </c>
      <c r="E14" s="25">
        <f>D14/D$6</f>
        <v>0.6164765795637619</v>
      </c>
      <c r="F14" s="36">
        <v>43210035.079118378</v>
      </c>
      <c r="G14" s="25">
        <f>F14/F$6</f>
        <v>0.56405227534652147</v>
      </c>
      <c r="H14" s="36">
        <v>33608895.166000001</v>
      </c>
      <c r="I14" s="25">
        <f>H14/H$6</f>
        <v>0.65040264181700791</v>
      </c>
    </row>
    <row r="15" spans="1:9" x14ac:dyDescent="0.3">
      <c r="A15" s="121" t="s">
        <v>210</v>
      </c>
      <c r="B15" s="36">
        <v>23207913.690000001</v>
      </c>
      <c r="C15" s="25">
        <f>B15/B$6</f>
        <v>0.46262717247199991</v>
      </c>
      <c r="D15" s="36">
        <v>21750968.979999997</v>
      </c>
      <c r="E15" s="25">
        <f>D15/D$6</f>
        <v>0.43457012353414998</v>
      </c>
      <c r="F15" s="36">
        <v>16953194.48</v>
      </c>
      <c r="G15" s="25">
        <f>F15/F$6</f>
        <v>0.22130247992918761</v>
      </c>
      <c r="H15" s="36">
        <v>13005810.49</v>
      </c>
      <c r="I15" s="25">
        <f>H15/H$6</f>
        <v>0.2516897226132207</v>
      </c>
    </row>
    <row r="16" spans="1:9" x14ac:dyDescent="0.3">
      <c r="A16" s="121" t="s">
        <v>212</v>
      </c>
      <c r="B16" s="36">
        <v>1586078.8</v>
      </c>
      <c r="C16" s="25">
        <f>B16/B$6</f>
        <v>3.1616937238005675E-2</v>
      </c>
      <c r="D16" s="36">
        <v>1151551.8500000001</v>
      </c>
      <c r="E16" s="25">
        <f>D16/D$6</f>
        <v>2.3007252236469284E-2</v>
      </c>
      <c r="F16" s="36">
        <v>789136.29</v>
      </c>
      <c r="G16" s="25">
        <f>F16/F$6</f>
        <v>1.0301174695137373E-2</v>
      </c>
      <c r="H16" s="36">
        <v>1063356.8600000001</v>
      </c>
      <c r="I16" s="25">
        <f>H16/H$6</f>
        <v>2.0578186445054481E-2</v>
      </c>
    </row>
    <row r="17" spans="1:9" x14ac:dyDescent="0.3">
      <c r="A17" s="21" t="s">
        <v>197</v>
      </c>
      <c r="B17" s="36">
        <v>3200767.55</v>
      </c>
      <c r="C17" s="25">
        <f>B17/B$10</f>
        <v>3.5853446125504694E-2</v>
      </c>
      <c r="D17" s="36">
        <v>1378961.48</v>
      </c>
      <c r="E17" s="25">
        <f>D17/D$10</f>
        <v>1.4982118108415798E-2</v>
      </c>
      <c r="F17" s="36">
        <v>0</v>
      </c>
      <c r="G17" s="25">
        <f>F17/F$10</f>
        <v>0</v>
      </c>
      <c r="H17" s="36">
        <v>0</v>
      </c>
      <c r="I17" s="25">
        <f>H17/H$10</f>
        <v>0</v>
      </c>
    </row>
    <row r="18" spans="1:9" s="15" customFormat="1" x14ac:dyDescent="0.3">
      <c r="A18" s="15" t="s">
        <v>36</v>
      </c>
      <c r="B18" s="37">
        <f>SUM(B14:B17)</f>
        <v>55131390.419320993</v>
      </c>
      <c r="C18" s="22">
        <f>B18/B$10</f>
        <v>0.61755510368857969</v>
      </c>
      <c r="D18" s="37">
        <f>SUM(D14:D17)</f>
        <v>55137176.78328599</v>
      </c>
      <c r="E18" s="22">
        <f>D18/D$10</f>
        <v>0.59905349548400155</v>
      </c>
      <c r="F18" s="37">
        <f>SUM(F14:F17)</f>
        <v>60952365.849118374</v>
      </c>
      <c r="G18" s="22">
        <f>F18/F$10</f>
        <v>0.54660490253196825</v>
      </c>
      <c r="H18" s="37">
        <f>SUM(H14:H17)</f>
        <v>47678062.516000003</v>
      </c>
      <c r="I18" s="22">
        <f>H18/H$10</f>
        <v>0.60814508000659961</v>
      </c>
    </row>
    <row r="19" spans="1:9" x14ac:dyDescent="0.3">
      <c r="B19" s="38" t="s">
        <v>10</v>
      </c>
      <c r="C19" s="24" t="s">
        <v>10</v>
      </c>
      <c r="D19" s="38" t="s">
        <v>10</v>
      </c>
      <c r="E19" s="24" t="s">
        <v>10</v>
      </c>
      <c r="F19" s="38" t="s">
        <v>10</v>
      </c>
      <c r="G19" s="24" t="s">
        <v>10</v>
      </c>
      <c r="H19" s="38" t="s">
        <v>10</v>
      </c>
      <c r="I19" s="24" t="s">
        <v>10</v>
      </c>
    </row>
    <row r="20" spans="1:9" s="15" customFormat="1" x14ac:dyDescent="0.3">
      <c r="A20" s="15" t="s">
        <v>37</v>
      </c>
      <c r="B20" s="37">
        <f>B10-B18</f>
        <v>34142247.009999998</v>
      </c>
      <c r="C20" s="22">
        <f>B20/B$10</f>
        <v>0.38244489631142031</v>
      </c>
      <c r="D20" s="37">
        <f>D10-D18</f>
        <v>36903312.420000017</v>
      </c>
      <c r="E20" s="22">
        <f>D20/D$10</f>
        <v>0.40094650451599839</v>
      </c>
      <c r="F20" s="37">
        <f>F10-F18</f>
        <v>50558463.210000001</v>
      </c>
      <c r="G20" s="22">
        <f>F20/F$10</f>
        <v>0.45339509746803175</v>
      </c>
      <c r="H20" s="37">
        <f>H10-H18</f>
        <v>30721095.979999989</v>
      </c>
      <c r="I20" s="22">
        <f>H20/H$10</f>
        <v>0.39185491999340033</v>
      </c>
    </row>
    <row r="21" spans="1:9" x14ac:dyDescent="0.3">
      <c r="B21" s="43"/>
      <c r="C21" s="25"/>
      <c r="D21" s="43"/>
      <c r="E21" s="25"/>
      <c r="F21" s="43"/>
      <c r="G21" s="25"/>
      <c r="H21" s="43"/>
      <c r="I21" s="25"/>
    </row>
    <row r="22" spans="1:9" x14ac:dyDescent="0.3">
      <c r="B22" s="43"/>
      <c r="C22" s="25"/>
      <c r="D22" s="43"/>
      <c r="E22" s="25"/>
      <c r="F22" s="43"/>
      <c r="G22" s="25"/>
      <c r="H22" s="43"/>
      <c r="I22" s="25"/>
    </row>
    <row r="23" spans="1:9" x14ac:dyDescent="0.3">
      <c r="B23" s="43"/>
      <c r="C23" s="25"/>
      <c r="D23" s="43"/>
      <c r="E23" s="25"/>
      <c r="F23" s="43"/>
      <c r="G23" s="25"/>
      <c r="H23" s="43"/>
      <c r="I23" s="25"/>
    </row>
    <row r="24" spans="1:9" x14ac:dyDescent="0.3">
      <c r="A24" s="121" t="s">
        <v>127</v>
      </c>
      <c r="B24" s="36">
        <v>4383869.3499999996</v>
      </c>
      <c r="C24" s="25">
        <f t="shared" ref="C24:C31" si="0">B24/B$10</f>
        <v>4.9105978833569555E-2</v>
      </c>
      <c r="D24" s="36">
        <v>4331942.08</v>
      </c>
      <c r="E24" s="25">
        <f t="shared" ref="E24:E31" si="1">D24/D$10</f>
        <v>4.7065613378392844E-2</v>
      </c>
      <c r="F24" s="36">
        <v>3811218.46</v>
      </c>
      <c r="G24" s="25">
        <f>F24/F$10</f>
        <v>3.4178012056384689E-2</v>
      </c>
      <c r="H24" s="36">
        <v>2582770.4</v>
      </c>
      <c r="I24" s="25">
        <f>H24/H$10</f>
        <v>3.2943853601844153E-2</v>
      </c>
    </row>
    <row r="25" spans="1:9" x14ac:dyDescent="0.3">
      <c r="A25" s="121" t="s">
        <v>38</v>
      </c>
      <c r="B25" s="36">
        <v>13274340.699999999</v>
      </c>
      <c r="C25" s="25">
        <f t="shared" si="0"/>
        <v>0.14869272813611356</v>
      </c>
      <c r="D25" s="36">
        <v>15330838.949999999</v>
      </c>
      <c r="E25" s="25">
        <f t="shared" si="1"/>
        <v>0.16656624799265693</v>
      </c>
      <c r="F25" s="36">
        <v>16957272.379999999</v>
      </c>
      <c r="G25" s="25">
        <f t="shared" ref="G25:G31" si="2">F25/F$10</f>
        <v>0.15206839123229873</v>
      </c>
      <c r="H25" s="36">
        <v>7457567</v>
      </c>
      <c r="I25" s="25">
        <f t="shared" ref="I25:I30" si="3">H25/H$10</f>
        <v>9.5123049061559675E-2</v>
      </c>
    </row>
    <row r="26" spans="1:9" x14ac:dyDescent="0.3">
      <c r="A26" s="121" t="s">
        <v>130</v>
      </c>
      <c r="B26" s="36">
        <v>1310651.3600000001</v>
      </c>
      <c r="C26" s="25">
        <f t="shared" si="0"/>
        <v>1.4681281033694392E-2</v>
      </c>
      <c r="D26" s="36">
        <v>642671.47</v>
      </c>
      <c r="E26" s="25">
        <f t="shared" si="1"/>
        <v>6.9824864639795444E-3</v>
      </c>
      <c r="F26" s="36">
        <v>1973485.01</v>
      </c>
      <c r="G26" s="25">
        <f t="shared" si="2"/>
        <v>1.7697698301155494E-2</v>
      </c>
      <c r="H26" s="36">
        <v>950880.41</v>
      </c>
      <c r="I26" s="25">
        <f t="shared" si="3"/>
        <v>1.2128706841266861E-2</v>
      </c>
    </row>
    <row r="27" spans="1:9" x14ac:dyDescent="0.3">
      <c r="A27" s="121" t="s">
        <v>109</v>
      </c>
      <c r="B27" s="36">
        <v>5264244.97</v>
      </c>
      <c r="C27" s="25">
        <f t="shared" si="0"/>
        <v>5.8967519657387835E-2</v>
      </c>
      <c r="D27" s="36">
        <v>6230385.7300000004</v>
      </c>
      <c r="E27" s="25">
        <f t="shared" si="1"/>
        <v>6.7691792861283101E-2</v>
      </c>
      <c r="F27" s="36">
        <v>9701387.3499999996</v>
      </c>
      <c r="G27" s="25">
        <f t="shared" si="2"/>
        <v>8.6999508763913228E-2</v>
      </c>
      <c r="H27" s="36">
        <v>6638211.2000000002</v>
      </c>
      <c r="I27" s="25">
        <f t="shared" si="3"/>
        <v>8.4671970048488324E-2</v>
      </c>
    </row>
    <row r="28" spans="1:9" x14ac:dyDescent="0.3">
      <c r="A28" s="121" t="s">
        <v>133</v>
      </c>
      <c r="B28" s="36">
        <v>2993638.04</v>
      </c>
      <c r="C28" s="25">
        <f t="shared" si="0"/>
        <v>3.3533281786239516E-2</v>
      </c>
      <c r="D28" s="36">
        <v>3005982.37</v>
      </c>
      <c r="E28" s="25">
        <f t="shared" si="1"/>
        <v>3.2659348032807733E-2</v>
      </c>
      <c r="F28" s="36">
        <v>0</v>
      </c>
      <c r="G28" s="25">
        <f t="shared" si="2"/>
        <v>0</v>
      </c>
      <c r="H28" s="36">
        <v>0</v>
      </c>
      <c r="I28" s="25">
        <f t="shared" si="3"/>
        <v>0</v>
      </c>
    </row>
    <row r="29" spans="1:9" x14ac:dyDescent="0.3">
      <c r="A29" s="121" t="s">
        <v>39</v>
      </c>
      <c r="B29" s="36">
        <v>8868787.7899999991</v>
      </c>
      <c r="C29" s="25">
        <f t="shared" si="0"/>
        <v>9.9343860577222748E-2</v>
      </c>
      <c r="D29" s="36">
        <v>7084287.3099999996</v>
      </c>
      <c r="E29" s="25">
        <f t="shared" si="1"/>
        <v>7.6969248765651699E-2</v>
      </c>
      <c r="F29" s="36">
        <v>6261039.71</v>
      </c>
      <c r="G29" s="25">
        <f t="shared" si="2"/>
        <v>5.6147369388498215E-2</v>
      </c>
      <c r="H29" s="36">
        <v>5134646.5</v>
      </c>
      <c r="I29" s="25">
        <f t="shared" si="3"/>
        <v>6.549364302503291E-2</v>
      </c>
    </row>
    <row r="30" spans="1:9" x14ac:dyDescent="0.3">
      <c r="A30" s="121" t="s">
        <v>113</v>
      </c>
      <c r="B30" s="36">
        <v>1730938.71</v>
      </c>
      <c r="C30" s="25">
        <f t="shared" si="0"/>
        <v>1.9389136141903088E-2</v>
      </c>
      <c r="D30" s="36">
        <v>1184265.55</v>
      </c>
      <c r="E30" s="25">
        <f t="shared" si="1"/>
        <v>1.286678895615561E-2</v>
      </c>
      <c r="F30" s="36">
        <v>379671.99</v>
      </c>
      <c r="G30" s="25">
        <f t="shared" si="2"/>
        <v>3.4047992755816907E-3</v>
      </c>
      <c r="H30" s="36">
        <v>375550.48</v>
      </c>
      <c r="I30" s="25">
        <f t="shared" si="3"/>
        <v>4.7902361097301952E-3</v>
      </c>
    </row>
    <row r="31" spans="1:9" s="15" customFormat="1" x14ac:dyDescent="0.3">
      <c r="A31" s="15" t="s">
        <v>40</v>
      </c>
      <c r="B31" s="37">
        <f>SUM(B24:B30)</f>
        <v>37826470.919999994</v>
      </c>
      <c r="C31" s="22">
        <f t="shared" si="0"/>
        <v>0.4237137861661307</v>
      </c>
      <c r="D31" s="37">
        <f>SUM(D24:D30)</f>
        <v>37810373.460000001</v>
      </c>
      <c r="E31" s="22">
        <f t="shared" si="1"/>
        <v>0.41080152645092749</v>
      </c>
      <c r="F31" s="37">
        <f>SUM(F24:F30)</f>
        <v>39084074.900000006</v>
      </c>
      <c r="G31" s="22">
        <f t="shared" si="2"/>
        <v>0.35049577901783213</v>
      </c>
      <c r="H31" s="37">
        <f>SUM(H24:H30)</f>
        <v>23139625.990000002</v>
      </c>
      <c r="I31" s="22">
        <f>H31/H$10</f>
        <v>0.29515145868792214</v>
      </c>
    </row>
    <row r="32" spans="1:9" x14ac:dyDescent="0.3">
      <c r="B32" s="23" t="s">
        <v>10</v>
      </c>
      <c r="C32" s="24" t="s">
        <v>10</v>
      </c>
      <c r="D32" s="23" t="s">
        <v>10</v>
      </c>
      <c r="E32" s="24" t="s">
        <v>10</v>
      </c>
      <c r="F32" s="23" t="s">
        <v>10</v>
      </c>
      <c r="G32" s="24" t="s">
        <v>10</v>
      </c>
      <c r="H32" s="23" t="s">
        <v>10</v>
      </c>
      <c r="I32" s="24" t="s">
        <v>10</v>
      </c>
    </row>
    <row r="33" spans="1:9" x14ac:dyDescent="0.3">
      <c r="B33" s="43"/>
      <c r="C33" s="25"/>
      <c r="D33" s="43"/>
      <c r="E33" s="25"/>
      <c r="F33" s="43"/>
      <c r="G33" s="25"/>
      <c r="H33" s="43"/>
      <c r="I33" s="25"/>
    </row>
    <row r="34" spans="1:9" s="15" customFormat="1" x14ac:dyDescent="0.3">
      <c r="A34" s="15" t="s">
        <v>41</v>
      </c>
      <c r="B34" s="37">
        <f>B20-B31</f>
        <v>-3684223.9099999964</v>
      </c>
      <c r="C34" s="22">
        <f>B34/B$10</f>
        <v>-4.1268889854710361E-2</v>
      </c>
      <c r="D34" s="37">
        <f>D20-D31</f>
        <v>-907061.0399999842</v>
      </c>
      <c r="E34" s="22">
        <f>D34/D$10</f>
        <v>-9.8550219349290528E-3</v>
      </c>
      <c r="F34" s="37">
        <f>F20-F31</f>
        <v>11474388.309999995</v>
      </c>
      <c r="G34" s="22">
        <f>F34/F$10</f>
        <v>0.10289931845019962</v>
      </c>
      <c r="H34" s="37">
        <f>H20-H31</f>
        <v>7581469.9899999872</v>
      </c>
      <c r="I34" s="22">
        <f>IFERROR(H34/#REF!,0)</f>
        <v>0</v>
      </c>
    </row>
    <row r="35" spans="1:9" x14ac:dyDescent="0.3">
      <c r="B35" s="36"/>
      <c r="C35" s="25"/>
      <c r="D35" s="36"/>
      <c r="E35" s="25"/>
      <c r="F35" s="36"/>
      <c r="G35" s="25"/>
      <c r="H35" s="36"/>
      <c r="I35" s="25"/>
    </row>
    <row r="36" spans="1:9" x14ac:dyDescent="0.3">
      <c r="A36" s="121" t="s">
        <v>213</v>
      </c>
      <c r="B36" s="36">
        <v>-783090.87</v>
      </c>
      <c r="C36" s="25">
        <f>B36/B$10</f>
        <v>-8.7718042251833019E-3</v>
      </c>
      <c r="D36" s="36">
        <v>-1233351.1100000001</v>
      </c>
      <c r="E36" s="25">
        <f>D36/D$10</f>
        <v>-1.3400092944703377E-2</v>
      </c>
      <c r="F36" s="36">
        <v>-2845843.19</v>
      </c>
      <c r="G36" s="25">
        <f>F36/F$10</f>
        <v>-2.5520778690392956E-2</v>
      </c>
      <c r="H36" s="36">
        <v>-535792.79</v>
      </c>
      <c r="I36" s="25">
        <f>H36/H$10</f>
        <v>-6.8341650634851743E-3</v>
      </c>
    </row>
    <row r="37" spans="1:9" x14ac:dyDescent="0.3">
      <c r="A37" s="121" t="s">
        <v>42</v>
      </c>
      <c r="B37" s="36">
        <v>-298033.57</v>
      </c>
      <c r="C37" s="25">
        <f>B37/B$10</f>
        <v>-3.3384275423520944E-3</v>
      </c>
      <c r="D37" s="36">
        <v>-791809.24</v>
      </c>
      <c r="E37" s="25">
        <f>D37/D$10</f>
        <v>-8.6028360654533658E-3</v>
      </c>
      <c r="F37" s="36">
        <v>1196581.75</v>
      </c>
      <c r="G37" s="25">
        <f>F37/F$10</f>
        <v>1.0730632711605277E-2</v>
      </c>
      <c r="H37" s="36">
        <v>564121.06999999995</v>
      </c>
      <c r="I37" s="25">
        <f>H37/H$10</f>
        <v>7.1954990438932069E-3</v>
      </c>
    </row>
    <row r="38" spans="1:9" x14ac:dyDescent="0.3">
      <c r="A38" s="121" t="s">
        <v>98</v>
      </c>
      <c r="B38" s="36">
        <v>8684.42</v>
      </c>
      <c r="C38" s="25">
        <f>B38/B$10</f>
        <v>9.7278661988826873E-5</v>
      </c>
      <c r="D38" s="36">
        <v>0</v>
      </c>
      <c r="E38" s="25">
        <f>D38/D$10</f>
        <v>0</v>
      </c>
      <c r="F38" s="36">
        <v>0</v>
      </c>
      <c r="G38" s="25">
        <f>F38/F$10</f>
        <v>0</v>
      </c>
      <c r="H38" s="36">
        <v>0</v>
      </c>
      <c r="I38" s="25">
        <f>H38/H$10</f>
        <v>0</v>
      </c>
    </row>
    <row r="39" spans="1:9" s="15" customFormat="1" x14ac:dyDescent="0.3">
      <c r="A39" s="15" t="s">
        <v>43</v>
      </c>
      <c r="B39" s="37">
        <f>SUM(B36:B38)</f>
        <v>-1072440.02</v>
      </c>
      <c r="C39" s="22">
        <f>B39/B$10</f>
        <v>-1.201295310554657E-2</v>
      </c>
      <c r="D39" s="37">
        <f>SUM(D36:D38)</f>
        <v>-2025160.35</v>
      </c>
      <c r="E39" s="22">
        <f>D39/D$10</f>
        <v>-2.2002929010156741E-2</v>
      </c>
      <c r="F39" s="37">
        <f>SUM(F36:F38)</f>
        <v>-1649261.44</v>
      </c>
      <c r="G39" s="22">
        <f>F39/F$10</f>
        <v>-1.4790145978787679E-2</v>
      </c>
      <c r="H39" s="37">
        <f>SUM(H36:H38)</f>
        <v>28328.279999999912</v>
      </c>
      <c r="I39" s="22">
        <f>H39/H$10</f>
        <v>3.6133398040803268E-4</v>
      </c>
    </row>
    <row r="40" spans="1:9" x14ac:dyDescent="0.3">
      <c r="B40" s="36"/>
      <c r="C40" s="25"/>
      <c r="D40" s="36"/>
      <c r="E40" s="25"/>
      <c r="F40" s="36"/>
      <c r="G40" s="25"/>
      <c r="H40" s="36"/>
      <c r="I40" s="25"/>
    </row>
    <row r="41" spans="1:9" s="15" customFormat="1" x14ac:dyDescent="0.3">
      <c r="A41" s="15" t="s">
        <v>44</v>
      </c>
      <c r="B41" s="37">
        <f>B34+B39</f>
        <v>-4756663.929999996</v>
      </c>
      <c r="C41" s="22">
        <f>B41/B$10</f>
        <v>-5.3281842960256925E-2</v>
      </c>
      <c r="D41" s="37">
        <f>D34+D39</f>
        <v>-2932221.3899999843</v>
      </c>
      <c r="E41" s="22">
        <f>D41/D$10</f>
        <v>-3.1857950945085797E-2</v>
      </c>
      <c r="F41" s="37">
        <f>F34+F39</f>
        <v>9825126.8699999955</v>
      </c>
      <c r="G41" s="22">
        <f>F41/F$10</f>
        <v>8.8109172471411937E-2</v>
      </c>
      <c r="H41" s="37">
        <f>H34+H39</f>
        <v>7609798.2699999874</v>
      </c>
      <c r="I41" s="22">
        <f>H41/H$10</f>
        <v>9.7064795285886227E-2</v>
      </c>
    </row>
    <row r="42" spans="1:9" x14ac:dyDescent="0.3">
      <c r="B42" s="36"/>
      <c r="C42" s="25"/>
      <c r="D42" s="36"/>
      <c r="E42" s="25"/>
      <c r="F42" s="36"/>
      <c r="G42" s="25"/>
      <c r="H42" s="36"/>
      <c r="I42" s="25"/>
    </row>
    <row r="43" spans="1:9" x14ac:dyDescent="0.3">
      <c r="A43" s="121" t="s">
        <v>45</v>
      </c>
      <c r="B43" s="36">
        <v>0</v>
      </c>
      <c r="C43" s="25">
        <f>B43/B$10</f>
        <v>0</v>
      </c>
      <c r="D43" s="36">
        <v>0</v>
      </c>
      <c r="E43" s="25">
        <f>D43/D$10</f>
        <v>0</v>
      </c>
      <c r="F43" s="36">
        <v>-39646.03</v>
      </c>
      <c r="G43" s="25">
        <f>F43/F$10</f>
        <v>-3.5553524563055065E-4</v>
      </c>
      <c r="H43" s="36">
        <v>0</v>
      </c>
      <c r="I43" s="25">
        <f>H43/H$10</f>
        <v>0</v>
      </c>
    </row>
    <row r="44" spans="1:9" x14ac:dyDescent="0.3">
      <c r="A44" s="121" t="s">
        <v>46</v>
      </c>
      <c r="B44" s="36">
        <v>-74297.06</v>
      </c>
      <c r="C44" s="25">
        <f>B44/B$10</f>
        <v>-8.3223964139269972E-4</v>
      </c>
      <c r="D44" s="36">
        <v>0</v>
      </c>
      <c r="E44" s="25">
        <f>D44/D$10</f>
        <v>0</v>
      </c>
      <c r="F44" s="36">
        <v>-284340</v>
      </c>
      <c r="G44" s="25">
        <f>F44/F$10</f>
        <v>-2.5498868800379452E-3</v>
      </c>
      <c r="H44" s="36">
        <v>-225.05</v>
      </c>
      <c r="I44" s="25">
        <f>H44/H$10</f>
        <v>-2.8705665254236407E-6</v>
      </c>
    </row>
    <row r="45" spans="1:9" x14ac:dyDescent="0.3">
      <c r="A45" s="121" t="s">
        <v>108</v>
      </c>
      <c r="B45" s="36">
        <v>0</v>
      </c>
      <c r="C45" s="25">
        <f>B45/B$10</f>
        <v>0</v>
      </c>
      <c r="D45" s="36">
        <v>0</v>
      </c>
      <c r="E45" s="25">
        <f>D45/D$10</f>
        <v>0</v>
      </c>
      <c r="F45" s="36">
        <v>-3236646</v>
      </c>
      <c r="G45" s="25">
        <f>F45/F$10</f>
        <v>-2.9025396253524988E-2</v>
      </c>
      <c r="H45" s="36">
        <v>-1970176.7721029969</v>
      </c>
      <c r="I45" s="25">
        <f>H45/H$10</f>
        <v>-2.5130075499515948E-2</v>
      </c>
    </row>
    <row r="46" spans="1:9" s="15" customFormat="1" x14ac:dyDescent="0.3">
      <c r="A46" s="15" t="s">
        <v>47</v>
      </c>
      <c r="B46" s="37">
        <f>B43+B44+B45</f>
        <v>-74297.06</v>
      </c>
      <c r="C46" s="22">
        <f>B46/B$10</f>
        <v>-8.3223964139269972E-4</v>
      </c>
      <c r="D46" s="37">
        <f>D43+D44+D45</f>
        <v>0</v>
      </c>
      <c r="E46" s="22">
        <f>D46/D$10</f>
        <v>0</v>
      </c>
      <c r="F46" s="37">
        <f>F43+F44+F45</f>
        <v>-3560632.0300000003</v>
      </c>
      <c r="G46" s="22">
        <f>F46/F$10</f>
        <v>-3.1930818379193489E-2</v>
      </c>
      <c r="H46" s="37">
        <f>H43+H44+H45</f>
        <v>-1970401.822102997</v>
      </c>
      <c r="I46" s="22">
        <f>H46/H$10</f>
        <v>-2.5132946066041374E-2</v>
      </c>
    </row>
    <row r="47" spans="1:9" x14ac:dyDescent="0.3">
      <c r="B47" s="38" t="s">
        <v>10</v>
      </c>
      <c r="C47" s="24" t="s">
        <v>10</v>
      </c>
      <c r="D47" s="38" t="s">
        <v>10</v>
      </c>
      <c r="E47" s="24" t="s">
        <v>10</v>
      </c>
      <c r="F47" s="38" t="s">
        <v>10</v>
      </c>
      <c r="G47" s="24" t="s">
        <v>10</v>
      </c>
      <c r="H47" s="38" t="s">
        <v>10</v>
      </c>
      <c r="I47" s="24" t="s">
        <v>10</v>
      </c>
    </row>
    <row r="48" spans="1:9" s="15" customFormat="1" x14ac:dyDescent="0.3">
      <c r="A48" s="15" t="s">
        <v>28</v>
      </c>
      <c r="B48" s="37">
        <f>B41+B46</f>
        <v>-4830960.9899999956</v>
      </c>
      <c r="C48" s="22">
        <f>B48/B$10</f>
        <v>-5.411408260164962E-2</v>
      </c>
      <c r="D48" s="37">
        <f>D41+D46</f>
        <v>-2932221.3899999843</v>
      </c>
      <c r="E48" s="22">
        <f>D48/D$10</f>
        <v>-3.1857950945085797E-2</v>
      </c>
      <c r="F48" s="37">
        <f>F41+F46</f>
        <v>6264494.8399999952</v>
      </c>
      <c r="G48" s="22">
        <f>F48/F$10</f>
        <v>5.6178354092218455E-2</v>
      </c>
      <c r="H48" s="37">
        <f>H41+H46</f>
        <v>5639396.4478969909</v>
      </c>
      <c r="I48" s="22">
        <f>H48/H$10</f>
        <v>7.1931849219844871E-2</v>
      </c>
    </row>
    <row r="49" spans="1:9" x14ac:dyDescent="0.3">
      <c r="B49" s="38" t="s">
        <v>31</v>
      </c>
      <c r="C49" s="24" t="s">
        <v>31</v>
      </c>
      <c r="D49" s="38" t="s">
        <v>31</v>
      </c>
      <c r="E49" s="24" t="s">
        <v>31</v>
      </c>
      <c r="F49" s="38" t="s">
        <v>31</v>
      </c>
      <c r="G49" s="24" t="s">
        <v>31</v>
      </c>
      <c r="H49" s="38" t="s">
        <v>31</v>
      </c>
      <c r="I49" s="24" t="s">
        <v>31</v>
      </c>
    </row>
    <row r="50" spans="1:9" x14ac:dyDescent="0.3">
      <c r="B50" s="121">
        <f>B48-Balance!B41</f>
        <v>0</v>
      </c>
      <c r="D50" s="121">
        <f>D48-Balance!D41</f>
        <v>7.4505805969238281E-9</v>
      </c>
      <c r="F50" s="121">
        <f>F48-Balance!F41</f>
        <v>7.4505805969238281E-9</v>
      </c>
      <c r="H50" s="121">
        <f>H48-Balance!H41</f>
        <v>0</v>
      </c>
    </row>
    <row r="52" spans="1:9" x14ac:dyDescent="0.3">
      <c r="A52" s="121" t="s">
        <v>214</v>
      </c>
      <c r="B52" s="126">
        <v>8</v>
      </c>
      <c r="D52" s="126">
        <v>9</v>
      </c>
      <c r="F52" s="126">
        <v>22</v>
      </c>
      <c r="H52" s="126">
        <v>16</v>
      </c>
    </row>
    <row r="53" spans="1:9" x14ac:dyDescent="0.3">
      <c r="A53" s="121" t="s">
        <v>215</v>
      </c>
      <c r="B53" s="126">
        <v>66</v>
      </c>
      <c r="D53" s="126">
        <v>59</v>
      </c>
      <c r="F53" s="126">
        <v>68</v>
      </c>
      <c r="H53" s="126">
        <v>61</v>
      </c>
    </row>
    <row r="54" spans="1:9" x14ac:dyDescent="0.3">
      <c r="A54" s="121" t="s">
        <v>216</v>
      </c>
      <c r="B54" s="126">
        <f>SUM(B52:B53)</f>
        <v>74</v>
      </c>
      <c r="D54" s="126">
        <f>SUM(D52:D53)</f>
        <v>68</v>
      </c>
      <c r="F54" s="126">
        <f>SUM(F52:F53)</f>
        <v>90</v>
      </c>
      <c r="H54" s="126">
        <f>SUM(H52:H53)</f>
        <v>77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20"/>
  <sheetViews>
    <sheetView showGridLines="0" topLeftCell="A34" zoomScale="120" zoomScaleNormal="120" workbookViewId="0">
      <selection activeCell="H20" sqref="H20"/>
    </sheetView>
  </sheetViews>
  <sheetFormatPr baseColWidth="10" defaultColWidth="11.44140625" defaultRowHeight="13.2" x14ac:dyDescent="0.25"/>
  <cols>
    <col min="1" max="1" width="51.6640625" style="86" customWidth="1"/>
    <col min="2" max="2" width="9.6640625" style="86" customWidth="1"/>
    <col min="3" max="3" width="12.6640625" style="86" customWidth="1"/>
    <col min="4" max="4" width="5.77734375" style="86" customWidth="1"/>
    <col min="5" max="5" width="11.6640625" style="86" customWidth="1"/>
    <col min="6" max="6" width="5.77734375" style="86" customWidth="1"/>
    <col min="7" max="7" width="12.109375" style="86" bestFit="1" customWidth="1"/>
    <col min="8" max="16" width="11.6640625" style="86" customWidth="1"/>
    <col min="17" max="16384" width="11.44140625" style="86"/>
  </cols>
  <sheetData>
    <row r="1" spans="1:7" ht="21" x14ac:dyDescent="0.4">
      <c r="A1" s="84" t="str">
        <f>Balance!A1</f>
        <v>Empresa La Comercial CM, SA de CV</v>
      </c>
      <c r="B1" s="85"/>
      <c r="C1" s="85"/>
      <c r="D1" s="85"/>
      <c r="E1" s="124"/>
      <c r="F1" s="124"/>
      <c r="G1" s="124"/>
    </row>
    <row r="2" spans="1:7" ht="15.6" x14ac:dyDescent="0.3">
      <c r="A2" s="125" t="s">
        <v>203</v>
      </c>
      <c r="B2" s="88"/>
      <c r="C2" s="88"/>
      <c r="D2" s="88"/>
      <c r="E2" s="124"/>
      <c r="F2" s="124"/>
      <c r="G2" s="124"/>
    </row>
    <row r="3" spans="1:7" ht="15.6" x14ac:dyDescent="0.3">
      <c r="A3" s="87"/>
      <c r="B3" s="88"/>
      <c r="C3" s="88"/>
      <c r="D3" s="88"/>
    </row>
    <row r="4" spans="1:7" x14ac:dyDescent="0.25">
      <c r="A4" s="89" t="s">
        <v>66</v>
      </c>
      <c r="C4" s="90">
        <f>Resultados!B4</f>
        <v>44531</v>
      </c>
      <c r="E4" s="90">
        <f>Resultados!D4</f>
        <v>44166</v>
      </c>
      <c r="G4" s="90">
        <f>Resultados!F4</f>
        <v>43800</v>
      </c>
    </row>
    <row r="5" spans="1:7" x14ac:dyDescent="0.25">
      <c r="A5" s="91" t="s">
        <v>161</v>
      </c>
      <c r="C5" s="92"/>
      <c r="E5" s="92"/>
      <c r="G5" s="92"/>
    </row>
    <row r="6" spans="1:7" x14ac:dyDescent="0.25">
      <c r="A6" s="73" t="s">
        <v>162</v>
      </c>
      <c r="C6" s="71">
        <f>Resultados!B48</f>
        <v>-4830960.9899999956</v>
      </c>
      <c r="E6" s="71">
        <f>Resultados!D48</f>
        <v>-2932221.3899999843</v>
      </c>
      <c r="G6" s="71">
        <f>Resultados!F48</f>
        <v>6264494.8399999952</v>
      </c>
    </row>
    <row r="7" spans="1:7" x14ac:dyDescent="0.25">
      <c r="A7" s="93" t="s">
        <v>163</v>
      </c>
      <c r="C7" s="77"/>
      <c r="E7" s="77"/>
      <c r="G7" s="77"/>
    </row>
    <row r="8" spans="1:7" x14ac:dyDescent="0.25">
      <c r="A8" s="93" t="s">
        <v>164</v>
      </c>
      <c r="C8" s="77"/>
      <c r="E8" s="77"/>
      <c r="G8" s="77"/>
    </row>
    <row r="9" spans="1:7" x14ac:dyDescent="0.25">
      <c r="A9" s="73" t="s">
        <v>165</v>
      </c>
      <c r="C9" s="72">
        <f>((Balance!B17-Balance!D17))*-1</f>
        <v>300985.09000000008</v>
      </c>
      <c r="E9" s="72">
        <f>((Balance!D17-Balance!F17))*-1</f>
        <v>184220.71999999997</v>
      </c>
      <c r="G9" s="72">
        <f>((Balance!F17-Balance!H17))*-1</f>
        <v>191427.81000000006</v>
      </c>
    </row>
    <row r="10" spans="1:7" x14ac:dyDescent="0.25">
      <c r="A10" s="73" t="s">
        <v>166</v>
      </c>
      <c r="C10" s="72"/>
      <c r="E10" s="72"/>
      <c r="G10" s="72"/>
    </row>
    <row r="11" spans="1:7" x14ac:dyDescent="0.25">
      <c r="A11" s="73" t="s">
        <v>167</v>
      </c>
      <c r="C11" s="72"/>
      <c r="E11" s="72"/>
      <c r="G11" s="72"/>
    </row>
    <row r="12" spans="1:7" x14ac:dyDescent="0.25">
      <c r="A12" s="94" t="s">
        <v>168</v>
      </c>
      <c r="C12" s="78">
        <f>SUM(C6:C11)</f>
        <v>-4529975.8999999957</v>
      </c>
      <c r="E12" s="78">
        <f>SUM(E6:E11)</f>
        <v>-2748000.6699999841</v>
      </c>
      <c r="G12" s="78">
        <f>SUM(G6:G11)</f>
        <v>6455922.6499999948</v>
      </c>
    </row>
    <row r="13" spans="1:7" x14ac:dyDescent="0.25">
      <c r="A13" s="73"/>
      <c r="C13" s="77"/>
      <c r="E13" s="77"/>
      <c r="G13" s="77"/>
    </row>
    <row r="14" spans="1:7" x14ac:dyDescent="0.25">
      <c r="A14" s="93" t="s">
        <v>169</v>
      </c>
      <c r="C14" s="77"/>
      <c r="E14" s="77"/>
      <c r="G14" s="77"/>
    </row>
    <row r="15" spans="1:7" x14ac:dyDescent="0.25">
      <c r="A15" s="93" t="s">
        <v>170</v>
      </c>
      <c r="C15" s="77"/>
      <c r="E15" s="77"/>
      <c r="G15" s="77"/>
    </row>
    <row r="16" spans="1:7" x14ac:dyDescent="0.25">
      <c r="A16" s="73" t="s">
        <v>171</v>
      </c>
      <c r="C16" s="72">
        <f>(Balance!D9-Balance!B9)</f>
        <v>3290137.96</v>
      </c>
      <c r="E16" s="72">
        <f>(Balance!F9-Balance!D9)</f>
        <v>-3938207.91</v>
      </c>
      <c r="G16" s="72">
        <f>(Balance!H9-Balance!F9)</f>
        <v>-4492882.0999999996</v>
      </c>
    </row>
    <row r="17" spans="1:7" x14ac:dyDescent="0.25">
      <c r="A17" s="73" t="s">
        <v>190</v>
      </c>
      <c r="C17" s="72">
        <f>Balance!D10+Balance!D11-Balance!B10-Balance!B11</f>
        <v>603361.27000000328</v>
      </c>
      <c r="D17" s="73"/>
      <c r="E17" s="72">
        <f>Balance!F10+Balance!F11-Balance!D10-Balance!D11</f>
        <v>-965001.34000000171</v>
      </c>
      <c r="G17" s="72">
        <f>Balance!H10+Balance!H11-Balance!F10-Balance!F11</f>
        <v>-4900832.8599999994</v>
      </c>
    </row>
    <row r="18" spans="1:7" x14ac:dyDescent="0.25">
      <c r="A18" s="73" t="s">
        <v>172</v>
      </c>
      <c r="C18" s="71">
        <f>((Balance!D28+Balance!D29-Balance!D21)-(Balance!B28+Balance!B29-Balance!B21))*-1</f>
        <v>-3527182.3300000005</v>
      </c>
      <c r="E18" s="71">
        <f>((Balance!F28+Balance!F29-Balance!F21)-(Balance!D28+Balance!D29-Balance!D21))*-1</f>
        <v>544661.63000000059</v>
      </c>
      <c r="G18" s="71">
        <f>((Balance!H28+Balance!H29-Balance!H21)-(Balance!F28+Balance!F29-Balance!F21))*-1</f>
        <v>-1937065.18</v>
      </c>
    </row>
    <row r="19" spans="1:7" x14ac:dyDescent="0.25">
      <c r="A19" s="73" t="s">
        <v>173</v>
      </c>
      <c r="C19" s="72">
        <f>Balance!D12-Balance!B12</f>
        <v>-619998.06000000006</v>
      </c>
      <c r="E19" s="72">
        <f>Balance!F12-Balance!D12</f>
        <v>679803.29</v>
      </c>
      <c r="G19" s="72">
        <f>Balance!H12-Balance!F12</f>
        <v>-777701.40999999992</v>
      </c>
    </row>
    <row r="20" spans="1:7" x14ac:dyDescent="0.25">
      <c r="A20" s="74" t="s">
        <v>174</v>
      </c>
      <c r="C20" s="72">
        <v>0</v>
      </c>
      <c r="E20" s="72">
        <v>0</v>
      </c>
      <c r="G20" s="72">
        <v>0</v>
      </c>
    </row>
    <row r="21" spans="1:7" x14ac:dyDescent="0.25">
      <c r="A21" s="73" t="s">
        <v>175</v>
      </c>
      <c r="C21" s="72">
        <f>Balance!B27-Balance!D27</f>
        <v>-7946763.8499999996</v>
      </c>
      <c r="D21" s="73"/>
      <c r="E21" s="72">
        <f>Balance!D27-Balance!F27</f>
        <v>15933614.629999999</v>
      </c>
      <c r="G21" s="72">
        <f>Balance!F27-Balance!H27</f>
        <v>1318469.83</v>
      </c>
    </row>
    <row r="22" spans="1:7" x14ac:dyDescent="0.25">
      <c r="A22" s="73" t="s">
        <v>176</v>
      </c>
      <c r="C22" s="71">
        <v>0</v>
      </c>
      <c r="E22" s="71">
        <v>0</v>
      </c>
      <c r="G22" s="71">
        <v>0</v>
      </c>
    </row>
    <row r="23" spans="1:7" x14ac:dyDescent="0.25">
      <c r="A23" s="73" t="s">
        <v>177</v>
      </c>
      <c r="C23" s="72">
        <v>0</v>
      </c>
      <c r="E23" s="72">
        <v>0</v>
      </c>
      <c r="G23" s="72">
        <v>0</v>
      </c>
    </row>
    <row r="24" spans="1:7" x14ac:dyDescent="0.25">
      <c r="A24" s="73" t="s">
        <v>178</v>
      </c>
      <c r="C24" s="75">
        <f>Balance!B30-Balance!D30</f>
        <v>23212.149999999907</v>
      </c>
      <c r="E24" s="75">
        <f>Balance!D30-Balance!F30</f>
        <v>-994105.58999999985</v>
      </c>
      <c r="G24" s="75">
        <f>Balance!F30-Balance!H30</f>
        <v>175256.2799999998</v>
      </c>
    </row>
    <row r="25" spans="1:7" x14ac:dyDescent="0.25">
      <c r="A25" s="93" t="s">
        <v>179</v>
      </c>
      <c r="C25" s="95">
        <f>SUM(C16:C24)</f>
        <v>-8177232.8599999975</v>
      </c>
      <c r="E25" s="95">
        <f>SUM(E16:E24)</f>
        <v>11260764.709999997</v>
      </c>
      <c r="G25" s="95">
        <f>SUM(G16:G24)</f>
        <v>-10614755.439999999</v>
      </c>
    </row>
    <row r="26" spans="1:7" x14ac:dyDescent="0.25">
      <c r="A26" s="73"/>
      <c r="C26" s="77"/>
      <c r="E26" s="77"/>
      <c r="G26" s="77"/>
    </row>
    <row r="27" spans="1:7" x14ac:dyDescent="0.25">
      <c r="A27" s="94" t="s">
        <v>180</v>
      </c>
      <c r="C27" s="76">
        <f>C12+C25</f>
        <v>-12707208.759999994</v>
      </c>
      <c r="E27" s="76">
        <f>E12+E25</f>
        <v>8512764.040000014</v>
      </c>
      <c r="G27" s="76">
        <f>G12+G25</f>
        <v>-4158832.7900000047</v>
      </c>
    </row>
    <row r="28" spans="1:7" x14ac:dyDescent="0.25">
      <c r="A28" s="96"/>
      <c r="C28" s="71"/>
      <c r="E28" s="71"/>
      <c r="G28" s="71"/>
    </row>
    <row r="29" spans="1:7" x14ac:dyDescent="0.25">
      <c r="A29" s="93" t="s">
        <v>181</v>
      </c>
      <c r="C29" s="71"/>
      <c r="E29" s="71"/>
      <c r="G29" s="71"/>
    </row>
    <row r="30" spans="1:7" x14ac:dyDescent="0.25">
      <c r="A30" s="73" t="s">
        <v>182</v>
      </c>
      <c r="C30" s="72">
        <f>Balance!B34-Balance!D34</f>
        <v>359765.00999999978</v>
      </c>
      <c r="E30" s="72">
        <f>Balance!D34-Balance!F34</f>
        <v>-3048393.33</v>
      </c>
      <c r="G30" s="72">
        <f>Balance!F34-Balance!H34</f>
        <v>6840926.7400000002</v>
      </c>
    </row>
    <row r="31" spans="1:7" x14ac:dyDescent="0.25">
      <c r="A31" s="73" t="s">
        <v>207</v>
      </c>
      <c r="C31" s="72">
        <f>Balance!B39-Balance!D39</f>
        <v>0</v>
      </c>
      <c r="E31" s="72">
        <f>Balance!D39-Balance!F39</f>
        <v>0</v>
      </c>
      <c r="G31" s="72">
        <f>Balance!F39-Balance!H39</f>
        <v>-200000</v>
      </c>
    </row>
    <row r="32" spans="1:7" x14ac:dyDescent="0.25">
      <c r="A32" s="112" t="s">
        <v>191</v>
      </c>
      <c r="C32" s="72">
        <f>Balance!B40-Balance!D40-Balance!D41</f>
        <v>-445946.73</v>
      </c>
      <c r="E32" s="72">
        <f>Balance!D40-Balance!F40-Balance!F41</f>
        <v>-1171932.6100000059</v>
      </c>
      <c r="G32" s="72">
        <f>Balance!F40-Balance!H40-Balance!H41</f>
        <v>337119.59210302122</v>
      </c>
    </row>
    <row r="33" spans="1:7" x14ac:dyDescent="0.25">
      <c r="A33" s="73" t="s">
        <v>182</v>
      </c>
      <c r="C33" s="78">
        <f>SUM(C30:C32)</f>
        <v>-86181.720000000205</v>
      </c>
      <c r="E33" s="78">
        <f>SUM(E30:E32)</f>
        <v>-4220325.940000006</v>
      </c>
      <c r="G33" s="78">
        <f>SUM(G30:G32)</f>
        <v>6978046.3321030214</v>
      </c>
    </row>
    <row r="34" spans="1:7" x14ac:dyDescent="0.25">
      <c r="A34" s="73"/>
      <c r="C34" s="77"/>
      <c r="E34" s="77"/>
      <c r="G34" s="77"/>
    </row>
    <row r="35" spans="1:7" x14ac:dyDescent="0.25">
      <c r="A35" s="93" t="s">
        <v>183</v>
      </c>
      <c r="C35" s="77"/>
      <c r="E35" s="77"/>
      <c r="G35" s="77"/>
    </row>
    <row r="36" spans="1:7" x14ac:dyDescent="0.25">
      <c r="A36" s="73" t="s">
        <v>184</v>
      </c>
      <c r="C36" s="72">
        <f>(Balance!B16-Balance!D16)*-1</f>
        <v>-761625.81</v>
      </c>
      <c r="E36" s="72">
        <f>(Balance!D16-Balance!F16)*-1</f>
        <v>-1948227.78</v>
      </c>
      <c r="G36" s="72">
        <f>(Balance!F16-Balance!H16)*-1</f>
        <v>60609.399999999907</v>
      </c>
    </row>
    <row r="37" spans="1:7" x14ac:dyDescent="0.25">
      <c r="A37" s="73" t="s">
        <v>204</v>
      </c>
      <c r="C37" s="77">
        <v>0</v>
      </c>
      <c r="E37" s="77">
        <v>0</v>
      </c>
      <c r="G37" s="72">
        <f>(Balance!F22-Balance!H22)*-1</f>
        <v>1370341.13</v>
      </c>
    </row>
    <row r="38" spans="1:7" x14ac:dyDescent="0.25">
      <c r="A38" s="94" t="s">
        <v>185</v>
      </c>
      <c r="C38" s="78">
        <f>C36+C37</f>
        <v>-761625.81</v>
      </c>
      <c r="E38" s="78">
        <f>E36+E37</f>
        <v>-1948227.78</v>
      </c>
      <c r="G38" s="78">
        <f>G36+G37</f>
        <v>1430950.5299999998</v>
      </c>
    </row>
    <row r="39" spans="1:7" x14ac:dyDescent="0.25">
      <c r="A39" s="92"/>
      <c r="C39" s="97"/>
      <c r="D39" s="98"/>
      <c r="E39" s="97"/>
      <c r="G39" s="97"/>
    </row>
    <row r="40" spans="1:7" x14ac:dyDescent="0.25">
      <c r="A40" s="94" t="s">
        <v>186</v>
      </c>
      <c r="C40" s="99">
        <f>C27+C33+C38</f>
        <v>-13555016.289999995</v>
      </c>
      <c r="E40" s="99">
        <f>E27+E33+E38</f>
        <v>2344210.3200000077</v>
      </c>
      <c r="G40" s="99">
        <f>G27+G33+G38</f>
        <v>4250164.0721030161</v>
      </c>
    </row>
    <row r="41" spans="1:7" x14ac:dyDescent="0.25">
      <c r="A41" s="73"/>
      <c r="C41" s="77"/>
      <c r="E41" s="77"/>
      <c r="G41" s="77"/>
    </row>
    <row r="42" spans="1:7" x14ac:dyDescent="0.25">
      <c r="A42" s="73" t="s">
        <v>187</v>
      </c>
      <c r="C42" s="72">
        <f>Balance!D7+Balance!D8</f>
        <v>14961165.09</v>
      </c>
      <c r="E42" s="72">
        <f>Balance!F7+Balance!F8</f>
        <v>12616954.74</v>
      </c>
      <c r="G42" s="72">
        <f>Balance!H7+Balance!H8</f>
        <v>8366790.6699999999</v>
      </c>
    </row>
    <row r="43" spans="1:7" x14ac:dyDescent="0.25">
      <c r="A43" s="74"/>
      <c r="C43" s="77"/>
      <c r="E43" s="77"/>
      <c r="G43" s="77"/>
    </row>
    <row r="44" spans="1:7" ht="13.8" thickBot="1" x14ac:dyDescent="0.3">
      <c r="A44" s="94" t="s">
        <v>188</v>
      </c>
      <c r="C44" s="100">
        <f>C40+C42</f>
        <v>1406148.8000000045</v>
      </c>
      <c r="E44" s="100">
        <f>E40+E42</f>
        <v>14961165.060000008</v>
      </c>
      <c r="G44" s="100">
        <f>G40+G42</f>
        <v>12616954.742103016</v>
      </c>
    </row>
    <row r="45" spans="1:7" ht="13.8" thickTop="1" x14ac:dyDescent="0.25"/>
    <row r="46" spans="1:7" x14ac:dyDescent="0.25">
      <c r="A46" s="74"/>
      <c r="C46" s="77"/>
      <c r="E46" s="77"/>
      <c r="G46" s="77"/>
    </row>
    <row r="47" spans="1:7" x14ac:dyDescent="0.25">
      <c r="A47" s="83" t="s">
        <v>189</v>
      </c>
      <c r="C47" s="101">
        <f>Balance!B7+Balance!B8</f>
        <v>1406148.8</v>
      </c>
      <c r="E47" s="101">
        <f>Balance!D7+Balance!D8</f>
        <v>14961165.09</v>
      </c>
      <c r="G47" s="101">
        <f>Balance!F7+Balance!F8</f>
        <v>12616954.74</v>
      </c>
    </row>
    <row r="48" spans="1:7" x14ac:dyDescent="0.25">
      <c r="A48" s="83"/>
      <c r="C48" s="101"/>
      <c r="E48" s="101"/>
      <c r="G48" s="101"/>
    </row>
    <row r="49" spans="1:7" x14ac:dyDescent="0.25">
      <c r="A49" s="83" t="s">
        <v>105</v>
      </c>
      <c r="C49" s="71">
        <f>C44-C47</f>
        <v>4.4237822294235229E-9</v>
      </c>
      <c r="D49" s="98"/>
      <c r="E49" s="71">
        <f>E44-E47</f>
        <v>-2.9999991878867149E-2</v>
      </c>
      <c r="G49" s="71">
        <f>G44-G47</f>
        <v>2.1030157804489136E-3</v>
      </c>
    </row>
    <row r="50" spans="1:7" x14ac:dyDescent="0.25">
      <c r="A50" s="74"/>
      <c r="C50" s="77"/>
      <c r="E50" s="77"/>
      <c r="G50" s="77"/>
    </row>
    <row r="51" spans="1:7" x14ac:dyDescent="0.25">
      <c r="A51" s="74"/>
      <c r="C51" s="77"/>
      <c r="E51" s="77"/>
      <c r="G51" s="77"/>
    </row>
    <row r="52" spans="1:7" x14ac:dyDescent="0.25">
      <c r="C52" s="102"/>
      <c r="E52" s="102"/>
      <c r="G52" s="102"/>
    </row>
    <row r="53" spans="1:7" x14ac:dyDescent="0.25">
      <c r="C53" s="98"/>
    </row>
    <row r="55" spans="1:7" x14ac:dyDescent="0.25">
      <c r="A55" s="92"/>
      <c r="B55" s="97"/>
    </row>
    <row r="56" spans="1:7" x14ac:dyDescent="0.25">
      <c r="A56" s="73"/>
      <c r="B56" s="97"/>
    </row>
    <row r="57" spans="1:7" x14ac:dyDescent="0.25">
      <c r="A57" s="82"/>
      <c r="B57" s="71"/>
    </row>
    <row r="58" spans="1:7" x14ac:dyDescent="0.25">
      <c r="A58" s="73"/>
      <c r="B58" s="71"/>
      <c r="C58" s="103"/>
    </row>
    <row r="59" spans="1:7" x14ac:dyDescent="0.25">
      <c r="A59" s="104"/>
      <c r="B59" s="104"/>
    </row>
    <row r="60" spans="1:7" x14ac:dyDescent="0.25">
      <c r="A60" s="104"/>
      <c r="B60" s="104"/>
    </row>
    <row r="61" spans="1:7" x14ac:dyDescent="0.25">
      <c r="A61" s="104"/>
      <c r="B61" s="104"/>
    </row>
    <row r="62" spans="1:7" ht="20.399999999999999" x14ac:dyDescent="0.35">
      <c r="A62" s="105"/>
      <c r="B62" s="106"/>
    </row>
    <row r="63" spans="1:7" ht="15" x14ac:dyDescent="0.25">
      <c r="A63" s="105"/>
      <c r="B63" s="107"/>
    </row>
    <row r="64" spans="1:7" ht="15" x14ac:dyDescent="0.25">
      <c r="A64" s="105"/>
      <c r="B64" s="107"/>
    </row>
    <row r="65" spans="1:2" x14ac:dyDescent="0.25">
      <c r="A65" s="105"/>
      <c r="B65" s="108"/>
    </row>
    <row r="66" spans="1:2" x14ac:dyDescent="0.25">
      <c r="A66" s="109"/>
      <c r="B66" s="105"/>
    </row>
    <row r="67" spans="1:2" x14ac:dyDescent="0.25">
      <c r="A67" s="92"/>
      <c r="B67" s="110"/>
    </row>
    <row r="68" spans="1:2" x14ac:dyDescent="0.25">
      <c r="A68" s="79"/>
      <c r="B68" s="77"/>
    </row>
    <row r="69" spans="1:2" x14ac:dyDescent="0.25">
      <c r="A69" s="79"/>
      <c r="B69" s="77"/>
    </row>
    <row r="70" spans="1:2" x14ac:dyDescent="0.25">
      <c r="A70" s="104"/>
      <c r="B70" s="77"/>
    </row>
    <row r="71" spans="1:2" x14ac:dyDescent="0.25">
      <c r="A71" s="79"/>
      <c r="B71" s="77"/>
    </row>
    <row r="72" spans="1:2" x14ac:dyDescent="0.25">
      <c r="A72" s="79"/>
      <c r="B72" s="77"/>
    </row>
    <row r="73" spans="1:2" x14ac:dyDescent="0.25">
      <c r="A73" s="80"/>
      <c r="B73" s="77"/>
    </row>
    <row r="74" spans="1:2" x14ac:dyDescent="0.25">
      <c r="A74" s="111"/>
      <c r="B74" s="72"/>
    </row>
    <row r="75" spans="1:2" x14ac:dyDescent="0.25">
      <c r="A75" s="111"/>
      <c r="B75" s="72"/>
    </row>
    <row r="76" spans="1:2" x14ac:dyDescent="0.25">
      <c r="A76" s="112"/>
      <c r="B76" s="77"/>
    </row>
    <row r="77" spans="1:2" x14ac:dyDescent="0.25">
      <c r="A77" s="112"/>
      <c r="B77" s="77"/>
    </row>
    <row r="78" spans="1:2" x14ac:dyDescent="0.25">
      <c r="A78" s="112"/>
      <c r="B78" s="77"/>
    </row>
    <row r="79" spans="1:2" x14ac:dyDescent="0.25">
      <c r="A79" s="112"/>
      <c r="B79" s="77"/>
    </row>
    <row r="80" spans="1:2" x14ac:dyDescent="0.25">
      <c r="A80" s="113"/>
      <c r="B80" s="71"/>
    </row>
    <row r="81" spans="1:2" x14ac:dyDescent="0.25">
      <c r="A81" s="109"/>
      <c r="B81" s="71"/>
    </row>
    <row r="82" spans="1:2" x14ac:dyDescent="0.25">
      <c r="A82" s="114"/>
      <c r="B82" s="72"/>
    </row>
    <row r="83" spans="1:2" x14ac:dyDescent="0.25">
      <c r="A83" s="112"/>
      <c r="B83" s="77"/>
    </row>
    <row r="84" spans="1:2" x14ac:dyDescent="0.25">
      <c r="A84" s="112"/>
      <c r="B84" s="77"/>
    </row>
    <row r="85" spans="1:2" x14ac:dyDescent="0.25">
      <c r="A85" s="111"/>
      <c r="B85" s="72"/>
    </row>
    <row r="86" spans="1:2" x14ac:dyDescent="0.25">
      <c r="A86" s="115"/>
      <c r="B86" s="71"/>
    </row>
    <row r="87" spans="1:2" x14ac:dyDescent="0.25">
      <c r="A87" s="115"/>
      <c r="B87" s="71"/>
    </row>
    <row r="88" spans="1:2" x14ac:dyDescent="0.25">
      <c r="A88" s="112"/>
      <c r="B88" s="77"/>
    </row>
    <row r="89" spans="1:2" x14ac:dyDescent="0.25">
      <c r="A89" s="112"/>
      <c r="B89" s="77"/>
    </row>
    <row r="90" spans="1:2" x14ac:dyDescent="0.25">
      <c r="A90" s="112"/>
      <c r="B90" s="72"/>
    </row>
    <row r="91" spans="1:2" x14ac:dyDescent="0.25">
      <c r="A91" s="114"/>
      <c r="B91" s="71"/>
    </row>
    <row r="92" spans="1:2" x14ac:dyDescent="0.25">
      <c r="A92" s="81"/>
      <c r="B92" s="72"/>
    </row>
    <row r="93" spans="1:2" x14ac:dyDescent="0.25">
      <c r="A93" s="82"/>
      <c r="B93" s="77"/>
    </row>
    <row r="94" spans="1:2" x14ac:dyDescent="0.25">
      <c r="A94" s="73"/>
      <c r="B94" s="77"/>
    </row>
    <row r="95" spans="1:2" x14ac:dyDescent="0.25">
      <c r="A95" s="112"/>
      <c r="B95" s="77"/>
    </row>
    <row r="96" spans="1:2" x14ac:dyDescent="0.25">
      <c r="A96" s="83"/>
      <c r="B96" s="72"/>
    </row>
    <row r="97" spans="1:2" x14ac:dyDescent="0.25">
      <c r="A97" s="114"/>
      <c r="B97" s="72"/>
    </row>
    <row r="98" spans="1:2" x14ac:dyDescent="0.25">
      <c r="A98" s="116"/>
      <c r="B98" s="72"/>
    </row>
    <row r="99" spans="1:2" x14ac:dyDescent="0.25">
      <c r="A99" s="114"/>
      <c r="B99" s="72"/>
    </row>
    <row r="100" spans="1:2" x14ac:dyDescent="0.25">
      <c r="A100" s="112"/>
      <c r="B100" s="72"/>
    </row>
    <row r="101" spans="1:2" x14ac:dyDescent="0.25">
      <c r="A101" s="113"/>
      <c r="B101" s="71"/>
    </row>
    <row r="102" spans="1:2" x14ac:dyDescent="0.25">
      <c r="A102" s="114"/>
      <c r="B102" s="72"/>
    </row>
    <row r="103" spans="1:2" x14ac:dyDescent="0.25">
      <c r="A103" s="104"/>
      <c r="B103" s="104"/>
    </row>
    <row r="104" spans="1:2" x14ac:dyDescent="0.25">
      <c r="A104" s="104"/>
      <c r="B104" s="117"/>
    </row>
    <row r="105" spans="1:2" x14ac:dyDescent="0.25">
      <c r="A105" s="104"/>
      <c r="B105" s="104"/>
    </row>
    <row r="106" spans="1:2" x14ac:dyDescent="0.25">
      <c r="A106" s="104"/>
      <c r="B106" s="104"/>
    </row>
    <row r="107" spans="1:2" ht="20.399999999999999" x14ac:dyDescent="0.35">
      <c r="A107" s="105"/>
      <c r="B107" s="106"/>
    </row>
    <row r="108" spans="1:2" ht="15" x14ac:dyDescent="0.25">
      <c r="A108" s="105"/>
      <c r="B108" s="107"/>
    </row>
    <row r="109" spans="1:2" ht="15" x14ac:dyDescent="0.25">
      <c r="A109" s="105"/>
      <c r="B109" s="107"/>
    </row>
    <row r="110" spans="1:2" x14ac:dyDescent="0.25">
      <c r="A110" s="105"/>
      <c r="B110" s="108"/>
    </row>
    <row r="111" spans="1:2" x14ac:dyDescent="0.25">
      <c r="A111" s="109"/>
      <c r="B111" s="105"/>
    </row>
    <row r="112" spans="1:2" x14ac:dyDescent="0.25">
      <c r="A112" s="92"/>
      <c r="B112" s="110"/>
    </row>
    <row r="113" spans="1:2" x14ac:dyDescent="0.25">
      <c r="A113" s="79"/>
      <c r="B113" s="72"/>
    </row>
    <row r="114" spans="1:2" x14ac:dyDescent="0.25">
      <c r="A114" s="79"/>
      <c r="B114" s="72"/>
    </row>
    <row r="115" spans="1:2" x14ac:dyDescent="0.25">
      <c r="A115" s="104"/>
      <c r="B115" s="72"/>
    </row>
    <row r="116" spans="1:2" x14ac:dyDescent="0.25">
      <c r="A116" s="79"/>
      <c r="B116" s="72"/>
    </row>
    <row r="117" spans="1:2" x14ac:dyDescent="0.25">
      <c r="A117" s="79"/>
      <c r="B117" s="72"/>
    </row>
    <row r="118" spans="1:2" x14ac:dyDescent="0.25">
      <c r="A118" s="80"/>
      <c r="B118" s="72"/>
    </row>
    <row r="119" spans="1:2" x14ac:dyDescent="0.25">
      <c r="A119" s="111"/>
      <c r="B119" s="72"/>
    </row>
    <row r="120" spans="1:2" x14ac:dyDescent="0.25">
      <c r="A120" s="111"/>
      <c r="B120" s="72"/>
    </row>
    <row r="121" spans="1:2" x14ac:dyDescent="0.25">
      <c r="A121" s="112"/>
      <c r="B121" s="72"/>
    </row>
    <row r="122" spans="1:2" x14ac:dyDescent="0.25">
      <c r="A122" s="112"/>
      <c r="B122" s="72"/>
    </row>
    <row r="123" spans="1:2" x14ac:dyDescent="0.25">
      <c r="A123" s="112"/>
      <c r="B123" s="72"/>
    </row>
    <row r="124" spans="1:2" x14ac:dyDescent="0.25">
      <c r="A124" s="112"/>
      <c r="B124" s="72"/>
    </row>
    <row r="125" spans="1:2" x14ac:dyDescent="0.25">
      <c r="A125" s="113"/>
      <c r="B125" s="71"/>
    </row>
    <row r="126" spans="1:2" x14ac:dyDescent="0.25">
      <c r="A126" s="109"/>
      <c r="B126" s="71"/>
    </row>
    <row r="127" spans="1:2" x14ac:dyDescent="0.25">
      <c r="A127" s="114"/>
      <c r="B127" s="72"/>
    </row>
    <row r="128" spans="1:2" x14ac:dyDescent="0.25">
      <c r="A128" s="112"/>
      <c r="B128" s="72"/>
    </row>
    <row r="129" spans="1:2" x14ac:dyDescent="0.25">
      <c r="A129" s="112"/>
      <c r="B129" s="72"/>
    </row>
    <row r="130" spans="1:2" x14ac:dyDescent="0.25">
      <c r="A130" s="111"/>
      <c r="B130" s="72"/>
    </row>
    <row r="131" spans="1:2" x14ac:dyDescent="0.25">
      <c r="A131" s="115"/>
      <c r="B131" s="71"/>
    </row>
    <row r="132" spans="1:2" x14ac:dyDescent="0.25">
      <c r="A132" s="115"/>
      <c r="B132" s="71"/>
    </row>
    <row r="133" spans="1:2" x14ac:dyDescent="0.25">
      <c r="A133" s="112"/>
      <c r="B133" s="72"/>
    </row>
    <row r="134" spans="1:2" x14ac:dyDescent="0.25">
      <c r="A134" s="112"/>
      <c r="B134" s="72"/>
    </row>
    <row r="135" spans="1:2" x14ac:dyDescent="0.25">
      <c r="A135" s="112"/>
      <c r="B135" s="72"/>
    </row>
    <row r="136" spans="1:2" x14ac:dyDescent="0.25">
      <c r="A136" s="114"/>
      <c r="B136" s="71"/>
    </row>
    <row r="137" spans="1:2" x14ac:dyDescent="0.25">
      <c r="A137" s="81"/>
      <c r="B137" s="72"/>
    </row>
    <row r="138" spans="1:2" x14ac:dyDescent="0.25">
      <c r="A138" s="82"/>
      <c r="B138" s="72"/>
    </row>
    <row r="139" spans="1:2" x14ac:dyDescent="0.25">
      <c r="A139" s="73"/>
      <c r="B139" s="72"/>
    </row>
    <row r="140" spans="1:2" x14ac:dyDescent="0.25">
      <c r="A140" s="112"/>
      <c r="B140" s="72"/>
    </row>
    <row r="141" spans="1:2" x14ac:dyDescent="0.25">
      <c r="A141" s="83"/>
      <c r="B141" s="72"/>
    </row>
    <row r="142" spans="1:2" x14ac:dyDescent="0.25">
      <c r="A142" s="114"/>
      <c r="B142" s="72"/>
    </row>
    <row r="143" spans="1:2" x14ac:dyDescent="0.25">
      <c r="A143" s="116"/>
      <c r="B143" s="72"/>
    </row>
    <row r="144" spans="1:2" x14ac:dyDescent="0.25">
      <c r="A144" s="114"/>
      <c r="B144" s="72"/>
    </row>
    <row r="145" spans="1:2" x14ac:dyDescent="0.25">
      <c r="A145" s="112"/>
      <c r="B145" s="72"/>
    </row>
    <row r="146" spans="1:2" x14ac:dyDescent="0.25">
      <c r="A146" s="113"/>
      <c r="B146" s="71"/>
    </row>
    <row r="147" spans="1:2" x14ac:dyDescent="0.25">
      <c r="A147" s="114"/>
      <c r="B147" s="72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</sheetData>
  <printOptions horizontalCentered="1" verticalCentered="1" gridLines="1"/>
  <pageMargins left="0.98425196850393704" right="0.74803149606299213" top="0.47244094488188981" bottom="0.23622047244094491" header="0" footer="0"/>
  <pageSetup orientation="portrait" horizontalDpi="300" verticalDpi="300" r:id="rId1"/>
  <headerFooter alignWithMargins="0">
    <oddHeader>&amp;R&amp;D;&amp;F;&amp;A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9"/>
  <sheetViews>
    <sheetView showGridLines="0" zoomScale="170" zoomScaleNormal="1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7" sqref="B7"/>
    </sheetView>
  </sheetViews>
  <sheetFormatPr baseColWidth="10" defaultRowHeight="14.4" x14ac:dyDescent="0.3"/>
  <cols>
    <col min="1" max="1" width="28.33203125" style="2" customWidth="1"/>
    <col min="2" max="2" width="11.33203125" style="2" bestFit="1" customWidth="1"/>
    <col min="3" max="3" width="3.6640625" style="2" customWidth="1"/>
    <col min="4" max="4" width="11.33203125" style="2" bestFit="1" customWidth="1"/>
    <col min="5" max="5" width="3.6640625" style="2" customWidth="1"/>
    <col min="6" max="6" width="11.33203125" style="2" bestFit="1" customWidth="1"/>
    <col min="7" max="7" width="3.6640625" style="2" customWidth="1"/>
    <col min="8" max="8" width="11.33203125" style="2" bestFit="1" customWidth="1"/>
    <col min="9" max="9" width="3.6640625" style="2" customWidth="1"/>
    <col min="10" max="16384" width="11.5546875" style="2"/>
  </cols>
  <sheetData>
    <row r="1" spans="1:9" ht="25.8" x14ac:dyDescent="0.5">
      <c r="A1" s="1" t="str">
        <f>Balance!A1</f>
        <v>Empresa La Comercial CM, SA de CV</v>
      </c>
      <c r="B1" s="17"/>
      <c r="C1" s="17"/>
      <c r="D1" s="17"/>
      <c r="E1" s="17"/>
    </row>
    <row r="2" spans="1:9" ht="15.6" x14ac:dyDescent="0.3">
      <c r="A2" s="3" t="s">
        <v>65</v>
      </c>
      <c r="B2" s="17"/>
      <c r="C2" s="17"/>
      <c r="D2" s="17"/>
      <c r="E2" s="17"/>
    </row>
    <row r="3" spans="1:9" x14ac:dyDescent="0.3">
      <c r="A3" s="4" t="s">
        <v>66</v>
      </c>
      <c r="B3" s="5">
        <f>Balance!B5</f>
        <v>44531</v>
      </c>
      <c r="C3" s="5"/>
      <c r="D3" s="5">
        <f>Balance!D5</f>
        <v>44166</v>
      </c>
      <c r="E3" s="5"/>
      <c r="F3" s="5">
        <f>Balance!F5</f>
        <v>43800</v>
      </c>
      <c r="G3" s="5"/>
      <c r="H3" s="5">
        <f>Balance!H5</f>
        <v>43435</v>
      </c>
      <c r="I3" s="5"/>
    </row>
    <row r="4" spans="1:9" ht="6.75" customHeight="1" x14ac:dyDescent="0.3"/>
    <row r="5" spans="1:9" x14ac:dyDescent="0.3">
      <c r="A5" s="6" t="s">
        <v>67</v>
      </c>
    </row>
    <row r="6" spans="1:9" x14ac:dyDescent="0.3">
      <c r="A6" s="7" t="s">
        <v>68</v>
      </c>
      <c r="B6" s="8">
        <f>Balance!B13/Balance!B31</f>
        <v>1.8540739392579035</v>
      </c>
      <c r="D6" s="8">
        <f>Balance!D13/Balance!D31</f>
        <v>1.7175305593877113</v>
      </c>
      <c r="F6" s="8">
        <f>Balance!F13/Balance!F31</f>
        <v>3.8025702602799556</v>
      </c>
      <c r="H6" s="8">
        <f>Balance!H13/Balance!H31</f>
        <v>2.5034490657051411</v>
      </c>
    </row>
    <row r="7" spans="1:9" x14ac:dyDescent="0.3">
      <c r="A7" s="7"/>
    </row>
    <row r="8" spans="1:9" x14ac:dyDescent="0.3">
      <c r="A8" s="7" t="s">
        <v>69</v>
      </c>
      <c r="B8" s="8">
        <f>(Balance!B13-Balance!B10-Balance!B11)/Balance!B31</f>
        <v>0.52232823157372654</v>
      </c>
      <c r="D8" s="8">
        <f>(Balance!D13-Balance!D10-Balance!D11)/Balance!D31</f>
        <v>0.89535960042761797</v>
      </c>
      <c r="F8" s="8">
        <f>(Balance!F13-Balance!F10-Balance!F11)/Balance!F31</f>
        <v>1.7820101562744781</v>
      </c>
      <c r="H8" s="8">
        <f>(Balance!H13-Balance!H10-Balance!H11)/Balance!H31</f>
        <v>0.91654606343060074</v>
      </c>
    </row>
    <row r="9" spans="1:9" x14ac:dyDescent="0.3">
      <c r="A9" s="7"/>
    </row>
    <row r="10" spans="1:9" x14ac:dyDescent="0.3">
      <c r="A10" s="7"/>
    </row>
    <row r="11" spans="1:9" x14ac:dyDescent="0.3">
      <c r="A11" s="6" t="s">
        <v>70</v>
      </c>
    </row>
    <row r="12" spans="1:9" x14ac:dyDescent="0.3">
      <c r="A12" s="7" t="s">
        <v>71</v>
      </c>
      <c r="B12" s="25">
        <f>Balance!B37/Balance!B42</f>
        <v>1.9175063002831743</v>
      </c>
      <c r="D12" s="25">
        <f>Balance!D37/Balance!D42</f>
        <v>1.954079919600251</v>
      </c>
      <c r="F12" s="25">
        <f>Balance!F37/Balance!F42</f>
        <v>0.95281586843945087</v>
      </c>
      <c r="H12" s="25">
        <f>Balance!H37/Balance!H42</f>
        <v>0.8977876055777253</v>
      </c>
    </row>
    <row r="13" spans="1:9" x14ac:dyDescent="0.3">
      <c r="A13" s="7"/>
    </row>
    <row r="14" spans="1:9" x14ac:dyDescent="0.3">
      <c r="A14" s="7" t="s">
        <v>72</v>
      </c>
      <c r="B14" s="25">
        <f>Balance!B37/Balance!B25</f>
        <v>0.65724152852628293</v>
      </c>
      <c r="D14" s="25">
        <f>Balance!D37/Balance!D25</f>
        <v>0.66148512321382258</v>
      </c>
      <c r="F14" s="25">
        <f>Balance!F37/Balance!F25</f>
        <v>0.48791895018800335</v>
      </c>
      <c r="H14" s="25">
        <f>Balance!H37/Balance!H25</f>
        <v>0.47307064440466284</v>
      </c>
    </row>
    <row r="15" spans="1:9" x14ac:dyDescent="0.3">
      <c r="A15" s="7"/>
    </row>
    <row r="16" spans="1:9" x14ac:dyDescent="0.3">
      <c r="A16" s="7"/>
    </row>
    <row r="17" spans="1:9" x14ac:dyDescent="0.3">
      <c r="A17" s="6" t="s">
        <v>73</v>
      </c>
    </row>
    <row r="18" spans="1:9" x14ac:dyDescent="0.3">
      <c r="A18" s="7" t="s">
        <v>73</v>
      </c>
      <c r="B18" s="9">
        <f>Balance!B13-Balance!B31</f>
        <v>14328401.009999998</v>
      </c>
      <c r="D18" s="9">
        <f>Balance!D13-Balance!D31</f>
        <v>20025097.789999995</v>
      </c>
      <c r="F18" s="9">
        <f>Balance!F13-Balance!F31</f>
        <v>30487448.229999993</v>
      </c>
      <c r="H18" s="9">
        <f>Balance!H13-Balance!H31</f>
        <v>16181402.520000005</v>
      </c>
    </row>
    <row r="19" spans="1:9" x14ac:dyDescent="0.3">
      <c r="A19" s="7" t="s">
        <v>208</v>
      </c>
      <c r="B19" s="9">
        <f>B67*3</f>
        <v>9456617.7299999986</v>
      </c>
      <c r="D19" s="9">
        <f>D67*3</f>
        <v>9452593.3650000002</v>
      </c>
      <c r="F19" s="9">
        <f>F67*3</f>
        <v>9771018.7250000015</v>
      </c>
      <c r="H19" s="9">
        <f>H67*3</f>
        <v>5784906.4975000005</v>
      </c>
    </row>
    <row r="20" spans="1:9" x14ac:dyDescent="0.3">
      <c r="A20" s="7"/>
    </row>
    <row r="21" spans="1:9" x14ac:dyDescent="0.3">
      <c r="A21" s="6" t="s">
        <v>74</v>
      </c>
    </row>
    <row r="22" spans="1:9" x14ac:dyDescent="0.3">
      <c r="A22" s="7" t="s">
        <v>75</v>
      </c>
      <c r="B22" s="9">
        <f>Balance!B9/Resultados!B10*(MONTH(B3)*30)</f>
        <v>25.009079095355752</v>
      </c>
      <c r="D22" s="9">
        <f>Balance!D9/Resultados!D10*(MONTH(D3)*30)</f>
        <v>37.12606435253501</v>
      </c>
      <c r="F22" s="9">
        <f>Balance!F9/Resultados!F10*(MONTH(F3)*30)</f>
        <v>17.929615396725556</v>
      </c>
      <c r="H22" s="9">
        <f>Balance!H9/Resultados!H10*(MONTH(H3)*30)</f>
        <v>4.8713370006322894</v>
      </c>
    </row>
    <row r="23" spans="1:9" x14ac:dyDescent="0.3">
      <c r="A23" s="7"/>
    </row>
    <row r="24" spans="1:9" x14ac:dyDescent="0.3">
      <c r="A24" s="7" t="s">
        <v>76</v>
      </c>
      <c r="B24" s="9">
        <f>(Balance!B10+Balance!B11)/Resultados!B18*(MONTH(B3)*30)</f>
        <v>145.89053546491454</v>
      </c>
      <c r="D24" s="9">
        <f>(Balance!D10+Balance!D11)/Resultados!D18*(MONTH(D3)*30)</f>
        <v>149.81467329868809</v>
      </c>
      <c r="F24" s="9">
        <f>(Balance!F10+Balance!F11)/Resultados!F18*(MONTH(F3)*30)</f>
        <v>129.82199351519435</v>
      </c>
      <c r="H24" s="9">
        <f>(Balance!H10+Balance!H11)/Resultados!H18*(MONTH(H3)*30)</f>
        <v>128.96198985301905</v>
      </c>
    </row>
    <row r="25" spans="1:9" x14ac:dyDescent="0.3">
      <c r="A25" s="7"/>
    </row>
    <row r="26" spans="1:9" x14ac:dyDescent="0.3">
      <c r="A26" s="7" t="s">
        <v>77</v>
      </c>
      <c r="B26" s="9">
        <f>B22+B24</f>
        <v>170.89961456027029</v>
      </c>
      <c r="C26" s="39"/>
      <c r="D26" s="9">
        <f>D22+D24</f>
        <v>186.94073765122312</v>
      </c>
      <c r="E26" s="39"/>
      <c r="F26" s="9">
        <f>F22+F24</f>
        <v>147.7516089119199</v>
      </c>
      <c r="G26" s="39"/>
      <c r="H26" s="9">
        <f>H22+H24</f>
        <v>133.83332685365133</v>
      </c>
      <c r="I26" s="39"/>
    </row>
    <row r="27" spans="1:9" x14ac:dyDescent="0.3">
      <c r="A27" s="7"/>
      <c r="B27" s="8"/>
      <c r="C27" s="39"/>
      <c r="D27" s="8"/>
      <c r="E27" s="39"/>
      <c r="F27" s="8"/>
      <c r="G27" s="39"/>
      <c r="H27" s="8"/>
      <c r="I27" s="39"/>
    </row>
    <row r="28" spans="1:9" x14ac:dyDescent="0.3">
      <c r="A28" s="7" t="s">
        <v>78</v>
      </c>
      <c r="B28" s="9">
        <f>Balance!B27/Resultados!B18*(MONTH(B3)*30)</f>
        <v>98.280358982223774</v>
      </c>
      <c r="C28" s="39"/>
      <c r="D28" s="9">
        <f>Balance!D27/Resultados!D18*(MONTH(D3)*30)</f>
        <v>150.15581701146704</v>
      </c>
      <c r="E28" s="39"/>
      <c r="F28" s="9">
        <f>Balance!F27/Resultados!F18*(MONTH(F3)*30)</f>
        <v>41.722196101380426</v>
      </c>
      <c r="G28" s="39"/>
      <c r="H28" s="9">
        <f>Balance!H27/Resultados!H18*(MONTH(H3)*30)</f>
        <v>43.383000752303474</v>
      </c>
      <c r="I28" s="39"/>
    </row>
    <row r="29" spans="1:9" x14ac:dyDescent="0.3">
      <c r="A29" s="7"/>
      <c r="B29" s="9"/>
      <c r="C29" s="39"/>
      <c r="D29" s="9"/>
      <c r="E29" s="39"/>
      <c r="F29" s="9"/>
      <c r="G29" s="39"/>
      <c r="H29" s="9"/>
      <c r="I29" s="39"/>
    </row>
    <row r="30" spans="1:9" x14ac:dyDescent="0.3">
      <c r="A30" s="6" t="s">
        <v>79</v>
      </c>
      <c r="B30" s="10">
        <f>B26-B28</f>
        <v>72.61925557804652</v>
      </c>
      <c r="C30" s="39"/>
      <c r="D30" s="10">
        <f>D26-D28</f>
        <v>36.784920639756081</v>
      </c>
      <c r="E30" s="39"/>
      <c r="F30" s="10">
        <f>F26-F28</f>
        <v>106.02941281053947</v>
      </c>
      <c r="G30" s="39"/>
      <c r="H30" s="10">
        <f>H26-H28</f>
        <v>90.450326101347855</v>
      </c>
      <c r="I30" s="39"/>
    </row>
    <row r="31" spans="1:9" x14ac:dyDescent="0.3">
      <c r="A31" s="7"/>
      <c r="C31" s="39"/>
      <c r="E31" s="39"/>
      <c r="G31" s="39"/>
      <c r="I31" s="39"/>
    </row>
    <row r="32" spans="1:9" x14ac:dyDescent="0.3">
      <c r="A32" s="7" t="s">
        <v>80</v>
      </c>
      <c r="B32" s="8">
        <f>365/B30</f>
        <v>5.0262151146361091</v>
      </c>
      <c r="C32" s="39"/>
      <c r="D32" s="8">
        <f>365/D30</f>
        <v>9.9225441744060348</v>
      </c>
      <c r="E32" s="39"/>
      <c r="F32" s="8">
        <f>365/F30</f>
        <v>3.4424410201366173</v>
      </c>
      <c r="G32" s="39"/>
      <c r="H32" s="8">
        <f>365/H30</f>
        <v>4.0353641134585239</v>
      </c>
      <c r="I32" s="39"/>
    </row>
    <row r="33" spans="1:9" x14ac:dyDescent="0.3">
      <c r="A33" s="7"/>
      <c r="C33" s="39"/>
      <c r="E33" s="39"/>
      <c r="G33" s="39"/>
      <c r="I33" s="39"/>
    </row>
    <row r="34" spans="1:9" x14ac:dyDescent="0.3">
      <c r="A34" s="7"/>
    </row>
    <row r="35" spans="1:9" x14ac:dyDescent="0.3">
      <c r="A35" s="6" t="s">
        <v>81</v>
      </c>
    </row>
    <row r="36" spans="1:9" x14ac:dyDescent="0.3">
      <c r="A36" s="7" t="s">
        <v>82</v>
      </c>
      <c r="B36" s="11">
        <f>Resultados!C20</f>
        <v>0.38244489631142031</v>
      </c>
      <c r="D36" s="11">
        <f>Resultados!E20</f>
        <v>0.40094650451599839</v>
      </c>
      <c r="F36" s="11">
        <f>Resultados!G20</f>
        <v>0.45339509746803175</v>
      </c>
      <c r="H36" s="11">
        <f>Resultados!I20</f>
        <v>0.39185491999340033</v>
      </c>
    </row>
    <row r="37" spans="1:9" x14ac:dyDescent="0.3">
      <c r="A37" s="7"/>
    </row>
    <row r="38" spans="1:9" x14ac:dyDescent="0.3">
      <c r="A38" s="7" t="s">
        <v>83</v>
      </c>
      <c r="B38" s="11">
        <f>Resultados!C34</f>
        <v>-4.1268889854710361E-2</v>
      </c>
      <c r="D38" s="11">
        <f>Resultados!E34</f>
        <v>-9.8550219349290528E-3</v>
      </c>
      <c r="F38" s="11">
        <f>Resultados!G34</f>
        <v>0.10289931845019962</v>
      </c>
      <c r="H38" s="11">
        <f>Resultados!I34</f>
        <v>0</v>
      </c>
    </row>
    <row r="39" spans="1:9" x14ac:dyDescent="0.3">
      <c r="A39" s="7"/>
    </row>
    <row r="40" spans="1:9" x14ac:dyDescent="0.3">
      <c r="A40" s="7" t="s">
        <v>202</v>
      </c>
      <c r="B40" s="11">
        <f>Resultados!C48</f>
        <v>-5.411408260164962E-2</v>
      </c>
      <c r="D40" s="11">
        <f>Resultados!E48</f>
        <v>-3.1857950945085797E-2</v>
      </c>
      <c r="F40" s="11">
        <f>Resultados!G48</f>
        <v>5.6178354092218455E-2</v>
      </c>
      <c r="H40" s="11">
        <f>Resultados!I48</f>
        <v>7.1931849219844871E-2</v>
      </c>
    </row>
    <row r="41" spans="1:9" x14ac:dyDescent="0.3">
      <c r="A41" s="7"/>
    </row>
    <row r="42" spans="1:9" x14ac:dyDescent="0.3">
      <c r="A42" s="7"/>
    </row>
    <row r="43" spans="1:9" x14ac:dyDescent="0.3">
      <c r="A43" s="6" t="s">
        <v>84</v>
      </c>
    </row>
    <row r="44" spans="1:9" x14ac:dyDescent="0.3">
      <c r="A44" s="7" t="s">
        <v>85</v>
      </c>
      <c r="B44" s="25">
        <f>(Resultados!B48/(Balance!B42-Balance!B41))/MONTH(B3)*12</f>
        <v>-0.2772663012752089</v>
      </c>
      <c r="D44" s="25">
        <f>(Resultados!D48/(Balance!D42-Balance!D41))/MONTH(D3)*12</f>
        <v>-0.14096059416638504</v>
      </c>
      <c r="F44" s="25">
        <f>(Resultados!F48/(Balance!F42-Balance!F41))/MONTH(F3)*12</f>
        <v>0.39878005883080425</v>
      </c>
      <c r="H44" s="25">
        <f>(Resultados!H48/(Balance!H42-Balance!H41))/MONTH(H3)*12</f>
        <v>0.56776458109135575</v>
      </c>
    </row>
    <row r="45" spans="1:9" x14ac:dyDescent="0.3">
      <c r="A45" s="7"/>
    </row>
    <row r="46" spans="1:9" x14ac:dyDescent="0.3">
      <c r="A46" s="7" t="s">
        <v>86</v>
      </c>
      <c r="B46" s="25">
        <f>(Resultados!B48/Balance!B25)/MONTH(B3)*12</f>
        <v>-0.13149431634908468</v>
      </c>
      <c r="D46" s="25">
        <f>(Resultados!D48/Balance!D25)/MONTH(D3)*12</f>
        <v>-5.5547228499529908E-2</v>
      </c>
      <c r="F46" s="25">
        <f>(Resultados!F48/Balance!F25)/MONTH(F3)*12</f>
        <v>0.14598986444005987</v>
      </c>
      <c r="H46" s="25">
        <f>(Resultados!H48/Balance!H25)/MONTH(H3)*12</f>
        <v>0.19082700834819283</v>
      </c>
    </row>
    <row r="47" spans="1:9" x14ac:dyDescent="0.3">
      <c r="A47" s="7"/>
    </row>
    <row r="48" spans="1:9" x14ac:dyDescent="0.3">
      <c r="A48" s="7"/>
    </row>
    <row r="49" spans="1:8" x14ac:dyDescent="0.3">
      <c r="A49" s="6" t="s">
        <v>87</v>
      </c>
    </row>
    <row r="50" spans="1:8" x14ac:dyDescent="0.3">
      <c r="A50" s="7" t="s">
        <v>88</v>
      </c>
      <c r="B50" s="11">
        <f>B40</f>
        <v>-5.411408260164962E-2</v>
      </c>
      <c r="D50" s="11">
        <f>D40</f>
        <v>-3.1857950945085797E-2</v>
      </c>
      <c r="F50" s="11">
        <f>F40</f>
        <v>5.6178354092218455E-2</v>
      </c>
      <c r="H50" s="11">
        <f>H40</f>
        <v>7.1931849219844871E-2</v>
      </c>
    </row>
    <row r="51" spans="1:8" x14ac:dyDescent="0.3">
      <c r="A51" s="7"/>
    </row>
    <row r="52" spans="1:8" x14ac:dyDescent="0.3">
      <c r="A52" s="7" t="s">
        <v>89</v>
      </c>
      <c r="B52" s="8">
        <f>(Resultados!B10/Balance!B25)/MONTH(B3)*12</f>
        <v>2.4299463287043914</v>
      </c>
      <c r="D52" s="8">
        <f>(Resultados!D10/Balance!D25)/MONTH(D3)*12</f>
        <v>1.7435907474174286</v>
      </c>
      <c r="F52" s="8">
        <f>(Resultados!F10/Balance!F25)/MONTH(F3)*12</f>
        <v>2.598685326387689</v>
      </c>
      <c r="H52" s="8">
        <f>(Resultados!H10/Balance!H25)/MONTH(H3)*12</f>
        <v>2.6528861751484998</v>
      </c>
    </row>
    <row r="53" spans="1:8" x14ac:dyDescent="0.3">
      <c r="A53" s="7"/>
    </row>
    <row r="54" spans="1:8" x14ac:dyDescent="0.3">
      <c r="A54" s="7" t="s">
        <v>90</v>
      </c>
      <c r="B54" s="25">
        <f>(B50*B52)</f>
        <v>-0.13149431634908468</v>
      </c>
      <c r="D54" s="25">
        <f>(D50*D52)</f>
        <v>-5.5547228499529921E-2</v>
      </c>
      <c r="F54" s="25">
        <f>(F50*F52)</f>
        <v>0.14598986444005987</v>
      </c>
      <c r="H54" s="25">
        <f>(H50*H52)</f>
        <v>0.19082700834819286</v>
      </c>
    </row>
    <row r="55" spans="1:8" x14ac:dyDescent="0.3">
      <c r="A55" s="12"/>
    </row>
    <row r="56" spans="1:8" x14ac:dyDescent="0.3">
      <c r="A56" s="12"/>
    </row>
    <row r="57" spans="1:8" x14ac:dyDescent="0.3">
      <c r="A57" s="13" t="s">
        <v>91</v>
      </c>
      <c r="B57" s="10">
        <f>B65/B63</f>
        <v>8283063.044352998</v>
      </c>
      <c r="D57" s="10">
        <f>D65/D63</f>
        <v>7867084.7160130683</v>
      </c>
      <c r="F57" s="10">
        <f>F65/F63</f>
        <v>7066393.7624782864</v>
      </c>
      <c r="H57" s="10">
        <f>H65/H63</f>
        <v>4795244.1275039567</v>
      </c>
    </row>
    <row r="58" spans="1:8" x14ac:dyDescent="0.3">
      <c r="A58" s="13" t="s">
        <v>160</v>
      </c>
      <c r="B58" s="22">
        <f>(B69-B57)/B69</f>
        <v>-0.11339427175160842</v>
      </c>
      <c r="D58" s="22">
        <f>(D69-D57)/D69</f>
        <v>-2.5690078457192678E-2</v>
      </c>
      <c r="F58" s="22">
        <f>(F69-F57)/F69</f>
        <v>0.23956510892064337</v>
      </c>
      <c r="H58" s="22">
        <f>(H69-H57)/H69</f>
        <v>0.26602618403125616</v>
      </c>
    </row>
    <row r="59" spans="1:8" x14ac:dyDescent="0.3">
      <c r="B59" s="10"/>
      <c r="D59" s="10"/>
      <c r="F59" s="10"/>
      <c r="H59" s="10"/>
    </row>
    <row r="61" spans="1:8" x14ac:dyDescent="0.3">
      <c r="A61" s="2" t="s">
        <v>92</v>
      </c>
      <c r="B61" s="25">
        <f>Resultados!C18</f>
        <v>0.61755510368857969</v>
      </c>
      <c r="D61" s="25">
        <f>Resultados!E18</f>
        <v>0.59905349548400155</v>
      </c>
      <c r="F61" s="25">
        <f>Resultados!G18</f>
        <v>0.54660490253196825</v>
      </c>
      <c r="H61" s="25">
        <f>Resultados!I18</f>
        <v>0.60814508000659961</v>
      </c>
    </row>
    <row r="62" spans="1:8" x14ac:dyDescent="0.3">
      <c r="A62" s="2" t="s">
        <v>93</v>
      </c>
      <c r="B62" s="11">
        <f>B66/B69</f>
        <v>1.8503321333890928E-2</v>
      </c>
      <c r="D62" s="11">
        <f>D66/D69</f>
        <v>1.7334521728542031E-2</v>
      </c>
      <c r="F62" s="11">
        <f>F66/F69</f>
        <v>2.3869617260121628E-2</v>
      </c>
      <c r="H62" s="11">
        <f>H66/H69</f>
        <v>2.8343855630967967E-2</v>
      </c>
    </row>
    <row r="63" spans="1:8" x14ac:dyDescent="0.3">
      <c r="A63" s="2" t="s">
        <v>94</v>
      </c>
      <c r="B63" s="11">
        <f>1-(B61+B62)</f>
        <v>0.36394157497752944</v>
      </c>
      <c r="D63" s="11">
        <f>1-(D61+D62)</f>
        <v>0.38361198278745645</v>
      </c>
      <c r="F63" s="11">
        <f>1-(F61+F62)</f>
        <v>0.42952548020791015</v>
      </c>
      <c r="H63" s="11">
        <f>1-(H61+H62)</f>
        <v>0.36351106436243241</v>
      </c>
    </row>
    <row r="65" spans="1:9" x14ac:dyDescent="0.3">
      <c r="A65" s="14" t="s">
        <v>95</v>
      </c>
      <c r="B65" s="10">
        <f>'Comparativo Gts'!B58/(MONTH(B3))</f>
        <v>3014551.01</v>
      </c>
      <c r="C65" s="29">
        <f>B65/$B$67</f>
        <v>0.9563306129325797</v>
      </c>
      <c r="D65" s="10">
        <f>'Comparativo Gts'!C58/(MONTH(D3))</f>
        <v>3017907.9666666668</v>
      </c>
      <c r="E65" s="29">
        <f>D65/$D$67</f>
        <v>0.95780317108774737</v>
      </c>
      <c r="F65" s="10">
        <f>'Comparativo Gts'!E58/(MONTH(F3))</f>
        <v>3035196.1741666668</v>
      </c>
      <c r="G65" s="29">
        <f>F65/$D$67</f>
        <v>0.96328998518175446</v>
      </c>
      <c r="H65" s="10">
        <f>'Comparativo Gts'!G58/(MONTH(H3))</f>
        <v>1743124.2966666669</v>
      </c>
      <c r="I65" s="29">
        <f>H65/$D$67</f>
        <v>0.5532209720734137</v>
      </c>
    </row>
    <row r="66" spans="1:9" x14ac:dyDescent="0.3">
      <c r="A66" s="14" t="s">
        <v>106</v>
      </c>
      <c r="B66" s="10">
        <f>B67-B65</f>
        <v>137654.89999999991</v>
      </c>
      <c r="C66" s="29">
        <f>B66/$B$67</f>
        <v>4.3669387067420323E-2</v>
      </c>
      <c r="D66" s="10">
        <f>D67-D65</f>
        <v>132956.48833333328</v>
      </c>
      <c r="E66" s="29">
        <f>D66/$D$67</f>
        <v>4.2196828912252682E-2</v>
      </c>
      <c r="F66" s="10">
        <f>F67-F65</f>
        <v>221810.06750000035</v>
      </c>
      <c r="G66" s="29">
        <f>F66/$D$67</f>
        <v>7.0396575501055741E-2</v>
      </c>
      <c r="H66" s="10">
        <f>H67-H65</f>
        <v>185177.86916666664</v>
      </c>
      <c r="I66" s="29">
        <f>H66/$D$67</f>
        <v>5.8770496735527339E-2</v>
      </c>
    </row>
    <row r="67" spans="1:9" x14ac:dyDescent="0.3">
      <c r="A67" s="2" t="s">
        <v>96</v>
      </c>
      <c r="B67" s="9">
        <f>Resultados!B31/MONTH(B3)</f>
        <v>3152205.9099999997</v>
      </c>
      <c r="C67" s="41"/>
      <c r="D67" s="9">
        <f>Resultados!D31/MONTH(D3)</f>
        <v>3150864.4550000001</v>
      </c>
      <c r="E67" s="41"/>
      <c r="F67" s="9">
        <f>Resultados!F31/MONTH(F3)</f>
        <v>3257006.2416666672</v>
      </c>
      <c r="G67" s="41"/>
      <c r="H67" s="9">
        <f>Resultados!H31/MONTH(H3)</f>
        <v>1928302.1658333335</v>
      </c>
      <c r="I67" s="41"/>
    </row>
    <row r="69" spans="1:9" x14ac:dyDescent="0.3">
      <c r="A69" s="2" t="s">
        <v>107</v>
      </c>
      <c r="B69" s="9">
        <f>Resultados!B10/(MONTH(B3))</f>
        <v>7439469.7857767493</v>
      </c>
      <c r="D69" s="9">
        <f>Resultados!D10/(MONTH(D3))</f>
        <v>7670040.7669405006</v>
      </c>
      <c r="F69" s="9">
        <f>Resultados!F10/(MONTH(F3))</f>
        <v>9292569.0882598646</v>
      </c>
      <c r="H69" s="9">
        <f>Resultados!H10/(MONTH(H3))</f>
        <v>6533263.2079999996</v>
      </c>
    </row>
    <row r="72" spans="1:9" x14ac:dyDescent="0.3">
      <c r="B72" s="9"/>
    </row>
    <row r="73" spans="1:9" x14ac:dyDescent="0.3">
      <c r="B73" s="9"/>
    </row>
    <row r="74" spans="1:9" x14ac:dyDescent="0.3">
      <c r="B74" s="9"/>
    </row>
    <row r="76" spans="1:9" x14ac:dyDescent="0.3">
      <c r="B76" s="9"/>
    </row>
    <row r="79" spans="1:9" x14ac:dyDescent="0.3">
      <c r="B79" s="34"/>
    </row>
  </sheetData>
  <conditionalFormatting sqref="B6">
    <cfRule type="cellIs" dxfId="257" priority="322" operator="between">
      <formula>1.01</formula>
      <formula>1.99</formula>
    </cfRule>
    <cfRule type="cellIs" dxfId="256" priority="323" operator="lessThan">
      <formula>1</formula>
    </cfRule>
    <cfRule type="cellIs" dxfId="255" priority="324" operator="greaterThan">
      <formula>1.99</formula>
    </cfRule>
  </conditionalFormatting>
  <conditionalFormatting sqref="B8">
    <cfRule type="cellIs" dxfId="254" priority="307" operator="between">
      <formula>0.76</formula>
      <formula>0.99</formula>
    </cfRule>
    <cfRule type="cellIs" dxfId="253" priority="308" operator="lessThan">
      <formula>0.75</formula>
    </cfRule>
    <cfRule type="cellIs" dxfId="252" priority="309" operator="greaterThan">
      <formula>0.99</formula>
    </cfRule>
    <cfRule type="cellIs" dxfId="251" priority="310" operator="between">
      <formula>0.76</formula>
      <formula>0.99</formula>
    </cfRule>
    <cfRule type="cellIs" dxfId="250" priority="311" operator="lessThan">
      <formula>0.075</formula>
    </cfRule>
    <cfRule type="cellIs" dxfId="249" priority="312" operator="greaterThan">
      <formula>0.99</formula>
    </cfRule>
  </conditionalFormatting>
  <conditionalFormatting sqref="B12">
    <cfRule type="cellIs" dxfId="248" priority="303" operator="between">
      <formula>0.56</formula>
      <formula>1.5</formula>
    </cfRule>
    <cfRule type="cellIs" dxfId="247" priority="304" operator="between">
      <formula>0.56</formula>
      <formula>1.49</formula>
    </cfRule>
    <cfRule type="cellIs" dxfId="246" priority="305" operator="lessThan">
      <formula>0.55</formula>
    </cfRule>
    <cfRule type="cellIs" dxfId="245" priority="306" operator="greaterThan">
      <formula>1.5</formula>
    </cfRule>
  </conditionalFormatting>
  <conditionalFormatting sqref="B14">
    <cfRule type="cellIs" dxfId="244" priority="300" operator="lessThan">
      <formula>0.6</formula>
    </cfRule>
    <cfRule type="cellIs" dxfId="243" priority="301" operator="between">
      <formula>0.6</formula>
      <formula>0.99</formula>
    </cfRule>
    <cfRule type="cellIs" dxfId="242" priority="302" operator="greaterThan">
      <formula>0.99</formula>
    </cfRule>
  </conditionalFormatting>
  <conditionalFormatting sqref="B18 D18">
    <cfRule type="cellIs" dxfId="241" priority="285" operator="between">
      <formula>6000001</formula>
      <formula>94999999</formula>
    </cfRule>
    <cfRule type="cellIs" dxfId="240" priority="286" operator="lessThan">
      <formula>6000000</formula>
    </cfRule>
    <cfRule type="cellIs" dxfId="239" priority="287" operator="greaterThan">
      <formula>9500000</formula>
    </cfRule>
    <cfRule type="cellIs" dxfId="238" priority="297" operator="between">
      <formula>6000001</formula>
      <formula>93999999</formula>
    </cfRule>
    <cfRule type="cellIs" dxfId="237" priority="298" operator="lessThan">
      <formula>6000000</formula>
    </cfRule>
    <cfRule type="cellIs" dxfId="236" priority="299" operator="greaterThan">
      <formula>9000000</formula>
    </cfRule>
  </conditionalFormatting>
  <conditionalFormatting sqref="B18">
    <cfRule type="cellIs" dxfId="235" priority="270" operator="between">
      <formula>6000001</formula>
      <formula>9499999</formula>
    </cfRule>
    <cfRule type="cellIs" dxfId="234" priority="271" operator="lessThan">
      <formula>6000000</formula>
    </cfRule>
    <cfRule type="cellIs" dxfId="233" priority="272" operator="greaterThan">
      <formula>9500000</formula>
    </cfRule>
  </conditionalFormatting>
  <conditionalFormatting sqref="B22">
    <cfRule type="cellIs" dxfId="232" priority="246" operator="greaterThan">
      <formula>60</formula>
    </cfRule>
    <cfRule type="cellIs" dxfId="231" priority="247" operator="between">
      <formula>32</formula>
      <formula>59</formula>
    </cfRule>
    <cfRule type="cellIs" dxfId="230" priority="248" operator="lessThan">
      <formula>31</formula>
    </cfRule>
  </conditionalFormatting>
  <conditionalFormatting sqref="B24">
    <cfRule type="cellIs" dxfId="229" priority="239" operator="between">
      <formula>90</formula>
      <formula>120</formula>
    </cfRule>
    <cfRule type="cellIs" dxfId="228" priority="240" operator="lessThan">
      <formula>90</formula>
    </cfRule>
    <cfRule type="cellIs" dxfId="227" priority="241" operator="greaterThan">
      <formula>120</formula>
    </cfRule>
    <cfRule type="cellIs" dxfId="226" priority="242" operator="greaterThan">
      <formula>90</formula>
    </cfRule>
  </conditionalFormatting>
  <conditionalFormatting sqref="B28">
    <cfRule type="cellIs" dxfId="225" priority="236" operator="between">
      <formula>61</formula>
      <formula>89</formula>
    </cfRule>
    <cfRule type="cellIs" dxfId="224" priority="237" operator="lessThan">
      <formula>61</formula>
    </cfRule>
    <cfRule type="cellIs" dxfId="223" priority="238" operator="greaterThan">
      <formula>90</formula>
    </cfRule>
  </conditionalFormatting>
  <conditionalFormatting sqref="B36">
    <cfRule type="cellIs" dxfId="222" priority="217" operator="between">
      <formula>0.2</formula>
      <formula>0.35</formula>
    </cfRule>
    <cfRule type="cellIs" dxfId="221" priority="218" operator="lessThan">
      <formula>0.2</formula>
    </cfRule>
    <cfRule type="cellIs" dxfId="220" priority="219" operator="greaterThan">
      <formula>0.35</formula>
    </cfRule>
    <cfRule type="cellIs" dxfId="219" priority="232" operator="between">
      <formula>0.21</formula>
      <formula>0.29</formula>
    </cfRule>
    <cfRule type="cellIs" dxfId="218" priority="233" operator="between">
      <formula>0.21</formula>
      <formula>0.29</formula>
    </cfRule>
    <cfRule type="cellIs" dxfId="217" priority="234" operator="lessThan">
      <formula>0.2</formula>
    </cfRule>
    <cfRule type="cellIs" dxfId="216" priority="235" operator="greaterThan">
      <formula>0.3</formula>
    </cfRule>
  </conditionalFormatting>
  <conditionalFormatting sqref="B38">
    <cfRule type="cellIs" dxfId="215" priority="214" operator="between">
      <formula>0.1</formula>
      <formula>0.2</formula>
    </cfRule>
    <cfRule type="cellIs" dxfId="214" priority="215" operator="lessThan">
      <formula>0.1</formula>
    </cfRule>
    <cfRule type="cellIs" dxfId="213" priority="216" operator="greaterThan">
      <formula>0.2</formula>
    </cfRule>
  </conditionalFormatting>
  <conditionalFormatting sqref="B40">
    <cfRule type="cellIs" dxfId="212" priority="211" operator="between">
      <formula>0.05</formula>
      <formula>0.1</formula>
    </cfRule>
    <cfRule type="cellIs" dxfId="211" priority="212" operator="lessThan">
      <formula>0.05</formula>
    </cfRule>
    <cfRule type="cellIs" dxfId="210" priority="213" operator="greaterThan">
      <formula>0.1</formula>
    </cfRule>
  </conditionalFormatting>
  <conditionalFormatting sqref="B50">
    <cfRule type="cellIs" dxfId="209" priority="208" operator="between">
      <formula>0.05</formula>
      <formula>0.1</formula>
    </cfRule>
    <cfRule type="cellIs" dxfId="208" priority="209" operator="lessThan">
      <formula>0.05</formula>
    </cfRule>
    <cfRule type="cellIs" dxfId="207" priority="210" operator="greaterThan">
      <formula>0.1</formula>
    </cfRule>
  </conditionalFormatting>
  <conditionalFormatting sqref="B44">
    <cfRule type="cellIs" dxfId="206" priority="205" operator="between">
      <formula>0.1</formula>
      <formula>0.24</formula>
    </cfRule>
    <cfRule type="cellIs" dxfId="205" priority="206" operator="lessThan">
      <formula>0.1</formula>
    </cfRule>
    <cfRule type="cellIs" dxfId="204" priority="207" operator="greaterThan">
      <formula>0.24</formula>
    </cfRule>
  </conditionalFormatting>
  <conditionalFormatting sqref="B46">
    <cfRule type="cellIs" dxfId="203" priority="202" operator="between">
      <formula>0.05</formula>
      <formula>0.12</formula>
    </cfRule>
    <cfRule type="cellIs" dxfId="202" priority="203" operator="lessThan">
      <formula>0.05</formula>
    </cfRule>
    <cfRule type="cellIs" dxfId="201" priority="204" operator="greaterThan">
      <formula>0.12</formula>
    </cfRule>
  </conditionalFormatting>
  <conditionalFormatting sqref="B54">
    <cfRule type="cellIs" dxfId="200" priority="199" operator="between">
      <formula>0.05</formula>
      <formula>0.12</formula>
    </cfRule>
    <cfRule type="cellIs" dxfId="199" priority="200" operator="lessThan">
      <formula>0.05</formula>
    </cfRule>
    <cfRule type="cellIs" dxfId="198" priority="201" operator="greaterThan">
      <formula>0.12</formula>
    </cfRule>
  </conditionalFormatting>
  <conditionalFormatting sqref="B52">
    <cfRule type="cellIs" dxfId="197" priority="196" operator="between">
      <formula>0.75</formula>
      <formula>1.5</formula>
    </cfRule>
    <cfRule type="cellIs" dxfId="196" priority="197" operator="lessThan">
      <formula>0.75</formula>
    </cfRule>
    <cfRule type="cellIs" dxfId="195" priority="198" operator="greaterThan">
      <formula>1.5</formula>
    </cfRule>
  </conditionalFormatting>
  <conditionalFormatting sqref="B58">
    <cfRule type="cellIs" dxfId="194" priority="193" operator="between">
      <formula>0.08</formula>
      <formula>0.2</formula>
    </cfRule>
    <cfRule type="cellIs" dxfId="193" priority="194" operator="lessThan">
      <formula>0.08</formula>
    </cfRule>
    <cfRule type="cellIs" dxfId="192" priority="195" operator="greaterThan">
      <formula>0.2</formula>
    </cfRule>
  </conditionalFormatting>
  <conditionalFormatting sqref="D6">
    <cfRule type="cellIs" dxfId="191" priority="190" operator="between">
      <formula>1.01</formula>
      <formula>1.99</formula>
    </cfRule>
    <cfRule type="cellIs" dxfId="190" priority="191" operator="lessThan">
      <formula>1</formula>
    </cfRule>
    <cfRule type="cellIs" dxfId="189" priority="192" operator="greaterThan">
      <formula>1.99</formula>
    </cfRule>
  </conditionalFormatting>
  <conditionalFormatting sqref="D8">
    <cfRule type="cellIs" dxfId="188" priority="184" operator="between">
      <formula>0.76</formula>
      <formula>0.99</formula>
    </cfRule>
    <cfRule type="cellIs" dxfId="187" priority="185" operator="lessThan">
      <formula>0.75</formula>
    </cfRule>
    <cfRule type="cellIs" dxfId="186" priority="186" operator="greaterThan">
      <formula>0.99</formula>
    </cfRule>
    <cfRule type="cellIs" dxfId="185" priority="187" operator="between">
      <formula>0.76</formula>
      <formula>0.99</formula>
    </cfRule>
    <cfRule type="cellIs" dxfId="184" priority="188" operator="lessThan">
      <formula>0.075</formula>
    </cfRule>
    <cfRule type="cellIs" dxfId="183" priority="189" operator="greaterThan">
      <formula>0.99</formula>
    </cfRule>
  </conditionalFormatting>
  <conditionalFormatting sqref="D12">
    <cfRule type="cellIs" dxfId="182" priority="180" operator="between">
      <formula>0.56</formula>
      <formula>1.5</formula>
    </cfRule>
    <cfRule type="cellIs" dxfId="181" priority="181" operator="between">
      <formula>0.56</formula>
      <formula>1.49</formula>
    </cfRule>
    <cfRule type="cellIs" dxfId="180" priority="182" operator="lessThan">
      <formula>0.55</formula>
    </cfRule>
    <cfRule type="cellIs" dxfId="179" priority="183" operator="greaterThan">
      <formula>1.5</formula>
    </cfRule>
  </conditionalFormatting>
  <conditionalFormatting sqref="D14">
    <cfRule type="cellIs" dxfId="178" priority="177" operator="lessThan">
      <formula>0.6</formula>
    </cfRule>
    <cfRule type="cellIs" dxfId="177" priority="178" operator="between">
      <formula>0.6</formula>
      <formula>0.99</formula>
    </cfRule>
    <cfRule type="cellIs" dxfId="176" priority="179" operator="greaterThan">
      <formula>0.99</formula>
    </cfRule>
  </conditionalFormatting>
  <conditionalFormatting sqref="D18">
    <cfRule type="cellIs" dxfId="175" priority="174" operator="between">
      <formula>6000001</formula>
      <formula>9499999</formula>
    </cfRule>
    <cfRule type="cellIs" dxfId="174" priority="175" operator="lessThan">
      <formula>6000000</formula>
    </cfRule>
    <cfRule type="cellIs" dxfId="173" priority="176" operator="greaterThan">
      <formula>9500000</formula>
    </cfRule>
  </conditionalFormatting>
  <conditionalFormatting sqref="D22">
    <cfRule type="cellIs" dxfId="172" priority="171" operator="greaterThan">
      <formula>60</formula>
    </cfRule>
    <cfRule type="cellIs" dxfId="171" priority="172" operator="between">
      <formula>32</formula>
      <formula>59</formula>
    </cfRule>
    <cfRule type="cellIs" dxfId="170" priority="173" operator="lessThan">
      <formula>31</formula>
    </cfRule>
  </conditionalFormatting>
  <conditionalFormatting sqref="D24">
    <cfRule type="cellIs" dxfId="169" priority="167" operator="between">
      <formula>90</formula>
      <formula>120</formula>
    </cfRule>
    <cfRule type="cellIs" dxfId="168" priority="168" operator="lessThan">
      <formula>90</formula>
    </cfRule>
    <cfRule type="cellIs" dxfId="167" priority="169" operator="greaterThan">
      <formula>120</formula>
    </cfRule>
    <cfRule type="cellIs" dxfId="166" priority="170" operator="greaterThan">
      <formula>90</formula>
    </cfRule>
  </conditionalFormatting>
  <conditionalFormatting sqref="D28">
    <cfRule type="cellIs" dxfId="165" priority="164" operator="between">
      <formula>61</formula>
      <formula>89</formula>
    </cfRule>
    <cfRule type="cellIs" dxfId="164" priority="165" operator="lessThan">
      <formula>61</formula>
    </cfRule>
    <cfRule type="cellIs" dxfId="163" priority="166" operator="greaterThan">
      <formula>90</formula>
    </cfRule>
  </conditionalFormatting>
  <conditionalFormatting sqref="D36">
    <cfRule type="cellIs" dxfId="162" priority="157" operator="between">
      <formula>0.2</formula>
      <formula>0.35</formula>
    </cfRule>
    <cfRule type="cellIs" dxfId="161" priority="158" operator="lessThan">
      <formula>0.2</formula>
    </cfRule>
    <cfRule type="cellIs" dxfId="160" priority="159" operator="greaterThan">
      <formula>0.35</formula>
    </cfRule>
    <cfRule type="cellIs" dxfId="159" priority="160" operator="between">
      <formula>0.21</formula>
      <formula>0.29</formula>
    </cfRule>
    <cfRule type="cellIs" dxfId="158" priority="161" operator="between">
      <formula>0.21</formula>
      <formula>0.29</formula>
    </cfRule>
    <cfRule type="cellIs" dxfId="157" priority="162" operator="lessThan">
      <formula>0.2</formula>
    </cfRule>
    <cfRule type="cellIs" dxfId="156" priority="163" operator="greaterThan">
      <formula>0.3</formula>
    </cfRule>
  </conditionalFormatting>
  <conditionalFormatting sqref="D38">
    <cfRule type="cellIs" dxfId="155" priority="154" operator="between">
      <formula>0.1</formula>
      <formula>0.2</formula>
    </cfRule>
    <cfRule type="cellIs" dxfId="154" priority="155" operator="lessThan">
      <formula>0.1</formula>
    </cfRule>
    <cfRule type="cellIs" dxfId="153" priority="156" operator="greaterThan">
      <formula>0.2</formula>
    </cfRule>
  </conditionalFormatting>
  <conditionalFormatting sqref="D40">
    <cfRule type="cellIs" dxfId="152" priority="151" operator="between">
      <formula>0.05</formula>
      <formula>0.1</formula>
    </cfRule>
    <cfRule type="cellIs" dxfId="151" priority="152" operator="lessThan">
      <formula>0.05</formula>
    </cfRule>
    <cfRule type="cellIs" dxfId="150" priority="153" operator="greaterThan">
      <formula>0.1</formula>
    </cfRule>
  </conditionalFormatting>
  <conditionalFormatting sqref="D50">
    <cfRule type="cellIs" dxfId="149" priority="148" operator="between">
      <formula>0.05</formula>
      <formula>0.1</formula>
    </cfRule>
    <cfRule type="cellIs" dxfId="148" priority="149" operator="lessThan">
      <formula>0.05</formula>
    </cfRule>
    <cfRule type="cellIs" dxfId="147" priority="150" operator="greaterThan">
      <formula>0.1</formula>
    </cfRule>
  </conditionalFormatting>
  <conditionalFormatting sqref="D44">
    <cfRule type="cellIs" dxfId="146" priority="145" operator="between">
      <formula>0.1</formula>
      <formula>0.24</formula>
    </cfRule>
    <cfRule type="cellIs" dxfId="145" priority="146" operator="lessThan">
      <formula>0.1</formula>
    </cfRule>
    <cfRule type="cellIs" dxfId="144" priority="147" operator="greaterThan">
      <formula>0.24</formula>
    </cfRule>
  </conditionalFormatting>
  <conditionalFormatting sqref="D46">
    <cfRule type="cellIs" dxfId="143" priority="142" operator="between">
      <formula>0.05</formula>
      <formula>0.12</formula>
    </cfRule>
    <cfRule type="cellIs" dxfId="142" priority="143" operator="lessThan">
      <formula>0.05</formula>
    </cfRule>
    <cfRule type="cellIs" dxfId="141" priority="144" operator="greaterThan">
      <formula>0.12</formula>
    </cfRule>
  </conditionalFormatting>
  <conditionalFormatting sqref="D54">
    <cfRule type="cellIs" dxfId="140" priority="139" operator="between">
      <formula>0.05</formula>
      <formula>0.12</formula>
    </cfRule>
    <cfRule type="cellIs" dxfId="139" priority="140" operator="lessThan">
      <formula>0.05</formula>
    </cfRule>
    <cfRule type="cellIs" dxfId="138" priority="141" operator="greaterThan">
      <formula>0.12</formula>
    </cfRule>
  </conditionalFormatting>
  <conditionalFormatting sqref="D52">
    <cfRule type="cellIs" dxfId="137" priority="136" operator="between">
      <formula>0.75</formula>
      <formula>1.5</formula>
    </cfRule>
    <cfRule type="cellIs" dxfId="136" priority="137" operator="lessThan">
      <formula>0.75</formula>
    </cfRule>
    <cfRule type="cellIs" dxfId="135" priority="138" operator="greaterThan">
      <formula>1.5</formula>
    </cfRule>
  </conditionalFormatting>
  <conditionalFormatting sqref="D58">
    <cfRule type="cellIs" dxfId="134" priority="133" operator="between">
      <formula>0.08</formula>
      <formula>0.2</formula>
    </cfRule>
    <cfRule type="cellIs" dxfId="133" priority="134" operator="lessThan">
      <formula>0.08</formula>
    </cfRule>
    <cfRule type="cellIs" dxfId="132" priority="135" operator="greaterThan">
      <formula>0.2</formula>
    </cfRule>
  </conditionalFormatting>
  <conditionalFormatting sqref="F18">
    <cfRule type="cellIs" dxfId="131" priority="127" operator="between">
      <formula>6000001</formula>
      <formula>94999999</formula>
    </cfRule>
    <cfRule type="cellIs" dxfId="130" priority="128" operator="lessThan">
      <formula>6000000</formula>
    </cfRule>
    <cfRule type="cellIs" dxfId="129" priority="129" operator="greaterThan">
      <formula>9500000</formula>
    </cfRule>
    <cfRule type="cellIs" dxfId="128" priority="130" operator="between">
      <formula>6000001</formula>
      <formula>93999999</formula>
    </cfRule>
    <cfRule type="cellIs" dxfId="127" priority="131" operator="lessThan">
      <formula>6000000</formula>
    </cfRule>
    <cfRule type="cellIs" dxfId="126" priority="132" operator="greaterThan">
      <formula>9000000</formula>
    </cfRule>
  </conditionalFormatting>
  <conditionalFormatting sqref="F6">
    <cfRule type="cellIs" dxfId="125" priority="124" operator="between">
      <formula>1.01</formula>
      <formula>1.99</formula>
    </cfRule>
    <cfRule type="cellIs" dxfId="124" priority="125" operator="lessThan">
      <formula>1</formula>
    </cfRule>
    <cfRule type="cellIs" dxfId="123" priority="126" operator="greaterThan">
      <formula>1.99</formula>
    </cfRule>
  </conditionalFormatting>
  <conditionalFormatting sqref="F8">
    <cfRule type="cellIs" dxfId="122" priority="118" operator="between">
      <formula>0.76</formula>
      <formula>0.99</formula>
    </cfRule>
    <cfRule type="cellIs" dxfId="121" priority="119" operator="lessThan">
      <formula>0.75</formula>
    </cfRule>
    <cfRule type="cellIs" dxfId="120" priority="120" operator="greaterThan">
      <formula>0.99</formula>
    </cfRule>
    <cfRule type="cellIs" dxfId="119" priority="121" operator="between">
      <formula>0.76</formula>
      <formula>0.99</formula>
    </cfRule>
    <cfRule type="cellIs" dxfId="118" priority="122" operator="lessThan">
      <formula>0.075</formula>
    </cfRule>
    <cfRule type="cellIs" dxfId="117" priority="123" operator="greaterThan">
      <formula>0.99</formula>
    </cfRule>
  </conditionalFormatting>
  <conditionalFormatting sqref="F12">
    <cfRule type="cellIs" dxfId="116" priority="114" operator="between">
      <formula>0.56</formula>
      <formula>1.5</formula>
    </cfRule>
    <cfRule type="cellIs" dxfId="115" priority="115" operator="between">
      <formula>0.56</formula>
      <formula>1.49</formula>
    </cfRule>
    <cfRule type="cellIs" dxfId="114" priority="116" operator="lessThan">
      <formula>0.55</formula>
    </cfRule>
    <cfRule type="cellIs" dxfId="113" priority="117" operator="greaterThan">
      <formula>1.5</formula>
    </cfRule>
  </conditionalFormatting>
  <conditionalFormatting sqref="F14">
    <cfRule type="cellIs" dxfId="112" priority="111" operator="lessThan">
      <formula>0.6</formula>
    </cfRule>
    <cfRule type="cellIs" dxfId="111" priority="112" operator="between">
      <formula>0.6</formula>
      <formula>0.99</formula>
    </cfRule>
    <cfRule type="cellIs" dxfId="110" priority="113" operator="greaterThan">
      <formula>0.99</formula>
    </cfRule>
  </conditionalFormatting>
  <conditionalFormatting sqref="F18">
    <cfRule type="cellIs" dxfId="109" priority="108" operator="between">
      <formula>6000001</formula>
      <formula>9499999</formula>
    </cfRule>
    <cfRule type="cellIs" dxfId="108" priority="109" operator="lessThan">
      <formula>6000000</formula>
    </cfRule>
    <cfRule type="cellIs" dxfId="107" priority="110" operator="greaterThan">
      <formula>9500000</formula>
    </cfRule>
  </conditionalFormatting>
  <conditionalFormatting sqref="F22">
    <cfRule type="cellIs" dxfId="106" priority="105" operator="greaterThan">
      <formula>60</formula>
    </cfRule>
    <cfRule type="cellIs" dxfId="105" priority="106" operator="between">
      <formula>32</formula>
      <formula>59</formula>
    </cfRule>
    <cfRule type="cellIs" dxfId="104" priority="107" operator="lessThan">
      <formula>31</formula>
    </cfRule>
  </conditionalFormatting>
  <conditionalFormatting sqref="F24">
    <cfRule type="cellIs" dxfId="103" priority="101" operator="between">
      <formula>90</formula>
      <formula>120</formula>
    </cfRule>
    <cfRule type="cellIs" dxfId="102" priority="102" operator="lessThan">
      <formula>90</formula>
    </cfRule>
    <cfRule type="cellIs" dxfId="101" priority="103" operator="greaterThan">
      <formula>120</formula>
    </cfRule>
    <cfRule type="cellIs" dxfId="100" priority="104" operator="greaterThan">
      <formula>90</formula>
    </cfRule>
  </conditionalFormatting>
  <conditionalFormatting sqref="F28">
    <cfRule type="cellIs" dxfId="99" priority="98" operator="between">
      <formula>61</formula>
      <formula>89</formula>
    </cfRule>
    <cfRule type="cellIs" dxfId="98" priority="99" operator="lessThan">
      <formula>61</formula>
    </cfRule>
    <cfRule type="cellIs" dxfId="97" priority="100" operator="greaterThan">
      <formula>90</formula>
    </cfRule>
  </conditionalFormatting>
  <conditionalFormatting sqref="F36">
    <cfRule type="cellIs" dxfId="96" priority="91" operator="between">
      <formula>0.2</formula>
      <formula>0.35</formula>
    </cfRule>
    <cfRule type="cellIs" dxfId="95" priority="92" operator="lessThan">
      <formula>0.2</formula>
    </cfRule>
    <cfRule type="cellIs" dxfId="94" priority="93" operator="greaterThan">
      <formula>0.35</formula>
    </cfRule>
    <cfRule type="cellIs" dxfId="93" priority="94" operator="between">
      <formula>0.21</formula>
      <formula>0.29</formula>
    </cfRule>
    <cfRule type="cellIs" dxfId="92" priority="95" operator="between">
      <formula>0.21</formula>
      <formula>0.29</formula>
    </cfRule>
    <cfRule type="cellIs" dxfId="91" priority="96" operator="lessThan">
      <formula>0.2</formula>
    </cfRule>
    <cfRule type="cellIs" dxfId="90" priority="97" operator="greaterThan">
      <formula>0.3</formula>
    </cfRule>
  </conditionalFormatting>
  <conditionalFormatting sqref="F38">
    <cfRule type="cellIs" dxfId="89" priority="88" operator="between">
      <formula>0.1</formula>
      <formula>0.2</formula>
    </cfRule>
    <cfRule type="cellIs" dxfId="88" priority="89" operator="lessThan">
      <formula>0.1</formula>
    </cfRule>
    <cfRule type="cellIs" dxfId="87" priority="90" operator="greaterThan">
      <formula>0.2</formula>
    </cfRule>
  </conditionalFormatting>
  <conditionalFormatting sqref="F40">
    <cfRule type="cellIs" dxfId="86" priority="85" operator="between">
      <formula>0.05</formula>
      <formula>0.1</formula>
    </cfRule>
    <cfRule type="cellIs" dxfId="85" priority="86" operator="lessThan">
      <formula>0.05</formula>
    </cfRule>
    <cfRule type="cellIs" dxfId="84" priority="87" operator="greaterThan">
      <formula>0.1</formula>
    </cfRule>
  </conditionalFormatting>
  <conditionalFormatting sqref="F50">
    <cfRule type="cellIs" dxfId="83" priority="82" operator="between">
      <formula>0.05</formula>
      <formula>0.1</formula>
    </cfRule>
    <cfRule type="cellIs" dxfId="82" priority="83" operator="lessThan">
      <formula>0.05</formula>
    </cfRule>
    <cfRule type="cellIs" dxfId="81" priority="84" operator="greaterThan">
      <formula>0.1</formula>
    </cfRule>
  </conditionalFormatting>
  <conditionalFormatting sqref="F44">
    <cfRule type="cellIs" dxfId="80" priority="79" operator="between">
      <formula>0.1</formula>
      <formula>0.24</formula>
    </cfRule>
    <cfRule type="cellIs" dxfId="79" priority="80" operator="lessThan">
      <formula>0.1</formula>
    </cfRule>
    <cfRule type="cellIs" dxfId="78" priority="81" operator="greaterThan">
      <formula>0.24</formula>
    </cfRule>
  </conditionalFormatting>
  <conditionalFormatting sqref="F46">
    <cfRule type="cellIs" dxfId="77" priority="76" operator="between">
      <formula>0.05</formula>
      <formula>0.12</formula>
    </cfRule>
    <cfRule type="cellIs" dxfId="76" priority="77" operator="lessThan">
      <formula>0.05</formula>
    </cfRule>
    <cfRule type="cellIs" dxfId="75" priority="78" operator="greaterThan">
      <formula>0.12</formula>
    </cfRule>
  </conditionalFormatting>
  <conditionalFormatting sqref="F54">
    <cfRule type="cellIs" dxfId="74" priority="73" operator="between">
      <formula>0.05</formula>
      <formula>0.12</formula>
    </cfRule>
    <cfRule type="cellIs" dxfId="73" priority="74" operator="lessThan">
      <formula>0.05</formula>
    </cfRule>
    <cfRule type="cellIs" dxfId="72" priority="75" operator="greaterThan">
      <formula>0.12</formula>
    </cfRule>
  </conditionalFormatting>
  <conditionalFormatting sqref="F52">
    <cfRule type="cellIs" dxfId="71" priority="70" operator="between">
      <formula>0.75</formula>
      <formula>1.5</formula>
    </cfRule>
    <cfRule type="cellIs" dxfId="70" priority="71" operator="lessThan">
      <formula>0.75</formula>
    </cfRule>
    <cfRule type="cellIs" dxfId="69" priority="72" operator="greaterThan">
      <formula>1.5</formula>
    </cfRule>
  </conditionalFormatting>
  <conditionalFormatting sqref="F58">
    <cfRule type="cellIs" dxfId="68" priority="67" operator="between">
      <formula>0.08</formula>
      <formula>0.2</formula>
    </cfRule>
    <cfRule type="cellIs" dxfId="67" priority="68" operator="lessThan">
      <formula>0.08</formula>
    </cfRule>
    <cfRule type="cellIs" dxfId="66" priority="69" operator="greaterThan">
      <formula>0.2</formula>
    </cfRule>
  </conditionalFormatting>
  <conditionalFormatting sqref="H18">
    <cfRule type="cellIs" dxfId="65" priority="61" operator="between">
      <formula>6000001</formula>
      <formula>94999999</formula>
    </cfRule>
    <cfRule type="cellIs" dxfId="64" priority="62" operator="lessThan">
      <formula>6000000</formula>
    </cfRule>
    <cfRule type="cellIs" dxfId="63" priority="63" operator="greaterThan">
      <formula>9500000</formula>
    </cfRule>
    <cfRule type="cellIs" dxfId="62" priority="64" operator="between">
      <formula>6000001</formula>
      <formula>93999999</formula>
    </cfRule>
    <cfRule type="cellIs" dxfId="61" priority="65" operator="lessThan">
      <formula>6000000</formula>
    </cfRule>
    <cfRule type="cellIs" dxfId="60" priority="66" operator="greaterThan">
      <formula>9000000</formula>
    </cfRule>
  </conditionalFormatting>
  <conditionalFormatting sqref="H6">
    <cfRule type="cellIs" dxfId="59" priority="58" operator="between">
      <formula>1.01</formula>
      <formula>1.99</formula>
    </cfRule>
    <cfRule type="cellIs" dxfId="58" priority="59" operator="lessThan">
      <formula>1</formula>
    </cfRule>
    <cfRule type="cellIs" dxfId="57" priority="60" operator="greaterThan">
      <formula>1.99</formula>
    </cfRule>
  </conditionalFormatting>
  <conditionalFormatting sqref="H8">
    <cfRule type="cellIs" dxfId="56" priority="52" operator="between">
      <formula>0.76</formula>
      <formula>0.99</formula>
    </cfRule>
    <cfRule type="cellIs" dxfId="55" priority="53" operator="lessThan">
      <formula>0.75</formula>
    </cfRule>
    <cfRule type="cellIs" dxfId="54" priority="54" operator="greaterThan">
      <formula>0.99</formula>
    </cfRule>
    <cfRule type="cellIs" dxfId="53" priority="55" operator="between">
      <formula>0.76</formula>
      <formula>0.99</formula>
    </cfRule>
    <cfRule type="cellIs" dxfId="52" priority="56" operator="lessThan">
      <formula>0.075</formula>
    </cfRule>
    <cfRule type="cellIs" dxfId="51" priority="57" operator="greaterThan">
      <formula>0.99</formula>
    </cfRule>
  </conditionalFormatting>
  <conditionalFormatting sqref="H12">
    <cfRule type="cellIs" dxfId="50" priority="48" operator="between">
      <formula>0.56</formula>
      <formula>1.5</formula>
    </cfRule>
    <cfRule type="cellIs" dxfId="49" priority="49" operator="between">
      <formula>0.56</formula>
      <formula>1.49</formula>
    </cfRule>
    <cfRule type="cellIs" dxfId="48" priority="50" operator="lessThan">
      <formula>0.55</formula>
    </cfRule>
    <cfRule type="cellIs" dxfId="47" priority="51" operator="greaterThan">
      <formula>1.5</formula>
    </cfRule>
  </conditionalFormatting>
  <conditionalFormatting sqref="H14">
    <cfRule type="cellIs" dxfId="46" priority="45" operator="lessThan">
      <formula>0.6</formula>
    </cfRule>
    <cfRule type="cellIs" dxfId="45" priority="46" operator="between">
      <formula>0.6</formula>
      <formula>0.99</formula>
    </cfRule>
    <cfRule type="cellIs" dxfId="44" priority="47" operator="greaterThan">
      <formula>0.99</formula>
    </cfRule>
  </conditionalFormatting>
  <conditionalFormatting sqref="H18">
    <cfRule type="cellIs" dxfId="43" priority="42" operator="between">
      <formula>6000001</formula>
      <formula>9499999</formula>
    </cfRule>
    <cfRule type="cellIs" dxfId="42" priority="43" operator="lessThan">
      <formula>6000000</formula>
    </cfRule>
    <cfRule type="cellIs" dxfId="41" priority="44" operator="greaterThan">
      <formula>9500000</formula>
    </cfRule>
  </conditionalFormatting>
  <conditionalFormatting sqref="H22">
    <cfRule type="cellIs" dxfId="40" priority="39" operator="greaterThan">
      <formula>60</formula>
    </cfRule>
    <cfRule type="cellIs" dxfId="39" priority="40" operator="between">
      <formula>32</formula>
      <formula>59</formula>
    </cfRule>
    <cfRule type="cellIs" dxfId="38" priority="41" operator="lessThan">
      <formula>31</formula>
    </cfRule>
  </conditionalFormatting>
  <conditionalFormatting sqref="H24">
    <cfRule type="cellIs" dxfId="37" priority="35" operator="between">
      <formula>90</formula>
      <formula>120</formula>
    </cfRule>
    <cfRule type="cellIs" dxfId="36" priority="36" operator="lessThan">
      <formula>90</formula>
    </cfRule>
    <cfRule type="cellIs" dxfId="35" priority="37" operator="greaterThan">
      <formula>120</formula>
    </cfRule>
    <cfRule type="cellIs" dxfId="34" priority="38" operator="greaterThan">
      <formula>90</formula>
    </cfRule>
  </conditionalFormatting>
  <conditionalFormatting sqref="H28">
    <cfRule type="cellIs" dxfId="33" priority="32" operator="between">
      <formula>61</formula>
      <formula>89</formula>
    </cfRule>
    <cfRule type="cellIs" dxfId="32" priority="33" operator="lessThan">
      <formula>61</formula>
    </cfRule>
    <cfRule type="cellIs" dxfId="31" priority="34" operator="greaterThan">
      <formula>90</formula>
    </cfRule>
  </conditionalFormatting>
  <conditionalFormatting sqref="H36">
    <cfRule type="cellIs" dxfId="30" priority="25" operator="between">
      <formula>0.2</formula>
      <formula>0.35</formula>
    </cfRule>
    <cfRule type="cellIs" dxfId="29" priority="26" operator="lessThan">
      <formula>0.2</formula>
    </cfRule>
    <cfRule type="cellIs" dxfId="28" priority="27" operator="greaterThan">
      <formula>0.35</formula>
    </cfRule>
    <cfRule type="cellIs" dxfId="27" priority="28" operator="between">
      <formula>0.21</formula>
      <formula>0.29</formula>
    </cfRule>
    <cfRule type="cellIs" dxfId="26" priority="29" operator="between">
      <formula>0.21</formula>
      <formula>0.29</formula>
    </cfRule>
    <cfRule type="cellIs" dxfId="25" priority="30" operator="lessThan">
      <formula>0.2</formula>
    </cfRule>
    <cfRule type="cellIs" dxfId="24" priority="31" operator="greaterThan">
      <formula>0.3</formula>
    </cfRule>
  </conditionalFormatting>
  <conditionalFormatting sqref="H38">
    <cfRule type="cellIs" dxfId="23" priority="22" operator="between">
      <formula>0.1</formula>
      <formula>0.2</formula>
    </cfRule>
    <cfRule type="cellIs" dxfId="22" priority="23" operator="lessThan">
      <formula>0.1</formula>
    </cfRule>
    <cfRule type="cellIs" dxfId="21" priority="24" operator="greaterThan">
      <formula>0.2</formula>
    </cfRule>
  </conditionalFormatting>
  <conditionalFormatting sqref="H40">
    <cfRule type="cellIs" dxfId="20" priority="19" operator="between">
      <formula>0.05</formula>
      <formula>0.1</formula>
    </cfRule>
    <cfRule type="cellIs" dxfId="19" priority="20" operator="lessThan">
      <formula>0.05</formula>
    </cfRule>
    <cfRule type="cellIs" dxfId="18" priority="21" operator="greaterThan">
      <formula>0.1</formula>
    </cfRule>
  </conditionalFormatting>
  <conditionalFormatting sqref="H50">
    <cfRule type="cellIs" dxfId="17" priority="16" operator="between">
      <formula>0.05</formula>
      <formula>0.1</formula>
    </cfRule>
    <cfRule type="cellIs" dxfId="16" priority="17" operator="lessThan">
      <formula>0.05</formula>
    </cfRule>
    <cfRule type="cellIs" dxfId="15" priority="18" operator="greaterThan">
      <formula>0.1</formula>
    </cfRule>
  </conditionalFormatting>
  <conditionalFormatting sqref="H44">
    <cfRule type="cellIs" dxfId="14" priority="13" operator="between">
      <formula>0.1</formula>
      <formula>0.24</formula>
    </cfRule>
    <cfRule type="cellIs" dxfId="13" priority="14" operator="lessThan">
      <formula>0.1</formula>
    </cfRule>
    <cfRule type="cellIs" dxfId="12" priority="15" operator="greaterThan">
      <formula>0.24</formula>
    </cfRule>
  </conditionalFormatting>
  <conditionalFormatting sqref="H46">
    <cfRule type="cellIs" dxfId="11" priority="10" operator="between">
      <formula>0.05</formula>
      <formula>0.12</formula>
    </cfRule>
    <cfRule type="cellIs" dxfId="10" priority="11" operator="lessThan">
      <formula>0.05</formula>
    </cfRule>
    <cfRule type="cellIs" dxfId="9" priority="12" operator="greaterThan">
      <formula>0.12</formula>
    </cfRule>
  </conditionalFormatting>
  <conditionalFormatting sqref="H54">
    <cfRule type="cellIs" dxfId="8" priority="7" operator="between">
      <formula>0.05</formula>
      <formula>0.12</formula>
    </cfRule>
    <cfRule type="cellIs" dxfId="7" priority="8" operator="lessThan">
      <formula>0.05</formula>
    </cfRule>
    <cfRule type="cellIs" dxfId="6" priority="9" operator="greaterThan">
      <formula>0.12</formula>
    </cfRule>
  </conditionalFormatting>
  <conditionalFormatting sqref="H52">
    <cfRule type="cellIs" dxfId="5" priority="4" operator="between">
      <formula>0.75</formula>
      <formula>1.5</formula>
    </cfRule>
    <cfRule type="cellIs" dxfId="4" priority="5" operator="lessThan">
      <formula>0.75</formula>
    </cfRule>
    <cfRule type="cellIs" dxfId="3" priority="6" operator="greaterThan">
      <formula>1.5</formula>
    </cfRule>
  </conditionalFormatting>
  <conditionalFormatting sqref="H58">
    <cfRule type="cellIs" dxfId="2" priority="1" operator="between">
      <formula>0.08</formula>
      <formula>0.2</formula>
    </cfRule>
    <cfRule type="cellIs" dxfId="1" priority="2" operator="lessThan">
      <formula>0.08</formula>
    </cfRule>
    <cfRule type="cellIs" dxfId="0" priority="3" operator="greaterThan">
      <formula>0.2</formula>
    </cfRule>
  </conditionalFormatting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F11"/>
  <sheetViews>
    <sheetView showGridLines="0" workbookViewId="0">
      <selection activeCell="C32" sqref="C32"/>
    </sheetView>
  </sheetViews>
  <sheetFormatPr baseColWidth="10" defaultColWidth="11" defaultRowHeight="14.4" x14ac:dyDescent="0.3"/>
  <cols>
    <col min="1" max="1" width="11" style="44"/>
    <col min="2" max="2" width="10.88671875" style="44" bestFit="1" customWidth="1"/>
    <col min="3" max="3" width="45.5546875" style="44" bestFit="1" customWidth="1"/>
    <col min="4" max="4" width="13.109375" style="45" bestFit="1" customWidth="1"/>
    <col min="5" max="5" width="11" style="44"/>
    <col min="6" max="6" width="13.109375" style="44" bestFit="1" customWidth="1"/>
    <col min="7" max="7" width="11.5546875" style="44" bestFit="1" customWidth="1"/>
    <col min="8" max="16384" width="11" style="44"/>
  </cols>
  <sheetData>
    <row r="3" spans="2:6" x14ac:dyDescent="0.3">
      <c r="B3" s="46" t="s">
        <v>136</v>
      </c>
      <c r="C3" s="47"/>
      <c r="D3" s="48"/>
      <c r="E3" s="49"/>
    </row>
    <row r="4" spans="2:6" x14ac:dyDescent="0.3">
      <c r="B4" s="122" t="s">
        <v>200</v>
      </c>
      <c r="C4" s="50"/>
      <c r="D4" s="51"/>
      <c r="E4" s="52"/>
    </row>
    <row r="6" spans="2:6" ht="28.8" x14ac:dyDescent="0.3">
      <c r="B6" s="53" t="s">
        <v>192</v>
      </c>
      <c r="C6" s="53" t="s">
        <v>137</v>
      </c>
      <c r="D6" s="54" t="s">
        <v>138</v>
      </c>
      <c r="E6" s="53" t="s">
        <v>139</v>
      </c>
    </row>
    <row r="8" spans="2:6" x14ac:dyDescent="0.3">
      <c r="B8" s="44" t="s">
        <v>140</v>
      </c>
      <c r="C8" s="44" t="s">
        <v>141</v>
      </c>
      <c r="D8" s="45">
        <v>-723751.85</v>
      </c>
      <c r="E8" s="44" t="s">
        <v>97</v>
      </c>
    </row>
    <row r="9" spans="2:6" x14ac:dyDescent="0.3">
      <c r="B9" s="123">
        <v>21304000</v>
      </c>
      <c r="C9" s="120" t="s">
        <v>201</v>
      </c>
      <c r="D9" s="45">
        <v>-615039.65</v>
      </c>
      <c r="E9" s="44" t="s">
        <v>97</v>
      </c>
      <c r="F9" s="44" t="s">
        <v>144</v>
      </c>
    </row>
    <row r="11" spans="2:6" x14ac:dyDescent="0.3">
      <c r="C11" s="55" t="s">
        <v>142</v>
      </c>
      <c r="D11" s="56">
        <f>SUM(D8:D9)</f>
        <v>-1338791.5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AH44"/>
  <sheetViews>
    <sheetView workbookViewId="0">
      <selection activeCell="C32" sqref="C32"/>
    </sheetView>
  </sheetViews>
  <sheetFormatPr baseColWidth="10" defaultRowHeight="14.4" x14ac:dyDescent="0.3"/>
  <cols>
    <col min="1" max="1" width="16.44140625" bestFit="1" customWidth="1"/>
    <col min="2" max="2" width="12.5546875" customWidth="1"/>
    <col min="3" max="13" width="12.109375" customWidth="1"/>
    <col min="14" max="28" width="12.109375" bestFit="1" customWidth="1"/>
    <col min="29" max="34" width="11.5546875" bestFit="1" customWidth="1"/>
  </cols>
  <sheetData>
    <row r="2" spans="1:34" x14ac:dyDescent="0.3">
      <c r="A2" s="57" t="s">
        <v>145</v>
      </c>
    </row>
    <row r="3" spans="1:34" x14ac:dyDescent="0.3">
      <c r="A3" t="s">
        <v>146</v>
      </c>
      <c r="B3">
        <v>5000000</v>
      </c>
      <c r="C3" s="65">
        <v>42705</v>
      </c>
    </row>
    <row r="4" spans="1:34" x14ac:dyDescent="0.3">
      <c r="A4" t="s">
        <v>147</v>
      </c>
      <c r="B4" s="58">
        <v>9.7500000000000003E-2</v>
      </c>
      <c r="F4" t="s">
        <v>148</v>
      </c>
    </row>
    <row r="5" spans="1:34" x14ac:dyDescent="0.3">
      <c r="A5" t="s">
        <v>149</v>
      </c>
      <c r="B5">
        <v>36</v>
      </c>
    </row>
    <row r="6" spans="1:34" x14ac:dyDescent="0.3">
      <c r="B6" t="s">
        <v>150</v>
      </c>
      <c r="C6" s="40">
        <v>5</v>
      </c>
      <c r="D6" s="40">
        <v>6</v>
      </c>
      <c r="E6" s="40">
        <v>7</v>
      </c>
      <c r="F6" s="40">
        <v>8</v>
      </c>
      <c r="G6" s="40">
        <v>9</v>
      </c>
      <c r="H6" s="40">
        <v>10</v>
      </c>
      <c r="I6" s="40">
        <v>11</v>
      </c>
      <c r="J6" s="40">
        <v>12</v>
      </c>
      <c r="K6" s="40">
        <v>13</v>
      </c>
      <c r="L6" s="40">
        <v>14</v>
      </c>
      <c r="M6" s="40">
        <v>15</v>
      </c>
      <c r="N6" s="40">
        <v>16</v>
      </c>
      <c r="O6" s="40">
        <v>17</v>
      </c>
      <c r="P6" s="40">
        <v>18</v>
      </c>
      <c r="Q6" s="40">
        <v>19</v>
      </c>
      <c r="R6" s="40">
        <v>20</v>
      </c>
      <c r="S6" s="40">
        <v>21</v>
      </c>
      <c r="T6" s="40">
        <v>22</v>
      </c>
      <c r="U6" s="40">
        <v>23</v>
      </c>
      <c r="V6" s="40">
        <v>24</v>
      </c>
      <c r="W6" s="40">
        <v>25</v>
      </c>
      <c r="X6" s="40">
        <v>26</v>
      </c>
      <c r="Y6" s="40">
        <v>27</v>
      </c>
      <c r="Z6" s="40">
        <v>28</v>
      </c>
      <c r="AA6" s="40">
        <v>29</v>
      </c>
      <c r="AB6" s="40">
        <v>30</v>
      </c>
      <c r="AC6" s="40">
        <v>31</v>
      </c>
      <c r="AD6" s="40">
        <v>32</v>
      </c>
      <c r="AE6" s="40">
        <v>33</v>
      </c>
      <c r="AF6" s="40">
        <v>34</v>
      </c>
      <c r="AG6" s="40">
        <v>35</v>
      </c>
      <c r="AH6" s="40">
        <v>36</v>
      </c>
    </row>
    <row r="7" spans="1:34" x14ac:dyDescent="0.3">
      <c r="B7" t="s">
        <v>151</v>
      </c>
      <c r="C7" s="59">
        <v>4513613.32</v>
      </c>
      <c r="D7" s="59">
        <v>4389536.7231160104</v>
      </c>
      <c r="E7" s="59">
        <v>4264452.0038823299</v>
      </c>
      <c r="F7" s="59">
        <v>4138350.97130488</v>
      </c>
      <c r="G7" s="70">
        <v>4011225.3678377299</v>
      </c>
      <c r="H7" s="70">
        <v>3883066.8688424202</v>
      </c>
      <c r="I7" s="59">
        <v>3753867.08204277</v>
      </c>
      <c r="J7" s="59">
        <v>3623617.54697537</v>
      </c>
      <c r="K7" s="59">
        <v>3492309.7344355499</v>
      </c>
      <c r="L7" s="67">
        <v>3359935.04591884</v>
      </c>
      <c r="M7" s="59">
        <v>3226484.81305794</v>
      </c>
      <c r="N7" s="59">
        <v>3091950.29705504</v>
      </c>
      <c r="O7" s="67">
        <v>2956322.68810962</v>
      </c>
      <c r="P7" s="59">
        <v>2819593.1048415098</v>
      </c>
      <c r="Q7" s="59">
        <v>2681752.5937093599</v>
      </c>
      <c r="R7" s="59">
        <v>2542792.1284242501</v>
      </c>
      <c r="S7" s="59">
        <v>2402702.6093587</v>
      </c>
      <c r="T7" s="59">
        <v>2261474.8629507502</v>
      </c>
      <c r="U7" s="59">
        <v>2119099.64110323</v>
      </c>
      <c r="V7" s="59">
        <v>1975567.6205782001</v>
      </c>
      <c r="W7" s="59">
        <v>1830869.4023863999</v>
      </c>
      <c r="X7" s="59">
        <v>1684995.5111717901</v>
      </c>
      <c r="Y7" s="59">
        <v>1537936.39459107</v>
      </c>
      <c r="Z7" s="59">
        <v>1389682.4226881301</v>
      </c>
      <c r="AA7" s="59">
        <v>1240223.8872634701</v>
      </c>
      <c r="AB7" s="59">
        <v>1089551.00123849</v>
      </c>
      <c r="AC7" s="59">
        <v>937653.89801456104</v>
      </c>
      <c r="AD7" s="59">
        <v>784522.63082693401</v>
      </c>
      <c r="AE7" s="59">
        <v>630147.17209340795</v>
      </c>
      <c r="AF7" s="59">
        <v>474517.41275767202</v>
      </c>
      <c r="AG7" s="59">
        <v>317623.16162733297</v>
      </c>
      <c r="AH7" s="59">
        <v>159454.144706561</v>
      </c>
    </row>
    <row r="8" spans="1:34" x14ac:dyDescent="0.3">
      <c r="B8" t="s">
        <v>152</v>
      </c>
      <c r="C8" s="59">
        <v>36673.108188248203</v>
      </c>
      <c r="D8" s="59">
        <v>35664.985838565801</v>
      </c>
      <c r="E8" s="59">
        <v>34648.672494792103</v>
      </c>
      <c r="F8" s="59">
        <v>33624.101605100397</v>
      </c>
      <c r="G8" s="59">
        <v>32591.2060769298</v>
      </c>
      <c r="H8" s="59">
        <v>31549.918272592899</v>
      </c>
      <c r="I8" s="59">
        <v>30500.170004845699</v>
      </c>
      <c r="J8" s="59">
        <v>29441.8925324232</v>
      </c>
      <c r="K8" s="59">
        <v>28375.016555537099</v>
      </c>
      <c r="L8" s="59">
        <v>27299.4722113389</v>
      </c>
      <c r="M8" s="59">
        <v>26215.189069344098</v>
      </c>
      <c r="N8" s="59">
        <v>25122.096126820499</v>
      </c>
      <c r="O8" s="59">
        <v>24020.1218041389</v>
      </c>
      <c r="P8" s="59">
        <v>22909.193940085599</v>
      </c>
      <c r="Q8" s="59">
        <v>21789.239787136899</v>
      </c>
      <c r="R8" s="59">
        <v>20660.1860066954</v>
      </c>
      <c r="S8" s="59">
        <v>19521.958664287798</v>
      </c>
      <c r="T8" s="59">
        <v>18374.483224723201</v>
      </c>
      <c r="U8" s="59">
        <v>17217.684547212099</v>
      </c>
      <c r="V8" s="59">
        <v>16051.4868804462</v>
      </c>
      <c r="W8" s="59">
        <v>14875.813857637901</v>
      </c>
      <c r="X8" s="59">
        <v>13690.5884915192</v>
      </c>
      <c r="Y8" s="59">
        <v>12495.7331693008</v>
      </c>
      <c r="Z8" s="59">
        <v>11291.1696475894</v>
      </c>
      <c r="AA8" s="59">
        <v>10076.8190472641</v>
      </c>
      <c r="AB8" s="59">
        <v>8852.6018483111693</v>
      </c>
      <c r="AC8" s="59">
        <v>7618.4378846167301</v>
      </c>
      <c r="AD8" s="59">
        <v>6374.2463387172802</v>
      </c>
      <c r="AE8" s="59">
        <v>5119.9457365073904</v>
      </c>
      <c r="AF8" s="59">
        <v>3855.45394190455</v>
      </c>
      <c r="AG8" s="59">
        <v>2580.6881514705601</v>
      </c>
      <c r="AH8" s="59">
        <v>1295.5648889893</v>
      </c>
    </row>
    <row r="9" spans="1:34" x14ac:dyDescent="0.3">
      <c r="B9" t="s">
        <v>153</v>
      </c>
      <c r="C9" s="59">
        <v>124076.59688399499</v>
      </c>
      <c r="D9" s="59">
        <v>125084.719233678</v>
      </c>
      <c r="E9" s="59">
        <v>126101.032577451</v>
      </c>
      <c r="F9" s="59">
        <v>127125.603467143</v>
      </c>
      <c r="G9" s="59">
        <v>128158.498995313</v>
      </c>
      <c r="H9" s="59">
        <v>129199.78679965</v>
      </c>
      <c r="I9" s="59">
        <v>130249.535067398</v>
      </c>
      <c r="J9" s="59">
        <v>131307.81253982001</v>
      </c>
      <c r="K9" s="59">
        <v>132374.688516706</v>
      </c>
      <c r="L9" s="59">
        <v>133450.23286090401</v>
      </c>
      <c r="M9" s="59">
        <v>134534.51600289901</v>
      </c>
      <c r="N9" s="59">
        <v>135627.60894542301</v>
      </c>
      <c r="O9" s="59">
        <v>136729.583268104</v>
      </c>
      <c r="P9" s="59">
        <v>137840.51113215799</v>
      </c>
      <c r="Q9" s="59">
        <v>138960.46528510601</v>
      </c>
      <c r="R9" s="59">
        <v>140089.519065548</v>
      </c>
      <c r="S9" s="59">
        <v>141227.746407956</v>
      </c>
      <c r="T9" s="59">
        <v>142375.22184752001</v>
      </c>
      <c r="U9" s="59">
        <v>143532.020525031</v>
      </c>
      <c r="V9" s="59">
        <v>144698.218191797</v>
      </c>
      <c r="W9" s="59">
        <v>145873.89121460501</v>
      </c>
      <c r="X9" s="59">
        <v>147059.11658072399</v>
      </c>
      <c r="Y9" s="59">
        <v>148253.97190294301</v>
      </c>
      <c r="Z9" s="59">
        <v>149458.53542465399</v>
      </c>
      <c r="AA9" s="59">
        <v>150672.886024979</v>
      </c>
      <c r="AB9" s="59">
        <v>151897.103223932</v>
      </c>
      <c r="AC9" s="59">
        <v>153131.267187627</v>
      </c>
      <c r="AD9" s="59">
        <v>154375.458733526</v>
      </c>
      <c r="AE9" s="59">
        <v>155629.75933573599</v>
      </c>
      <c r="AF9" s="59">
        <v>156894.25113033899</v>
      </c>
      <c r="AG9" s="59">
        <v>158169.01692077299</v>
      </c>
      <c r="AH9" s="59">
        <v>159454.140183254</v>
      </c>
    </row>
    <row r="10" spans="1:34" ht="15" thickBot="1" x14ac:dyDescent="0.35">
      <c r="B10" t="s">
        <v>154</v>
      </c>
      <c r="C10" s="66">
        <v>160749.705072243</v>
      </c>
      <c r="D10" s="66">
        <v>160749.705072243</v>
      </c>
      <c r="E10" s="66">
        <v>160749.705072243</v>
      </c>
      <c r="F10" s="66">
        <v>160749.705072243</v>
      </c>
      <c r="G10" s="66">
        <v>160749.705072243</v>
      </c>
      <c r="H10" s="66">
        <v>160749.705072243</v>
      </c>
      <c r="I10" s="66">
        <v>160749.705072243</v>
      </c>
      <c r="J10" s="66">
        <v>160749.705072243</v>
      </c>
      <c r="K10" s="66">
        <v>160749.705072243</v>
      </c>
      <c r="L10" s="66">
        <v>160749.705072243</v>
      </c>
      <c r="M10" s="66">
        <v>160749.705072243</v>
      </c>
      <c r="N10" s="66">
        <v>160749.705072243</v>
      </c>
      <c r="O10" s="66">
        <v>160749.705072243</v>
      </c>
      <c r="P10" s="66">
        <v>160749.705072243</v>
      </c>
      <c r="Q10" s="66">
        <v>160749.705072243</v>
      </c>
      <c r="R10" s="66">
        <v>160749.705072243</v>
      </c>
      <c r="S10" s="66">
        <v>160749.705072243</v>
      </c>
      <c r="T10" s="66">
        <v>160749.705072243</v>
      </c>
      <c r="U10" s="66">
        <v>160749.705072243</v>
      </c>
      <c r="V10" s="66">
        <v>160749.705072243</v>
      </c>
      <c r="W10" s="66">
        <v>160749.705072243</v>
      </c>
      <c r="X10" s="66">
        <v>160749.705072243</v>
      </c>
      <c r="Y10" s="66">
        <v>160749.705072243</v>
      </c>
      <c r="Z10" s="66">
        <v>160749.705072243</v>
      </c>
      <c r="AA10" s="66">
        <v>160749.705072243</v>
      </c>
      <c r="AB10" s="66">
        <v>160749.705072243</v>
      </c>
      <c r="AC10" s="66">
        <v>160749.705072243</v>
      </c>
      <c r="AD10" s="66">
        <v>160749.705072243</v>
      </c>
      <c r="AE10" s="66">
        <v>160749.705072243</v>
      </c>
      <c r="AF10" s="66">
        <v>160749.705072243</v>
      </c>
      <c r="AG10" s="66">
        <v>160749.705072243</v>
      </c>
      <c r="AH10" s="66">
        <v>160749.705072243</v>
      </c>
    </row>
    <row r="11" spans="1:34" ht="15" thickTop="1" x14ac:dyDescent="0.3">
      <c r="B11" t="s">
        <v>155</v>
      </c>
      <c r="C11" s="60">
        <v>42855</v>
      </c>
      <c r="D11" s="60">
        <v>42886</v>
      </c>
      <c r="E11" s="60">
        <v>42916</v>
      </c>
      <c r="F11" s="60">
        <v>42947</v>
      </c>
      <c r="G11" s="60">
        <v>42978</v>
      </c>
      <c r="H11" s="60">
        <v>43008</v>
      </c>
      <c r="I11" s="60">
        <v>43039</v>
      </c>
      <c r="J11" s="60">
        <v>43069</v>
      </c>
      <c r="K11" s="60">
        <v>43100</v>
      </c>
      <c r="L11" s="60">
        <v>43131</v>
      </c>
      <c r="M11" s="60">
        <v>43159</v>
      </c>
      <c r="N11" s="60">
        <v>43190</v>
      </c>
      <c r="O11" s="60">
        <v>43220</v>
      </c>
      <c r="P11" s="60">
        <v>43251</v>
      </c>
      <c r="Q11" s="60">
        <v>43281</v>
      </c>
      <c r="R11" s="60">
        <v>43312</v>
      </c>
      <c r="S11" s="60">
        <v>43343</v>
      </c>
      <c r="T11" s="60">
        <v>43373</v>
      </c>
      <c r="U11" s="60">
        <v>43404</v>
      </c>
      <c r="V11" s="60">
        <v>43434</v>
      </c>
      <c r="W11" s="60">
        <v>43465</v>
      </c>
      <c r="X11" s="60">
        <v>43496</v>
      </c>
      <c r="Y11" s="60">
        <v>43524</v>
      </c>
      <c r="Z11" s="60">
        <v>43555</v>
      </c>
      <c r="AA11" s="60">
        <v>43585</v>
      </c>
      <c r="AB11" s="60">
        <v>43616</v>
      </c>
      <c r="AC11" s="60">
        <v>43646</v>
      </c>
      <c r="AD11" s="60">
        <v>43677</v>
      </c>
      <c r="AE11" s="60">
        <v>43708</v>
      </c>
      <c r="AF11" s="60">
        <v>43738</v>
      </c>
      <c r="AG11" s="60">
        <v>43769</v>
      </c>
      <c r="AH11" s="60">
        <v>43799</v>
      </c>
    </row>
    <row r="14" spans="1:34" hidden="1" x14ac:dyDescent="0.3"/>
    <row r="15" spans="1:34" hidden="1" x14ac:dyDescent="0.3"/>
    <row r="16" spans="1:34" hidden="1" x14ac:dyDescent="0.3">
      <c r="A16" s="63" t="s">
        <v>156</v>
      </c>
    </row>
    <row r="17" spans="1:12" hidden="1" x14ac:dyDescent="0.3">
      <c r="A17" t="s">
        <v>146</v>
      </c>
      <c r="B17">
        <v>4500000</v>
      </c>
      <c r="C17" s="65">
        <v>42063</v>
      </c>
    </row>
    <row r="18" spans="1:12" hidden="1" x14ac:dyDescent="0.3">
      <c r="A18" t="s">
        <v>157</v>
      </c>
      <c r="B18" s="58">
        <v>8.7499999999999994E-2</v>
      </c>
      <c r="F18" t="s">
        <v>148</v>
      </c>
    </row>
    <row r="19" spans="1:12" hidden="1" x14ac:dyDescent="0.3">
      <c r="A19" t="s">
        <v>149</v>
      </c>
      <c r="B19">
        <v>36</v>
      </c>
    </row>
    <row r="20" spans="1:12" hidden="1" x14ac:dyDescent="0.3"/>
    <row r="21" spans="1:12" hidden="1" x14ac:dyDescent="0.3"/>
    <row r="22" spans="1:12" hidden="1" x14ac:dyDescent="0.3">
      <c r="B22" t="s">
        <v>150</v>
      </c>
      <c r="C22" s="40">
        <v>27</v>
      </c>
      <c r="D22" s="40">
        <v>28</v>
      </c>
      <c r="E22" s="40">
        <v>29</v>
      </c>
      <c r="F22" s="40">
        <v>30</v>
      </c>
      <c r="G22" s="40">
        <v>31</v>
      </c>
      <c r="H22" s="40">
        <v>32</v>
      </c>
      <c r="I22" s="40">
        <v>33</v>
      </c>
      <c r="J22" s="40">
        <v>34</v>
      </c>
      <c r="K22" s="40">
        <v>35</v>
      </c>
      <c r="L22" s="40">
        <v>36</v>
      </c>
    </row>
    <row r="23" spans="1:12" hidden="1" x14ac:dyDescent="0.3">
      <c r="B23" t="s">
        <v>151</v>
      </c>
      <c r="C23" s="59">
        <v>1250000</v>
      </c>
      <c r="D23" s="59">
        <v>1125000</v>
      </c>
      <c r="E23" s="59">
        <v>1000000</v>
      </c>
      <c r="F23" s="59">
        <v>875000</v>
      </c>
      <c r="G23" s="70">
        <v>750000</v>
      </c>
      <c r="H23" s="70">
        <v>625000</v>
      </c>
      <c r="I23" s="59">
        <v>500000</v>
      </c>
      <c r="J23" s="59">
        <v>375000</v>
      </c>
      <c r="K23" s="67">
        <v>250000</v>
      </c>
      <c r="L23" s="59">
        <v>125000</v>
      </c>
    </row>
    <row r="24" spans="1:12" hidden="1" x14ac:dyDescent="0.3">
      <c r="B24" t="s">
        <v>152</v>
      </c>
      <c r="C24" s="59">
        <v>9114.58</v>
      </c>
      <c r="D24" s="59">
        <v>8476.56</v>
      </c>
      <c r="E24" s="59">
        <v>7291.67</v>
      </c>
      <c r="F24" s="59">
        <v>6592.88</v>
      </c>
      <c r="G24" s="59">
        <v>5651.04</v>
      </c>
      <c r="H24" s="59">
        <v>4557.29</v>
      </c>
      <c r="I24" s="59">
        <v>3767.36</v>
      </c>
      <c r="J24" s="59">
        <v>2734.37</v>
      </c>
      <c r="K24" s="59">
        <v>1883.68</v>
      </c>
      <c r="L24" s="59">
        <v>941.84</v>
      </c>
    </row>
    <row r="25" spans="1:12" hidden="1" x14ac:dyDescent="0.3">
      <c r="B25" t="s">
        <v>153</v>
      </c>
      <c r="C25" s="59">
        <v>125000</v>
      </c>
      <c r="D25" s="59">
        <v>125000</v>
      </c>
      <c r="E25" s="59">
        <v>125000</v>
      </c>
      <c r="F25" s="59">
        <v>125000</v>
      </c>
      <c r="G25" s="59">
        <v>125000</v>
      </c>
      <c r="H25" s="59">
        <v>125000</v>
      </c>
      <c r="I25" s="59">
        <v>125000</v>
      </c>
      <c r="J25" s="59">
        <v>125000</v>
      </c>
      <c r="K25" s="59">
        <v>125000</v>
      </c>
      <c r="L25" s="59">
        <v>125000</v>
      </c>
    </row>
    <row r="26" spans="1:12" ht="15" hidden="1" thickBot="1" x14ac:dyDescent="0.35">
      <c r="B26" t="s">
        <v>154</v>
      </c>
      <c r="C26" s="66">
        <v>134114.57999999999</v>
      </c>
      <c r="D26" s="66">
        <v>133476.56</v>
      </c>
      <c r="E26" s="66">
        <v>132291.67000000001</v>
      </c>
      <c r="F26" s="66">
        <v>131592.88</v>
      </c>
      <c r="G26" s="66">
        <v>130651.04</v>
      </c>
      <c r="H26" s="66">
        <v>129557.29</v>
      </c>
      <c r="I26" s="66">
        <v>128767.36</v>
      </c>
      <c r="J26" s="66">
        <v>127734.37</v>
      </c>
      <c r="K26" s="66">
        <v>126883.68</v>
      </c>
      <c r="L26" s="66">
        <v>125941.84</v>
      </c>
    </row>
    <row r="27" spans="1:12" ht="15" hidden="1" thickTop="1" x14ac:dyDescent="0.3">
      <c r="B27" t="s">
        <v>155</v>
      </c>
      <c r="C27" s="61">
        <v>42861</v>
      </c>
      <c r="D27" s="61">
        <v>42892</v>
      </c>
      <c r="E27" s="61">
        <v>42922</v>
      </c>
      <c r="F27" s="61">
        <v>42953</v>
      </c>
      <c r="G27" s="61">
        <v>42984</v>
      </c>
      <c r="H27" s="61">
        <v>43014</v>
      </c>
      <c r="I27" s="61">
        <v>43045</v>
      </c>
      <c r="J27" s="61">
        <v>43075</v>
      </c>
      <c r="K27" s="61">
        <v>43106</v>
      </c>
      <c r="L27" s="61">
        <v>43137</v>
      </c>
    </row>
    <row r="28" spans="1:12" hidden="1" x14ac:dyDescent="0.3"/>
    <row r="29" spans="1:12" hidden="1" x14ac:dyDescent="0.3"/>
    <row r="32" spans="1:12" x14ac:dyDescent="0.3">
      <c r="A32" s="64" t="s">
        <v>158</v>
      </c>
    </row>
    <row r="33" spans="1:28" x14ac:dyDescent="0.3">
      <c r="A33" t="s">
        <v>146</v>
      </c>
      <c r="B33">
        <v>4000000</v>
      </c>
      <c r="C33" s="65">
        <v>42542</v>
      </c>
    </row>
    <row r="34" spans="1:28" x14ac:dyDescent="0.3">
      <c r="A34" t="s">
        <v>157</v>
      </c>
      <c r="B34" s="58">
        <v>0.113495</v>
      </c>
      <c r="F34" t="s">
        <v>148</v>
      </c>
    </row>
    <row r="35" spans="1:28" x14ac:dyDescent="0.3">
      <c r="A35" t="s">
        <v>149</v>
      </c>
      <c r="B35">
        <v>36</v>
      </c>
    </row>
    <row r="36" spans="1:28" x14ac:dyDescent="0.3">
      <c r="B36" t="s">
        <v>150</v>
      </c>
      <c r="C36" s="40">
        <v>11</v>
      </c>
      <c r="D36" s="40">
        <v>12</v>
      </c>
      <c r="E36" s="40">
        <v>13</v>
      </c>
      <c r="F36" s="40">
        <v>14</v>
      </c>
      <c r="G36" s="40">
        <v>15</v>
      </c>
      <c r="H36" s="40">
        <v>16</v>
      </c>
      <c r="I36" s="40">
        <v>17</v>
      </c>
      <c r="J36" s="40">
        <v>18</v>
      </c>
      <c r="K36" s="40">
        <v>19</v>
      </c>
      <c r="L36" s="40">
        <v>20</v>
      </c>
      <c r="M36" s="40">
        <v>21</v>
      </c>
      <c r="N36" s="40">
        <v>22</v>
      </c>
      <c r="O36" s="40">
        <v>23</v>
      </c>
      <c r="P36" s="40">
        <v>24</v>
      </c>
      <c r="Q36" s="40">
        <v>25</v>
      </c>
      <c r="R36" s="40">
        <v>26</v>
      </c>
      <c r="S36" s="40">
        <v>27</v>
      </c>
      <c r="T36" s="40">
        <v>28</v>
      </c>
      <c r="U36" s="40">
        <v>29</v>
      </c>
      <c r="V36" s="40">
        <v>30</v>
      </c>
      <c r="W36" s="40">
        <v>31</v>
      </c>
      <c r="X36" s="40">
        <v>32</v>
      </c>
      <c r="Y36" s="40">
        <v>33</v>
      </c>
      <c r="Z36" s="40">
        <v>34</v>
      </c>
      <c r="AA36" s="40">
        <v>35</v>
      </c>
      <c r="AB36" s="40">
        <v>36</v>
      </c>
    </row>
    <row r="37" spans="1:28" x14ac:dyDescent="0.3">
      <c r="B37" t="s">
        <v>151</v>
      </c>
      <c r="C37" s="59">
        <v>2971428.61</v>
      </c>
      <c r="D37" s="59">
        <v>2857142.9</v>
      </c>
      <c r="E37" s="59">
        <v>2742857.19</v>
      </c>
      <c r="F37" s="59">
        <v>2628571.48</v>
      </c>
      <c r="G37" s="70">
        <v>2514285.77</v>
      </c>
      <c r="H37" s="70">
        <v>2400000.06</v>
      </c>
      <c r="I37" s="59">
        <v>2285714.35</v>
      </c>
      <c r="J37" s="59">
        <v>2171428.64</v>
      </c>
      <c r="K37" s="67">
        <v>2057142.93</v>
      </c>
      <c r="L37" s="59">
        <v>1942857.22</v>
      </c>
      <c r="M37" s="59">
        <v>1828571.51</v>
      </c>
      <c r="N37" s="67">
        <v>1714285.8</v>
      </c>
      <c r="O37" s="59">
        <v>1600000.09</v>
      </c>
      <c r="P37" s="59">
        <v>1485714.38</v>
      </c>
      <c r="Q37" s="59">
        <v>1371428.67</v>
      </c>
      <c r="R37" s="59">
        <v>1257142.96</v>
      </c>
      <c r="S37" s="59">
        <v>1142857.25</v>
      </c>
      <c r="T37" s="59">
        <v>1028571.54</v>
      </c>
      <c r="U37" s="59">
        <v>914285.83000000101</v>
      </c>
      <c r="V37" s="59">
        <v>800000.12000000104</v>
      </c>
      <c r="W37" s="59">
        <v>685714.41000000096</v>
      </c>
      <c r="X37" s="59">
        <v>571428.700000001</v>
      </c>
      <c r="Y37" s="59">
        <v>457142.99000000098</v>
      </c>
      <c r="Z37" s="59">
        <v>342857.28000000102</v>
      </c>
      <c r="AA37" s="59">
        <v>228571.570000001</v>
      </c>
      <c r="AB37" s="59">
        <v>114285.860000001</v>
      </c>
    </row>
    <row r="38" spans="1:28" x14ac:dyDescent="0.3">
      <c r="B38" t="s">
        <v>152</v>
      </c>
      <c r="C38" s="59">
        <v>28103.53</v>
      </c>
      <c r="D38" s="59">
        <v>27923.38</v>
      </c>
      <c r="E38" s="59">
        <v>25941.72</v>
      </c>
      <c r="F38" s="59">
        <v>25689.51</v>
      </c>
      <c r="G38" s="59">
        <v>24572.57</v>
      </c>
      <c r="H38" s="59">
        <v>22699</v>
      </c>
      <c r="I38" s="59">
        <v>22338.7</v>
      </c>
      <c r="J38" s="59">
        <v>20537.2</v>
      </c>
      <c r="K38" s="59">
        <v>20104.830000000002</v>
      </c>
      <c r="L38" s="59">
        <v>18987.900000000001</v>
      </c>
      <c r="M38" s="59">
        <v>16141.52</v>
      </c>
      <c r="N38" s="59">
        <v>16754.02</v>
      </c>
      <c r="O38" s="59">
        <v>15132.66</v>
      </c>
      <c r="P38" s="59">
        <v>14520.15</v>
      </c>
      <c r="Q38" s="59">
        <v>12970.85</v>
      </c>
      <c r="R38" s="59">
        <v>12286.28</v>
      </c>
      <c r="S38" s="59">
        <v>11169.35</v>
      </c>
      <c r="T38" s="59">
        <v>9728.14</v>
      </c>
      <c r="U38" s="59">
        <v>8935.48</v>
      </c>
      <c r="V38" s="59">
        <v>7566.33</v>
      </c>
      <c r="W38" s="59">
        <v>6701.61</v>
      </c>
      <c r="X38" s="59">
        <v>5584.67</v>
      </c>
      <c r="Y38" s="59">
        <v>4035.38</v>
      </c>
      <c r="Z38" s="59">
        <v>3350.81</v>
      </c>
      <c r="AA38" s="59">
        <v>2161.81</v>
      </c>
      <c r="AB38" s="59">
        <v>1116.94</v>
      </c>
    </row>
    <row r="39" spans="1:28" x14ac:dyDescent="0.3">
      <c r="B39" t="s">
        <v>153</v>
      </c>
      <c r="C39" s="59">
        <v>114285.71</v>
      </c>
      <c r="D39" s="59">
        <v>114285.71</v>
      </c>
      <c r="E39" s="59">
        <v>114285.71</v>
      </c>
      <c r="F39" s="59">
        <v>114285.71</v>
      </c>
      <c r="G39" s="59">
        <v>114285.71</v>
      </c>
      <c r="H39" s="59">
        <v>114285.71</v>
      </c>
      <c r="I39" s="59">
        <v>114285.71</v>
      </c>
      <c r="J39" s="59">
        <v>114285.71</v>
      </c>
      <c r="K39" s="59">
        <v>114285.71</v>
      </c>
      <c r="L39" s="59">
        <v>114285.71</v>
      </c>
      <c r="M39" s="59">
        <v>114285.71</v>
      </c>
      <c r="N39" s="59">
        <v>114285.71</v>
      </c>
      <c r="O39" s="59">
        <v>114285.71</v>
      </c>
      <c r="P39" s="59">
        <v>114285.71</v>
      </c>
      <c r="Q39" s="59">
        <v>114285.71</v>
      </c>
      <c r="R39" s="59">
        <v>114285.71</v>
      </c>
      <c r="S39" s="59">
        <v>114285.71</v>
      </c>
      <c r="T39" s="59">
        <v>114285.71</v>
      </c>
      <c r="U39" s="59">
        <v>114285.71</v>
      </c>
      <c r="V39" s="59">
        <v>114285.71</v>
      </c>
      <c r="W39" s="59">
        <v>114285.71</v>
      </c>
      <c r="X39" s="59">
        <v>114285.71</v>
      </c>
      <c r="Y39" s="59">
        <v>114285.71</v>
      </c>
      <c r="Z39" s="59">
        <v>114285.71</v>
      </c>
      <c r="AA39" s="59">
        <v>114285.71</v>
      </c>
      <c r="AB39" s="59">
        <v>114285.71</v>
      </c>
    </row>
    <row r="40" spans="1:28" ht="15" thickBot="1" x14ac:dyDescent="0.35">
      <c r="B40" t="s">
        <v>154</v>
      </c>
      <c r="C40" s="66">
        <v>142389.24</v>
      </c>
      <c r="D40" s="66">
        <v>142209.09</v>
      </c>
      <c r="E40" s="66">
        <v>140227.43</v>
      </c>
      <c r="F40" s="66">
        <v>139975.22</v>
      </c>
      <c r="G40" s="66">
        <v>138858.28</v>
      </c>
      <c r="H40" s="66">
        <v>136984.71</v>
      </c>
      <c r="I40" s="66">
        <v>136624.41</v>
      </c>
      <c r="J40" s="66">
        <v>134822.91</v>
      </c>
      <c r="K40" s="66">
        <v>134390.54</v>
      </c>
      <c r="L40" s="66">
        <v>133273.60999999999</v>
      </c>
      <c r="M40" s="66">
        <v>130427.23</v>
      </c>
      <c r="N40" s="66">
        <v>131039.73</v>
      </c>
      <c r="O40" s="66">
        <v>129418.37</v>
      </c>
      <c r="P40" s="66">
        <v>128805.86</v>
      </c>
      <c r="Q40" s="66">
        <v>127256.56</v>
      </c>
      <c r="R40" s="66">
        <v>126571.99</v>
      </c>
      <c r="S40" s="66">
        <v>125455.06</v>
      </c>
      <c r="T40" s="66">
        <v>124013.85</v>
      </c>
      <c r="U40" s="66">
        <v>123221.19</v>
      </c>
      <c r="V40" s="66">
        <v>121852.04</v>
      </c>
      <c r="W40" s="66">
        <v>120987.32</v>
      </c>
      <c r="X40" s="66">
        <v>119870.38</v>
      </c>
      <c r="Y40" s="66">
        <v>118321.09</v>
      </c>
      <c r="Z40" s="66">
        <v>117636.52</v>
      </c>
      <c r="AA40" s="66">
        <v>116447.52</v>
      </c>
      <c r="AB40" s="66">
        <v>115402.65</v>
      </c>
    </row>
    <row r="41" spans="1:28" ht="15" thickTop="1" x14ac:dyDescent="0.3">
      <c r="B41" t="s">
        <v>155</v>
      </c>
      <c r="C41" s="62">
        <v>42857</v>
      </c>
      <c r="D41" s="62">
        <v>42888</v>
      </c>
      <c r="E41" s="62">
        <v>42918</v>
      </c>
      <c r="F41" s="62">
        <v>42949</v>
      </c>
      <c r="G41" s="62">
        <v>42980</v>
      </c>
      <c r="H41" s="62">
        <v>43010</v>
      </c>
      <c r="I41" s="62">
        <v>43041</v>
      </c>
      <c r="J41" s="62">
        <v>43071</v>
      </c>
      <c r="K41" s="62">
        <v>43102</v>
      </c>
      <c r="L41" s="62">
        <v>43133</v>
      </c>
      <c r="M41" s="62">
        <v>43161</v>
      </c>
      <c r="N41" s="62">
        <v>43192</v>
      </c>
      <c r="O41" s="62">
        <v>43222</v>
      </c>
      <c r="P41" s="62">
        <v>43253</v>
      </c>
      <c r="Q41" s="62">
        <v>43283</v>
      </c>
      <c r="R41" s="62">
        <v>43314</v>
      </c>
      <c r="S41" s="62">
        <v>43345</v>
      </c>
      <c r="T41" s="62">
        <v>43375</v>
      </c>
      <c r="U41" s="62">
        <v>43406</v>
      </c>
      <c r="V41" s="62">
        <v>43436</v>
      </c>
      <c r="W41" s="62">
        <v>43467</v>
      </c>
      <c r="X41" s="62">
        <v>43498</v>
      </c>
      <c r="Y41" s="62">
        <v>43526</v>
      </c>
      <c r="Z41" s="62">
        <v>43557</v>
      </c>
      <c r="AA41" s="62">
        <v>43587</v>
      </c>
      <c r="AB41" s="62">
        <v>43618</v>
      </c>
    </row>
    <row r="44" spans="1:28" x14ac:dyDescent="0.3">
      <c r="C44" s="59">
        <f>C8+C24+C38</f>
        <v>73891.218188248196</v>
      </c>
      <c r="D44" s="59">
        <f t="shared" ref="D44:M44" si="0">D8+D24+D38</f>
        <v>72064.925838565803</v>
      </c>
      <c r="E44" s="59">
        <f t="shared" si="0"/>
        <v>67882.062494792102</v>
      </c>
      <c r="F44" s="59">
        <f t="shared" si="0"/>
        <v>65906.491605100397</v>
      </c>
      <c r="G44" s="59">
        <f t="shared" si="0"/>
        <v>62814.816076929797</v>
      </c>
      <c r="H44" s="59">
        <f t="shared" si="0"/>
        <v>58806.208272592899</v>
      </c>
      <c r="I44" s="59">
        <f t="shared" si="0"/>
        <v>56606.230004845696</v>
      </c>
      <c r="J44" s="59">
        <f t="shared" si="0"/>
        <v>52713.462532423204</v>
      </c>
      <c r="K44" s="59">
        <f t="shared" si="0"/>
        <v>50363.526555537101</v>
      </c>
      <c r="L44" s="59">
        <f t="shared" si="0"/>
        <v>47229.212211338905</v>
      </c>
      <c r="M44" s="59">
        <f t="shared" si="0"/>
        <v>42356.709069344099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D33"/>
  <sheetViews>
    <sheetView workbookViewId="0">
      <selection activeCell="C32" sqref="C32"/>
    </sheetView>
  </sheetViews>
  <sheetFormatPr baseColWidth="10" defaultRowHeight="14.4" x14ac:dyDescent="0.3"/>
  <cols>
    <col min="1" max="1" width="49.33203125" bestFit="1" customWidth="1"/>
    <col min="2" max="2" width="11.6640625" bestFit="1" customWidth="1"/>
    <col min="4" max="4" width="19" customWidth="1"/>
    <col min="5" max="5" width="14.109375" bestFit="1" customWidth="1"/>
  </cols>
  <sheetData>
    <row r="3" spans="1:4" x14ac:dyDescent="0.3">
      <c r="A3" t="s">
        <v>193</v>
      </c>
    </row>
    <row r="4" spans="1:4" ht="43.2" x14ac:dyDescent="0.3">
      <c r="B4" s="119" t="s">
        <v>196</v>
      </c>
      <c r="D4" s="69"/>
    </row>
    <row r="5" spans="1:4" x14ac:dyDescent="0.3">
      <c r="A5" t="s">
        <v>198</v>
      </c>
      <c r="B5" s="69">
        <v>8325.07</v>
      </c>
      <c r="D5" s="69"/>
    </row>
    <row r="6" spans="1:4" s="68" customFormat="1" x14ac:dyDescent="0.3">
      <c r="A6" s="68" t="s">
        <v>199</v>
      </c>
      <c r="B6" s="69">
        <f>11377.22+13320.19</f>
        <v>24697.41</v>
      </c>
      <c r="D6" s="69"/>
    </row>
    <row r="7" spans="1:4" x14ac:dyDescent="0.3">
      <c r="A7" t="s">
        <v>194</v>
      </c>
      <c r="B7" s="69">
        <v>1477544.16</v>
      </c>
      <c r="D7" s="69"/>
    </row>
    <row r="8" spans="1:4" x14ac:dyDescent="0.3">
      <c r="A8" t="s">
        <v>195</v>
      </c>
      <c r="B8" s="69">
        <v>430323.29</v>
      </c>
      <c r="D8" s="69"/>
    </row>
    <row r="9" spans="1:4" ht="15" thickBot="1" x14ac:dyDescent="0.35">
      <c r="B9" s="118">
        <f>SUM(B5:B8)</f>
        <v>1940889.93</v>
      </c>
      <c r="D9" s="69"/>
    </row>
    <row r="10" spans="1:4" ht="15" thickTop="1" x14ac:dyDescent="0.3">
      <c r="B10" s="69"/>
      <c r="D10" s="69"/>
    </row>
    <row r="11" spans="1:4" x14ac:dyDescent="0.3">
      <c r="B11" s="69"/>
      <c r="D11" s="69"/>
    </row>
    <row r="12" spans="1:4" x14ac:dyDescent="0.3">
      <c r="B12" s="69"/>
      <c r="D12" s="69"/>
    </row>
    <row r="13" spans="1:4" x14ac:dyDescent="0.3">
      <c r="B13" s="69"/>
      <c r="D13" s="69"/>
    </row>
    <row r="14" spans="1:4" x14ac:dyDescent="0.3">
      <c r="B14" s="69"/>
      <c r="D14" s="69"/>
    </row>
    <row r="15" spans="1:4" x14ac:dyDescent="0.3">
      <c r="B15" s="69"/>
      <c r="D15" s="69"/>
    </row>
    <row r="16" spans="1:4" x14ac:dyDescent="0.3">
      <c r="B16" s="69"/>
      <c r="D16" s="69"/>
    </row>
    <row r="17" spans="2:4" x14ac:dyDescent="0.3">
      <c r="B17" s="69"/>
      <c r="D17" s="69"/>
    </row>
    <row r="18" spans="2:4" x14ac:dyDescent="0.3">
      <c r="B18" s="69"/>
      <c r="D18" s="69"/>
    </row>
    <row r="19" spans="2:4" x14ac:dyDescent="0.3">
      <c r="B19" s="69"/>
      <c r="D19" s="69"/>
    </row>
    <row r="20" spans="2:4" x14ac:dyDescent="0.3">
      <c r="B20" s="69"/>
      <c r="D20" s="69"/>
    </row>
    <row r="21" spans="2:4" x14ac:dyDescent="0.3">
      <c r="B21" s="69"/>
      <c r="D21" s="69"/>
    </row>
    <row r="22" spans="2:4" x14ac:dyDescent="0.3">
      <c r="D22" s="69"/>
    </row>
    <row r="23" spans="2:4" x14ac:dyDescent="0.3">
      <c r="D23" s="69"/>
    </row>
    <row r="24" spans="2:4" x14ac:dyDescent="0.3">
      <c r="D24" s="69"/>
    </row>
    <row r="25" spans="2:4" x14ac:dyDescent="0.3">
      <c r="D25" s="69"/>
    </row>
    <row r="26" spans="2:4" x14ac:dyDescent="0.3">
      <c r="D26" s="69"/>
    </row>
    <row r="27" spans="2:4" x14ac:dyDescent="0.3">
      <c r="D27" s="69"/>
    </row>
    <row r="28" spans="2:4" x14ac:dyDescent="0.3">
      <c r="D28" s="69"/>
    </row>
    <row r="29" spans="2:4" x14ac:dyDescent="0.3">
      <c r="D29" s="69"/>
    </row>
    <row r="30" spans="2:4" x14ac:dyDescent="0.3">
      <c r="D30" s="69"/>
    </row>
    <row r="31" spans="2:4" x14ac:dyDescent="0.3">
      <c r="D31" s="69"/>
    </row>
    <row r="32" spans="2:4" x14ac:dyDescent="0.3">
      <c r="D32" s="69"/>
    </row>
    <row r="33" spans="4:4" x14ac:dyDescent="0.3">
      <c r="D33" s="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Comparativo Gts</vt:lpstr>
      <vt:lpstr>Balance</vt:lpstr>
      <vt:lpstr>Resultados</vt:lpstr>
      <vt:lpstr>Edo. cambios</vt:lpstr>
      <vt:lpstr>Análisis</vt:lpstr>
      <vt:lpstr>Otros pasivos cp</vt:lpstr>
      <vt:lpstr>pasivo a lp</vt:lpstr>
      <vt:lpstr>Hoja1</vt:lpstr>
      <vt:lpstr>'Edo. cambios'!Área_de_impresión</vt:lpstr>
      <vt:lpstr>'Otros pasivos cp'!Área_de_impresión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ramon</dc:creator>
  <cp:lastModifiedBy>Ramón Miranda</cp:lastModifiedBy>
  <cp:lastPrinted>2017-03-01T18:41:50Z</cp:lastPrinted>
  <dcterms:created xsi:type="dcterms:W3CDTF">2016-03-16T17:44:08Z</dcterms:created>
  <dcterms:modified xsi:type="dcterms:W3CDTF">2022-07-11T23:42:43Z</dcterms:modified>
</cp:coreProperties>
</file>