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7d404b7b3ddfc86/Documentos/JULIETTE/COFIDE/"/>
    </mc:Choice>
  </mc:AlternateContent>
  <xr:revisionPtr revIDLastSave="508" documentId="8_{800753D1-8AF3-4220-9CDC-CF6FBACFA018}" xr6:coauthVersionLast="47" xr6:coauthVersionMax="47" xr10:uidLastSave="{A9EE098D-99C2-4811-BD1E-EC6CBCA87B46}"/>
  <bookViews>
    <workbookView xWindow="-108" yWindow="-108" windowWidth="23256" windowHeight="12456" activeTab="6" xr2:uid="{354F42B8-B46B-4EE9-91F9-0F334AB8244F}"/>
  </bookViews>
  <sheets>
    <sheet name="Costos" sheetId="6" r:id="rId1"/>
    <sheet name="CVU" sheetId="1" r:id="rId2"/>
    <sheet name="MC" sheetId="2" r:id="rId3"/>
    <sheet name="PE" sheetId="3" r:id="rId4"/>
    <sheet name="Costos dif" sheetId="5" r:id="rId5"/>
    <sheet name="PE Multi" sheetId="4" r:id="rId6"/>
    <sheet name="Apalancamiento" sheetId="7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0" i="7" l="1"/>
  <c r="C49" i="7"/>
  <c r="D37" i="7"/>
  <c r="C43" i="7" s="1"/>
  <c r="C45" i="7"/>
  <c r="C18" i="7"/>
  <c r="C16" i="7"/>
  <c r="C17" i="7" s="1"/>
  <c r="C15" i="7"/>
  <c r="J33" i="5"/>
  <c r="J17" i="5"/>
  <c r="J15" i="5"/>
  <c r="E15" i="5"/>
  <c r="E17" i="5"/>
  <c r="E35" i="5"/>
  <c r="E33" i="5"/>
  <c r="J35" i="5"/>
  <c r="E28" i="2"/>
  <c r="E30" i="2" s="1"/>
  <c r="E32" i="2" s="1"/>
  <c r="E18" i="2"/>
  <c r="E20" i="2" s="1"/>
  <c r="E22" i="2" s="1"/>
  <c r="E9" i="2"/>
  <c r="E11" i="2" s="1"/>
  <c r="E7" i="2"/>
  <c r="K17" i="1"/>
  <c r="K5" i="1"/>
  <c r="K6" i="1"/>
  <c r="K7" i="1"/>
  <c r="K8" i="1"/>
  <c r="K9" i="1"/>
  <c r="K4" i="1"/>
  <c r="J17" i="1"/>
  <c r="L9" i="1"/>
  <c r="N9" i="1" s="1"/>
  <c r="J9" i="1"/>
  <c r="J8" i="1"/>
  <c r="J7" i="1"/>
  <c r="J6" i="1"/>
  <c r="L6" i="1" s="1"/>
  <c r="N6" i="1" s="1"/>
  <c r="J5" i="1"/>
  <c r="L5" i="1" s="1"/>
  <c r="N5" i="1" s="1"/>
  <c r="J4" i="1"/>
  <c r="L4" i="1" s="1"/>
  <c r="N4" i="1" s="1"/>
  <c r="M28" i="6"/>
  <c r="M27" i="6"/>
  <c r="M24" i="6"/>
  <c r="M23" i="6"/>
  <c r="C58" i="6"/>
  <c r="D54" i="6"/>
  <c r="H54" i="6" s="1"/>
  <c r="D53" i="6"/>
  <c r="H53" i="6" s="1"/>
  <c r="D52" i="6"/>
  <c r="H52" i="6" s="1"/>
  <c r="D51" i="6"/>
  <c r="H51" i="6" s="1"/>
  <c r="D47" i="6"/>
  <c r="H47" i="6" s="1"/>
  <c r="H46" i="6"/>
  <c r="G46" i="6"/>
  <c r="C46" i="6"/>
  <c r="D45" i="6"/>
  <c r="H45" i="6" s="1"/>
  <c r="D44" i="6"/>
  <c r="H44" i="6" s="1"/>
  <c r="D43" i="6"/>
  <c r="H43" i="6" s="1"/>
  <c r="D42" i="6"/>
  <c r="G42" i="6" s="1"/>
  <c r="D41" i="6"/>
  <c r="H41" i="6" s="1"/>
  <c r="G40" i="6"/>
  <c r="D40" i="6"/>
  <c r="H40" i="6" s="1"/>
  <c r="D39" i="6"/>
  <c r="C33" i="6"/>
  <c r="E33" i="6" s="1"/>
  <c r="G33" i="6" s="1"/>
  <c r="M9" i="6" s="1"/>
  <c r="O9" i="6" s="1"/>
  <c r="I25" i="6"/>
  <c r="I24" i="6"/>
  <c r="I23" i="6"/>
  <c r="I19" i="6"/>
  <c r="H18" i="6"/>
  <c r="I18" i="6" s="1"/>
  <c r="I17" i="6"/>
  <c r="I16" i="6"/>
  <c r="I15" i="6"/>
  <c r="I14" i="6"/>
  <c r="I13" i="6"/>
  <c r="I9" i="6"/>
  <c r="I8" i="6"/>
  <c r="I7" i="6"/>
  <c r="I6" i="6"/>
  <c r="H5" i="6"/>
  <c r="I5" i="6" s="1"/>
  <c r="H4" i="6"/>
  <c r="I4" i="6" s="1"/>
  <c r="C19" i="7" l="1"/>
  <c r="C27" i="7" s="1"/>
  <c r="C26" i="7"/>
  <c r="D26" i="7" s="1"/>
  <c r="C42" i="7"/>
  <c r="C44" i="7" s="1"/>
  <c r="C46" i="7" s="1"/>
  <c r="L8" i="1"/>
  <c r="N8" i="1" s="1"/>
  <c r="L7" i="1"/>
  <c r="N7" i="1" s="1"/>
  <c r="G44" i="6"/>
  <c r="H55" i="6"/>
  <c r="H42" i="6"/>
  <c r="D48" i="6"/>
  <c r="G41" i="6"/>
  <c r="G45" i="6"/>
  <c r="I26" i="6"/>
  <c r="O5" i="6" s="1"/>
  <c r="G39" i="6"/>
  <c r="G43" i="6"/>
  <c r="G47" i="6"/>
  <c r="H39" i="6"/>
  <c r="H48" i="6" s="1"/>
  <c r="O32" i="6" s="1"/>
  <c r="M5" i="6"/>
  <c r="I20" i="6"/>
  <c r="O4" i="6" s="1"/>
  <c r="I10" i="6"/>
  <c r="M4" i="6" s="1"/>
  <c r="M7" i="6" l="1"/>
  <c r="O7" i="6"/>
  <c r="G48" i="6"/>
  <c r="C57" i="6" s="1"/>
  <c r="D57" i="6" s="1"/>
  <c r="M10" i="6" l="1"/>
  <c r="O10" i="6"/>
  <c r="O11" i="6" s="1"/>
  <c r="M11" i="6"/>
  <c r="O13" i="6" l="1"/>
  <c r="O14" i="6" s="1"/>
  <c r="N24" i="6" s="1"/>
  <c r="O24" i="6" s="1"/>
  <c r="N28" i="6"/>
  <c r="O28" i="6" s="1"/>
  <c r="M13" i="6"/>
  <c r="M14" i="6" s="1"/>
  <c r="N23" i="6" s="1"/>
  <c r="O23" i="6" s="1"/>
  <c r="N27" i="6"/>
  <c r="O27" i="6" s="1"/>
  <c r="O29" i="6" l="1"/>
  <c r="O25" i="6"/>
  <c r="O31" i="6" l="1"/>
  <c r="O34" i="6" s="1"/>
  <c r="P34" i="6" s="1"/>
  <c r="C80" i="3" l="1"/>
  <c r="C81" i="3" s="1"/>
  <c r="F77" i="3" s="1"/>
  <c r="C79" i="3"/>
  <c r="F76" i="3" s="1"/>
  <c r="K79" i="3"/>
  <c r="C71" i="3"/>
  <c r="C70" i="3"/>
  <c r="K69" i="3"/>
  <c r="C69" i="3"/>
  <c r="F66" i="3" s="1"/>
  <c r="C60" i="3"/>
  <c r="C61" i="3" s="1"/>
  <c r="C29" i="3"/>
  <c r="C50" i="3" s="1"/>
  <c r="G21" i="3"/>
  <c r="C30" i="3" s="1"/>
  <c r="E18" i="3"/>
  <c r="F15" i="3"/>
  <c r="F16" i="3"/>
  <c r="F17" i="3"/>
  <c r="F14" i="3"/>
  <c r="F18" i="3" s="1"/>
  <c r="C28" i="3" s="1"/>
  <c r="H100" i="4"/>
  <c r="B97" i="4"/>
  <c r="D96" i="4"/>
  <c r="D94" i="4"/>
  <c r="B79" i="4"/>
  <c r="H73" i="4"/>
  <c r="E71" i="4"/>
  <c r="D71" i="4"/>
  <c r="D70" i="4"/>
  <c r="D69" i="4"/>
  <c r="E68" i="4"/>
  <c r="D68" i="4"/>
  <c r="D67" i="4"/>
  <c r="B50" i="4"/>
  <c r="C32" i="4"/>
  <c r="D98" i="4" s="1"/>
  <c r="C31" i="4"/>
  <c r="D97" i="4" s="1"/>
  <c r="C30" i="4"/>
  <c r="C29" i="4"/>
  <c r="D95" i="4" s="1"/>
  <c r="D28" i="4"/>
  <c r="E94" i="4" s="1"/>
  <c r="C28" i="4"/>
  <c r="C21" i="4"/>
  <c r="C20" i="4"/>
  <c r="B20" i="4"/>
  <c r="B31" i="4" s="1"/>
  <c r="B42" i="4" s="1"/>
  <c r="B59" i="4" s="1"/>
  <c r="B70" i="4" s="1"/>
  <c r="B87" i="4" s="1"/>
  <c r="C19" i="4"/>
  <c r="C18" i="4"/>
  <c r="C17" i="4"/>
  <c r="C11" i="4"/>
  <c r="C22" i="4" s="1"/>
  <c r="E10" i="4"/>
  <c r="D32" i="4" s="1"/>
  <c r="E98" i="4" s="1"/>
  <c r="E9" i="4"/>
  <c r="E70" i="4" s="1"/>
  <c r="E8" i="4"/>
  <c r="E69" i="4" s="1"/>
  <c r="E7" i="4"/>
  <c r="D29" i="4" s="1"/>
  <c r="E6" i="4"/>
  <c r="E67" i="4" s="1"/>
  <c r="G76" i="3" l="1"/>
  <c r="K76" i="3" s="1"/>
  <c r="F67" i="3"/>
  <c r="G66" i="3" s="1"/>
  <c r="F26" i="3"/>
  <c r="C51" i="3"/>
  <c r="C40" i="3"/>
  <c r="F36" i="3" s="1"/>
  <c r="F47" i="3"/>
  <c r="C59" i="3"/>
  <c r="K59" i="3" s="1"/>
  <c r="C38" i="3"/>
  <c r="F25" i="3"/>
  <c r="G25" i="3" s="1"/>
  <c r="C49" i="3"/>
  <c r="K49" i="3" s="1"/>
  <c r="K27" i="3"/>
  <c r="C39" i="3"/>
  <c r="F57" i="3"/>
  <c r="F56" i="3"/>
  <c r="G56" i="3" s="1"/>
  <c r="E29" i="4"/>
  <c r="C40" i="4" s="1"/>
  <c r="E95" i="4"/>
  <c r="D19" i="4"/>
  <c r="D41" i="4" s="1"/>
  <c r="D58" i="4" s="1"/>
  <c r="D86" i="4" s="1"/>
  <c r="D17" i="4"/>
  <c r="D39" i="4" s="1"/>
  <c r="D56" i="4" s="1"/>
  <c r="D84" i="4" s="1"/>
  <c r="D20" i="4"/>
  <c r="D42" i="4" s="1"/>
  <c r="D59" i="4" s="1"/>
  <c r="D87" i="4" s="1"/>
  <c r="D18" i="4"/>
  <c r="D40" i="4" s="1"/>
  <c r="D57" i="4" s="1"/>
  <c r="D85" i="4" s="1"/>
  <c r="D21" i="4"/>
  <c r="D43" i="4" s="1"/>
  <c r="D60" i="4" s="1"/>
  <c r="D88" i="4" s="1"/>
  <c r="D30" i="4"/>
  <c r="E96" i="4" s="1"/>
  <c r="D31" i="4"/>
  <c r="E97" i="4" s="1"/>
  <c r="E32" i="4"/>
  <c r="C43" i="4" s="1"/>
  <c r="E43" i="4" s="1"/>
  <c r="E28" i="4"/>
  <c r="K77" i="3" l="1"/>
  <c r="K78" i="3"/>
  <c r="K80" i="3" s="1"/>
  <c r="K67" i="3"/>
  <c r="K66" i="3"/>
  <c r="K68" i="3" s="1"/>
  <c r="K70" i="3" s="1"/>
  <c r="K57" i="3"/>
  <c r="K56" i="3"/>
  <c r="K25" i="3"/>
  <c r="K24" i="3"/>
  <c r="K26" i="3" s="1"/>
  <c r="K28" i="3" s="1"/>
  <c r="K38" i="3"/>
  <c r="F35" i="3"/>
  <c r="G35" i="3" s="1"/>
  <c r="K36" i="3" s="1"/>
  <c r="F46" i="3"/>
  <c r="G46" i="3" s="1"/>
  <c r="K58" i="3"/>
  <c r="K60" i="3" s="1"/>
  <c r="K35" i="3"/>
  <c r="E31" i="4"/>
  <c r="C42" i="4" s="1"/>
  <c r="E42" i="4" s="1"/>
  <c r="C39" i="4"/>
  <c r="E39" i="4" s="1"/>
  <c r="E30" i="4"/>
  <c r="C41" i="4" s="1"/>
  <c r="E41" i="4" s="1"/>
  <c r="E40" i="4"/>
  <c r="K47" i="3" l="1"/>
  <c r="K46" i="3"/>
  <c r="K48" i="3"/>
  <c r="K50" i="3" s="1"/>
  <c r="K37" i="3"/>
  <c r="K39" i="3" s="1"/>
  <c r="E44" i="4"/>
  <c r="C50" i="4" s="1"/>
  <c r="E33" i="4"/>
  <c r="D79" i="4" l="1"/>
  <c r="E79" i="4" s="1"/>
  <c r="D50" i="4"/>
  <c r="C57" i="4" l="1"/>
  <c r="E57" i="4" s="1"/>
  <c r="C68" i="4" s="1"/>
  <c r="C60" i="4"/>
  <c r="E60" i="4" s="1"/>
  <c r="C71" i="4" s="1"/>
  <c r="C59" i="4"/>
  <c r="E59" i="4" s="1"/>
  <c r="C70" i="4" s="1"/>
  <c r="C58" i="4"/>
  <c r="E58" i="4" s="1"/>
  <c r="C69" i="4" s="1"/>
  <c r="C56" i="4"/>
  <c r="E56" i="4" s="1"/>
  <c r="C88" i="4"/>
  <c r="E88" i="4" s="1"/>
  <c r="C98" i="4" s="1"/>
  <c r="C85" i="4"/>
  <c r="E85" i="4" s="1"/>
  <c r="C95" i="4" s="1"/>
  <c r="C84" i="4"/>
  <c r="E84" i="4" s="1"/>
  <c r="C87" i="4"/>
  <c r="E87" i="4" s="1"/>
  <c r="C97" i="4" s="1"/>
  <c r="C86" i="4"/>
  <c r="E86" i="4" s="1"/>
  <c r="C96" i="4" s="1"/>
  <c r="C94" i="4" l="1"/>
  <c r="E89" i="4"/>
  <c r="G69" i="4"/>
  <c r="F69" i="4"/>
  <c r="H69" i="4" s="1"/>
  <c r="F95" i="4"/>
  <c r="G95" i="4"/>
  <c r="F70" i="4"/>
  <c r="G70" i="4"/>
  <c r="G96" i="4"/>
  <c r="F96" i="4"/>
  <c r="H96" i="4" s="1"/>
  <c r="F98" i="4"/>
  <c r="G98" i="4"/>
  <c r="F71" i="4"/>
  <c r="G71" i="4"/>
  <c r="G97" i="4"/>
  <c r="F97" i="4"/>
  <c r="H97" i="4" s="1"/>
  <c r="C67" i="4"/>
  <c r="E61" i="4"/>
  <c r="G68" i="4"/>
  <c r="F68" i="4"/>
  <c r="H68" i="4" s="1"/>
  <c r="H98" i="4" l="1"/>
  <c r="H70" i="4"/>
  <c r="G67" i="4"/>
  <c r="F67" i="4"/>
  <c r="H67" i="4" s="1"/>
  <c r="H72" i="4" s="1"/>
  <c r="H74" i="4" s="1"/>
  <c r="H71" i="4"/>
  <c r="H95" i="4"/>
  <c r="G94" i="4"/>
  <c r="F94" i="4"/>
  <c r="H94" i="4" s="1"/>
  <c r="H99" i="4" s="1"/>
  <c r="H101" i="4" s="1"/>
  <c r="C17" i="1" l="1"/>
  <c r="G8" i="1"/>
  <c r="G9" i="1"/>
  <c r="C9" i="1"/>
  <c r="D9" i="1"/>
  <c r="E9" i="1"/>
  <c r="C8" i="1"/>
  <c r="D8" i="1"/>
  <c r="E8" i="1"/>
  <c r="C6" i="1"/>
  <c r="D6" i="1"/>
  <c r="C7" i="1"/>
  <c r="E7" i="1" s="1"/>
  <c r="G7" i="1" s="1"/>
  <c r="D7" i="1"/>
  <c r="D5" i="1"/>
  <c r="C5" i="1"/>
  <c r="E5" i="1" s="1"/>
  <c r="G5" i="1" s="1"/>
  <c r="G4" i="1"/>
  <c r="E4" i="1"/>
  <c r="D4" i="1"/>
  <c r="C4" i="1"/>
  <c r="E6" i="1" l="1"/>
  <c r="G6" i="1" s="1"/>
</calcChain>
</file>

<file path=xl/sharedStrings.xml><?xml version="1.0" encoding="utf-8"?>
<sst xmlns="http://schemas.openxmlformats.org/spreadsheetml/2006/main" count="463" uniqueCount="220">
  <si>
    <t>Unidades vendidas</t>
  </si>
  <si>
    <t>Ventas</t>
  </si>
  <si>
    <t xml:space="preserve">Ventas precio unitario  $50 </t>
  </si>
  <si>
    <t>Costo variable unitario $22</t>
  </si>
  <si>
    <t>Margen de contribución</t>
  </si>
  <si>
    <t>Costos fijos totales</t>
  </si>
  <si>
    <t>Utilidad o (pérdida)</t>
  </si>
  <si>
    <t>PUNTO DE EQUILIBRIO</t>
  </si>
  <si>
    <t>CF</t>
  </si>
  <si>
    <t>(p-v)</t>
  </si>
  <si>
    <t xml:space="preserve">          x =</t>
  </si>
  <si>
    <t>(50-22)</t>
  </si>
  <si>
    <t>PUNTO DE EQUILIBRIO MULTIPRODUCTO</t>
  </si>
  <si>
    <t>PRODUCTO</t>
  </si>
  <si>
    <t>UNIDADES VENDIDAS</t>
  </si>
  <si>
    <t>PRECIO VENTA UNITARIO</t>
  </si>
  <si>
    <t>COSTO VARIABLE UNITARIO</t>
  </si>
  <si>
    <t>Detergente en polvo</t>
  </si>
  <si>
    <t>Detergente liquido</t>
  </si>
  <si>
    <t>Costos fijos</t>
  </si>
  <si>
    <t>Suavizante</t>
  </si>
  <si>
    <t>Suavizante 2</t>
  </si>
  <si>
    <t>Blanqueador</t>
  </si>
  <si>
    <t>Total</t>
  </si>
  <si>
    <t>1. PORCENTAJE DE PARTICIPACIÓN EN LAS VENTAS</t>
  </si>
  <si>
    <t>% DE PARTICIPACIÓN</t>
  </si>
  <si>
    <t>2. MARGEN DE CONTRIBUCIÓN UNITARIO</t>
  </si>
  <si>
    <t>PRECIO DE VENTA UNITARIO</t>
  </si>
  <si>
    <t>MARGEN DE CONTRIBUCIÓN UNITARIO</t>
  </si>
  <si>
    <t>3. PROMEDIO PONDERADO DE LOS MARGENES DE CONTRIBUCIÓN UNITARIOS</t>
  </si>
  <si>
    <t>% DE PARTICIPACIÓN EN LAS VENTAS</t>
  </si>
  <si>
    <t>MARGEN DE CONTRIBUCIÓN PONDERADO</t>
  </si>
  <si>
    <t>4. DIVIDIR LOS COSTOS FIJOS ENTRE EL MARGEN DE CONTRIBUCUÓN PONDERADO</t>
  </si>
  <si>
    <t>COSTOS FIJOS</t>
  </si>
  <si>
    <t>PUNTO DE EQUILIBRIO EN UNIDADES</t>
  </si>
  <si>
    <t>5. UNIDADES A VENDER DE CADA PRODUCTO</t>
  </si>
  <si>
    <t>UNIDADES PUNTO DE EQUILIBRIO PONDERADO</t>
  </si>
  <si>
    <t>6. ESTADO DE RESULTADOS POR COSTEO DIRECTO</t>
  </si>
  <si>
    <t>VENTAS</t>
  </si>
  <si>
    <t>COSTOS VARIABLES</t>
  </si>
  <si>
    <t>MARGEN DE CONTRIBUCIÓN</t>
  </si>
  <si>
    <t>UTILIDAD</t>
  </si>
  <si>
    <t>UNDADES PARA OBTENER UNA UTILDAD</t>
  </si>
  <si>
    <t>UTILIDAD DESEADA</t>
  </si>
  <si>
    <t>La empresa tiene los siguientes gastos fijos operativos:</t>
  </si>
  <si>
    <t>·       Renta mensual de la nave industrial</t>
  </si>
  <si>
    <t xml:space="preserve">·       Gastos mensuales por servicios </t>
  </si>
  <si>
    <t>·       Depreciación de activos fijos anuales</t>
  </si>
  <si>
    <t>Los costos de producción variables equivalen al 52% del precio de venta.</t>
  </si>
  <si>
    <t>De acuerdo con la información anterior, responder las siguientes preguntas:</t>
  </si>
  <si>
    <t>·       Otros gastos fijos de operación mensuales</t>
  </si>
  <si>
    <t>1.     ¿Cuál es el importe de los costos fijos operativos anuales?</t>
  </si>
  <si>
    <t>·       Renta de la nave industrial</t>
  </si>
  <si>
    <t xml:space="preserve">·       Gastos  por servicios </t>
  </si>
  <si>
    <t xml:space="preserve">·       Otros gastos fijos de operación </t>
  </si>
  <si>
    <t>Mensual</t>
  </si>
  <si>
    <t>Anual</t>
  </si>
  <si>
    <t>La industrial, SA produce reguladores, los cuales se venden a un precio de $820.00 cada uno.</t>
  </si>
  <si>
    <t>2.       ¿Cuál es el costo variable de un regulador?</t>
  </si>
  <si>
    <t>3.     ¿Cuál es el punto de equilibrio en unidades y en dinero?</t>
  </si>
  <si>
    <t>Margen de Contribución</t>
  </si>
  <si>
    <t>x=</t>
  </si>
  <si>
    <t>p =</t>
  </si>
  <si>
    <t>v =</t>
  </si>
  <si>
    <t>CFT</t>
  </si>
  <si>
    <t>CFT =</t>
  </si>
  <si>
    <t>Costos variables</t>
  </si>
  <si>
    <t>(-)</t>
  </si>
  <si>
    <t>(=)</t>
  </si>
  <si>
    <t>Utilidad</t>
  </si>
  <si>
    <t>U =</t>
  </si>
  <si>
    <t>CFT + Utilidad</t>
  </si>
  <si>
    <t>17,530 x 820</t>
  </si>
  <si>
    <t>17,531 x 426.40</t>
  </si>
  <si>
    <t>4.     Si se desean obtener $ 2,500,000 de utilidad anual, ¿cuántas unidades se necesitan vender?</t>
  </si>
  <si>
    <t>23,882 x 820</t>
  </si>
  <si>
    <t>23,882 x 426.40</t>
  </si>
  <si>
    <t>5.     Si los costos fijos anuales se incrementaran un 10% y los demás datos permanecieran sin modificaciones, ¿cuál sería el nuevo punto de equilibrio?</t>
  </si>
  <si>
    <t>19,284 x 820</t>
  </si>
  <si>
    <t>19,284 x 426.40</t>
  </si>
  <si>
    <t>21,037 x 820</t>
  </si>
  <si>
    <t>21,037 x 426.40</t>
  </si>
  <si>
    <t>6.     Si los costos variables se incrementaran al 60% del precio de venta y los demás datos permanecieran sin modificaciones, ¿cuál sería el nuevo punto de equilibrio?</t>
  </si>
  <si>
    <t>7.     Si los costos variables disminuyeran al 48% del precio de venta y los demás datos permanecieran sin modificaciones, ¿cuál sería el nuevo punto de equilibrio?</t>
  </si>
  <si>
    <t>16,182 x 820</t>
  </si>
  <si>
    <t>16,182 x 426.40</t>
  </si>
  <si>
    <t>8. Si los costos fijos anuales se incrementaran un 15%, el precio aumeta un 8% y  los costos variables se incrementarán al 55% del precio de venta y los demás datos permanecieran sin modificaciones, ¿cuál sería el nuevo punto de equilibrio? Y deseáramos una utilidad de $ 400,000, ¿cuántas unidades se necesitan vender?</t>
  </si>
  <si>
    <t>19,911 x 820</t>
  </si>
  <si>
    <t>19,911 x 426.40</t>
  </si>
  <si>
    <t>PASTEL DE NARANJA</t>
  </si>
  <si>
    <t>Precio</t>
  </si>
  <si>
    <t>Cantidad</t>
  </si>
  <si>
    <t>PASTEL DE CHOCOLATE</t>
  </si>
  <si>
    <t>2 naranjas</t>
  </si>
  <si>
    <t xml:space="preserve"> kg (aprox. 5 pzas.)</t>
  </si>
  <si>
    <t>MATERIAS PRIMAS</t>
  </si>
  <si>
    <t>ESTADO DE RESULTADOS</t>
  </si>
  <si>
    <t>4 huevos</t>
  </si>
  <si>
    <t xml:space="preserve"> kg (aprox. 16 pzas.)</t>
  </si>
  <si>
    <t>Ventas:</t>
  </si>
  <si>
    <t>200 gr de harina</t>
  </si>
  <si>
    <t xml:space="preserve"> kg</t>
  </si>
  <si>
    <t>Pastel de naranja</t>
  </si>
  <si>
    <t xml:space="preserve">150 gr de mantequilla  </t>
  </si>
  <si>
    <t>Costo materias primas unitario</t>
  </si>
  <si>
    <t>Pastel de chocolate</t>
  </si>
  <si>
    <t>150 gr de azúcar</t>
  </si>
  <si>
    <t>30 gr polvo para hornear</t>
  </si>
  <si>
    <t>MANO DE OBRA</t>
  </si>
  <si>
    <t>Costo de ventas</t>
  </si>
  <si>
    <t>GIF</t>
  </si>
  <si>
    <t xml:space="preserve">Costo de producción </t>
  </si>
  <si>
    <t>150 gr de nueces picadas</t>
  </si>
  <si>
    <t>Utilidad 50%</t>
  </si>
  <si>
    <t>PRECIO DE VENTA</t>
  </si>
  <si>
    <t>Utilidad bruta</t>
  </si>
  <si>
    <t>150 gr de chocolate</t>
  </si>
  <si>
    <t>Gasos de administración</t>
  </si>
  <si>
    <t>150 gr de mantequilla</t>
  </si>
  <si>
    <t>Utilidad de operación</t>
  </si>
  <si>
    <t xml:space="preserve">3 huevos </t>
  </si>
  <si>
    <t>40 gr polvo para hornear</t>
  </si>
  <si>
    <t xml:space="preserve">CREMA CHANTILLI PARA DECORAR </t>
  </si>
  <si>
    <t>200gr de crema de leche</t>
  </si>
  <si>
    <t>50 gr  de azúcar glass</t>
  </si>
  <si>
    <t>15 ml de esencia de vainilla</t>
  </si>
  <si>
    <t xml:space="preserve"> lt</t>
  </si>
  <si>
    <t>SUELDO</t>
  </si>
  <si>
    <t>TOTAL</t>
  </si>
  <si>
    <t>PRODUCCION</t>
  </si>
  <si>
    <t>Pasteleros</t>
  </si>
  <si>
    <t>GASTOS INDIRECTOS DE FABRICACIÓN</t>
  </si>
  <si>
    <t>Concepto</t>
  </si>
  <si>
    <t>Fabricación</t>
  </si>
  <si>
    <t>Administración</t>
  </si>
  <si>
    <t>Renta</t>
  </si>
  <si>
    <t xml:space="preserve">Luz </t>
  </si>
  <si>
    <t>Gas</t>
  </si>
  <si>
    <t>Agua</t>
  </si>
  <si>
    <t>Telefonia e internet</t>
  </si>
  <si>
    <t>Mantenimiento</t>
  </si>
  <si>
    <t>Sueldo ayudante general</t>
  </si>
  <si>
    <t>Depreciación de equipos</t>
  </si>
  <si>
    <t>Seguros</t>
  </si>
  <si>
    <t>GASTOS DE OPERACIÓN</t>
  </si>
  <si>
    <t>Sueldos adminitrativos:</t>
  </si>
  <si>
    <t>Encargado de tienda*</t>
  </si>
  <si>
    <t>Vendedora*</t>
  </si>
  <si>
    <t>Gastos operativos</t>
  </si>
  <si>
    <t>Publicidad</t>
  </si>
  <si>
    <t>unitario</t>
  </si>
  <si>
    <t>producción anual pasteles</t>
  </si>
  <si>
    <t xml:space="preserve">  * incluyen el costo patrol de IMSS, ISPT, INFONAVIT</t>
  </si>
  <si>
    <t>DETERMINACIÓN PRECIO DE VENTA</t>
  </si>
  <si>
    <t>Cobertura</t>
  </si>
  <si>
    <t>Envase</t>
  </si>
  <si>
    <t>Unidades</t>
  </si>
  <si>
    <t>$</t>
  </si>
  <si>
    <t>Costo variable unitario $25</t>
  </si>
  <si>
    <t>(50-25)</t>
  </si>
  <si>
    <t>Una empresa de fabricación de muebles vendió 5,000 sillas en el mes a un precio de $1,000 cada una. Los costos variables totales asociados a la producción</t>
  </si>
  <si>
    <t>Precio venta</t>
  </si>
  <si>
    <t>de estas sillas fueron de $2,000,000. Para el análisis financiero del mes, se necesita calcular el margen de contribución unitario</t>
  </si>
  <si>
    <t>Margen de contribución total</t>
  </si>
  <si>
    <t>unidades</t>
  </si>
  <si>
    <t>MC unitario</t>
  </si>
  <si>
    <t>Si los costos variables totales se incrementan a $2,300,000 ¿cual seria el MC unitario?</t>
  </si>
  <si>
    <t>Si los costos variables totales disminuyen a  $1,900,000 ¿cual seria el MC unitario?</t>
  </si>
  <si>
    <t>Los costos diferenciales son aquellos que cambian entre dos alternativas.</t>
  </si>
  <si>
    <t>Por eso son la base para decidir entre producir o comprar, aceptar pedidos especiales, discontinuar productos, etc.</t>
  </si>
  <si>
    <t>Se calculan comparando:</t>
  </si>
  <si>
    <t>Costo de la alternativa A−Costo de la alternativa B</t>
  </si>
  <si>
    <t>Solo se consideran costos relevantes, es decir, los que varían entre opciones.</t>
  </si>
  <si>
    <t>Ejemplo:</t>
  </si>
  <si>
    <t>La empresa ALFA necesita 10,000 unidades de una pieza.</t>
  </si>
  <si>
    <t>Alternativa 1: Producir internamente</t>
  </si>
  <si>
    <t>Costo variable unitario: $26</t>
  </si>
  <si>
    <t>Costo fijo adicional por preparar la línea: $40,000</t>
  </si>
  <si>
    <t>Alternativa 2: Comprar a proveedor</t>
  </si>
  <si>
    <t>Precio de compra unitario: $28</t>
  </si>
  <si>
    <t>No se generan costos fijos adicionales.</t>
  </si>
  <si>
    <t>Costo total si se PRODUCE</t>
  </si>
  <si>
    <t xml:space="preserve">  </t>
  </si>
  <si>
    <t>Costo total de producir=</t>
  </si>
  <si>
    <t>Costo variable</t>
  </si>
  <si>
    <t>10,000 × 26</t>
  </si>
  <si>
    <t>Costo total si se COMPRA</t>
  </si>
  <si>
    <t>Costo diferencial =300,000−280,000=20,000</t>
  </si>
  <si>
    <t>10,000 × 28=</t>
  </si>
  <si>
    <t xml:space="preserve">Precio de compra </t>
  </si>
  <si>
    <t>Costo fijo adicional</t>
  </si>
  <si>
    <t>Costo total de comprar</t>
  </si>
  <si>
    <t>Por lo tanto nos conviene más comprar  que producir</t>
  </si>
  <si>
    <t>La empresa BETA  necesita 40,000 unidades de una pieza.</t>
  </si>
  <si>
    <t>Costo variable unitario: $14</t>
  </si>
  <si>
    <t>Costo fijo adicional por preparar la línea: $55,000</t>
  </si>
  <si>
    <t>40,000 × 14</t>
  </si>
  <si>
    <t>Precio de compra unitario: $17</t>
  </si>
  <si>
    <t>40,000 × 17</t>
  </si>
  <si>
    <t>Costo diferencial =680,000 - 615,000 = 65,000</t>
  </si>
  <si>
    <t xml:space="preserve">Al producir los artículos ahorraría la empresa </t>
  </si>
  <si>
    <t>Por lo tanto nos conviene más  producir que comprar</t>
  </si>
  <si>
    <t>Se pide:</t>
  </si>
  <si>
    <t>1. Calcular la utilidad operativa.</t>
  </si>
  <si>
    <t>2. Calcular el grado de apalancamiento operativo (GAO).</t>
  </si>
  <si>
    <t>APALANCAMIENTO OPERATIVO</t>
  </si>
  <si>
    <t>Una  empresa fabrica un solo producto y presenta la siguiente información del último periodo:</t>
  </si>
  <si>
    <t>Precio de venta unitario  (p)</t>
  </si>
  <si>
    <t>Costo variable unitario (CVu)</t>
  </si>
  <si>
    <t xml:space="preserve">Costos fijos operativos (CF) </t>
  </si>
  <si>
    <t>Volumen de ventas (u)</t>
  </si>
  <si>
    <t>Costos fijos operativos</t>
  </si>
  <si>
    <t>Utilidad operativa</t>
  </si>
  <si>
    <t>Apalancamiento operativo =</t>
  </si>
  <si>
    <t>MC</t>
  </si>
  <si>
    <t>Ut operación</t>
  </si>
  <si>
    <t>Esto significa que: por cada variación de 1 % en las ventas, la utilidad operativa variará aproximadamente 2.5 %.</t>
  </si>
  <si>
    <t>Si las ventas se incrementan un 10% el estado de resultados quedaria:</t>
  </si>
  <si>
    <t>incremento en ventas</t>
  </si>
  <si>
    <t>incremento en utilidad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</si>
</sst>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164" formatCode="#,##0.000"/>
    <numFmt numFmtId="165" formatCode="0.0%"/>
    <numFmt numFmtId="166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1D1B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 wrapText="1"/>
    </xf>
    <xf numFmtId="3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2" xfId="0" applyNumberFormat="1" applyBorder="1" applyAlignment="1">
      <alignment horizontal="center"/>
    </xf>
    <xf numFmtId="3" fontId="2" fillId="0" borderId="0" xfId="0" applyNumberFormat="1" applyFont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4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1" applyNumberFormat="1" applyFont="1" applyBorder="1" applyAlignment="1">
      <alignment horizontal="center"/>
    </xf>
    <xf numFmtId="164" fontId="0" fillId="0" borderId="0" xfId="0" applyNumberFormat="1"/>
    <xf numFmtId="9" fontId="0" fillId="0" borderId="1" xfId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3" fillId="0" borderId="0" xfId="0" applyNumberFormat="1" applyFont="1"/>
    <xf numFmtId="165" fontId="0" fillId="0" borderId="1" xfId="1" applyNumberFormat="1" applyFont="1" applyBorder="1"/>
    <xf numFmtId="4" fontId="0" fillId="0" borderId="0" xfId="0" applyNumberFormat="1"/>
    <xf numFmtId="3" fontId="0" fillId="0" borderId="2" xfId="0" applyNumberFormat="1" applyBorder="1"/>
    <xf numFmtId="6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9" fontId="0" fillId="0" borderId="0" xfId="0" applyNumberFormat="1"/>
    <xf numFmtId="2" fontId="0" fillId="0" borderId="0" xfId="0" applyNumberForma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1"/>
    </xf>
    <xf numFmtId="2" fontId="3" fillId="0" borderId="0" xfId="0" applyNumberFormat="1" applyFont="1"/>
    <xf numFmtId="166" fontId="3" fillId="0" borderId="0" xfId="0" applyNumberFormat="1" applyFont="1"/>
    <xf numFmtId="4" fontId="3" fillId="0" borderId="2" xfId="0" applyNumberFormat="1" applyFont="1" applyBorder="1"/>
    <xf numFmtId="2" fontId="3" fillId="0" borderId="2" xfId="0" applyNumberFormat="1" applyFont="1" applyBorder="1"/>
    <xf numFmtId="10" fontId="3" fillId="0" borderId="0" xfId="1" applyNumberFormat="1" applyFont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/>
    <xf numFmtId="9" fontId="0" fillId="2" borderId="1" xfId="0" applyNumberFormat="1" applyFill="1" applyBorder="1" applyAlignment="1">
      <alignment horizontal="center"/>
    </xf>
    <xf numFmtId="3" fontId="0" fillId="2" borderId="0" xfId="0" applyNumberFormat="1" applyFill="1"/>
    <xf numFmtId="4" fontId="0" fillId="2" borderId="1" xfId="0" applyNumberFormat="1" applyFill="1" applyBorder="1"/>
    <xf numFmtId="9" fontId="0" fillId="2" borderId="1" xfId="0" applyNumberFormat="1" applyFill="1" applyBorder="1"/>
    <xf numFmtId="0" fontId="3" fillId="0" borderId="1" xfId="0" applyFont="1" applyBorder="1"/>
    <xf numFmtId="3" fontId="0" fillId="3" borderId="0" xfId="0" applyNumberFormat="1" applyFill="1"/>
    <xf numFmtId="4" fontId="3" fillId="3" borderId="2" xfId="0" applyNumberFormat="1" applyFont="1" applyFill="1" applyBorder="1"/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4" borderId="1" xfId="0" applyNumberFormat="1" applyFill="1" applyBorder="1"/>
    <xf numFmtId="4" fontId="0" fillId="0" borderId="2" xfId="0" applyNumberFormat="1" applyBorder="1"/>
    <xf numFmtId="0" fontId="0" fillId="0" borderId="0" xfId="0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umnos\Downloads\C&#225;lculo%20costo%20MO%20por%20minuto%20-%202026%20yo.xlsx" TargetMode="External"/><Relationship Id="rId1" Type="http://schemas.openxmlformats.org/officeDocument/2006/relationships/externalLinkPath" Target="file:///C:\Users\981006568\Downloads\C&#225;lculo%20costo%20MO%20por%20minuto%20-%202026%20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  <sheetName val="12,000"/>
      <sheetName val="9,500"/>
    </sheetNames>
    <sheetDataSet>
      <sheetData sheetId="0" refreshError="1"/>
      <sheetData sheetId="1" refreshError="1"/>
      <sheetData sheetId="2" refreshError="1">
        <row r="25">
          <cell r="D25">
            <v>16451.716378996422</v>
          </cell>
        </row>
      </sheetData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CC35-AF36-47D4-AFDD-9AA182C80F71}">
  <dimension ref="B2:X59"/>
  <sheetViews>
    <sheetView topLeftCell="F12" workbookViewId="0">
      <selection activeCell="J17" sqref="J17"/>
    </sheetView>
  </sheetViews>
  <sheetFormatPr baseColWidth="10" defaultColWidth="11.44140625" defaultRowHeight="15.6" x14ac:dyDescent="0.3"/>
  <cols>
    <col min="1" max="1" width="2.6640625" style="26" customWidth="1"/>
    <col min="2" max="2" width="21.33203125" style="26" customWidth="1"/>
    <col min="3" max="3" width="13.33203125" style="26" customWidth="1"/>
    <col min="4" max="4" width="11.44140625" style="26" customWidth="1"/>
    <col min="5" max="5" width="11.44140625" style="26"/>
    <col min="6" max="6" width="15.5546875" style="26" customWidth="1"/>
    <col min="7" max="7" width="11.44140625" style="26"/>
    <col min="8" max="8" width="13.109375" style="26" customWidth="1"/>
    <col min="9" max="9" width="11.44140625" style="26"/>
    <col min="10" max="10" width="18.5546875" style="28" customWidth="1"/>
    <col min="11" max="11" width="11.44140625" style="26"/>
    <col min="12" max="12" width="32.5546875" style="26" bestFit="1" customWidth="1"/>
    <col min="13" max="13" width="13.109375" style="26" customWidth="1"/>
    <col min="14" max="14" width="8.5546875" style="26" customWidth="1"/>
    <col min="15" max="15" width="13.109375" style="26" customWidth="1"/>
    <col min="16" max="17" width="11.44140625" style="26"/>
    <col min="18" max="18" width="18.5546875" style="26" customWidth="1"/>
    <col min="19" max="20" width="11.44140625" style="26"/>
    <col min="21" max="21" width="13.33203125" style="26" bestFit="1" customWidth="1"/>
    <col min="22" max="16384" width="11.44140625" style="26"/>
  </cols>
  <sheetData>
    <row r="2" spans="2:24" x14ac:dyDescent="0.3">
      <c r="B2" s="49" t="s">
        <v>95</v>
      </c>
      <c r="C2" s="49"/>
      <c r="D2" s="49"/>
      <c r="E2" s="49"/>
      <c r="F2" s="49"/>
      <c r="G2" s="49"/>
      <c r="H2" s="49"/>
      <c r="I2" s="49"/>
      <c r="L2" s="49" t="s">
        <v>153</v>
      </c>
      <c r="M2" s="49"/>
      <c r="N2" s="49"/>
      <c r="O2" s="49"/>
    </row>
    <row r="3" spans="2:24" ht="31.2" x14ac:dyDescent="0.3">
      <c r="B3" s="25" t="s">
        <v>89</v>
      </c>
      <c r="E3" s="27" t="s">
        <v>90</v>
      </c>
      <c r="F3" s="27"/>
      <c r="G3" s="27"/>
      <c r="H3" s="27" t="s">
        <v>91</v>
      </c>
      <c r="I3" s="27" t="s">
        <v>23</v>
      </c>
      <c r="M3" s="29" t="s">
        <v>89</v>
      </c>
      <c r="N3" s="27"/>
      <c r="O3" s="29" t="s">
        <v>92</v>
      </c>
    </row>
    <row r="4" spans="2:24" x14ac:dyDescent="0.3">
      <c r="B4" s="30" t="s">
        <v>93</v>
      </c>
      <c r="E4" s="31">
        <v>22</v>
      </c>
      <c r="F4" s="30" t="s">
        <v>94</v>
      </c>
      <c r="H4" s="32">
        <f>(1/5)*2</f>
        <v>0.4</v>
      </c>
      <c r="I4" s="28">
        <f>E4*H4</f>
        <v>8.8000000000000007</v>
      </c>
      <c r="L4" s="26" t="s">
        <v>95</v>
      </c>
      <c r="M4" s="28">
        <f>+I10</f>
        <v>68.12</v>
      </c>
      <c r="O4" s="28">
        <f>+I20</f>
        <v>195.73499999999999</v>
      </c>
    </row>
    <row r="5" spans="2:24" x14ac:dyDescent="0.3">
      <c r="B5" s="30" t="s">
        <v>97</v>
      </c>
      <c r="E5" s="31">
        <v>46</v>
      </c>
      <c r="F5" s="30" t="s">
        <v>98</v>
      </c>
      <c r="H5" s="32">
        <f>(1/16)*4</f>
        <v>0.25</v>
      </c>
      <c r="I5" s="28">
        <f t="shared" ref="I5:I9" si="0">E5*H5</f>
        <v>11.5</v>
      </c>
      <c r="L5" s="26" t="s">
        <v>154</v>
      </c>
      <c r="M5" s="28">
        <f>+I26</f>
        <v>31.324999999999999</v>
      </c>
      <c r="O5" s="28">
        <f>+I26</f>
        <v>31.324999999999999</v>
      </c>
    </row>
    <row r="6" spans="2:24" x14ac:dyDescent="0.3">
      <c r="B6" s="30" t="s">
        <v>100</v>
      </c>
      <c r="E6" s="31">
        <v>18</v>
      </c>
      <c r="F6" s="30" t="s">
        <v>101</v>
      </c>
      <c r="H6" s="32">
        <v>0.2</v>
      </c>
      <c r="I6" s="28">
        <f t="shared" si="0"/>
        <v>3.6</v>
      </c>
      <c r="L6" s="26" t="s">
        <v>155</v>
      </c>
      <c r="M6" s="33">
        <v>12</v>
      </c>
      <c r="O6" s="33">
        <v>12</v>
      </c>
      <c r="W6" s="28"/>
      <c r="X6" s="28"/>
    </row>
    <row r="7" spans="2:24" x14ac:dyDescent="0.3">
      <c r="B7" s="30" t="s">
        <v>103</v>
      </c>
      <c r="E7" s="31">
        <v>234</v>
      </c>
      <c r="F7" s="30" t="s">
        <v>101</v>
      </c>
      <c r="H7" s="32">
        <v>0.15</v>
      </c>
      <c r="I7" s="28">
        <f t="shared" si="0"/>
        <v>35.1</v>
      </c>
      <c r="L7" s="26" t="s">
        <v>104</v>
      </c>
      <c r="M7" s="28">
        <f>SUM(M4:M6)</f>
        <v>111.44500000000001</v>
      </c>
      <c r="O7" s="28">
        <f>SUM(O4:O6)</f>
        <v>239.05999999999997</v>
      </c>
      <c r="W7" s="28"/>
      <c r="X7" s="28"/>
    </row>
    <row r="8" spans="2:24" x14ac:dyDescent="0.3">
      <c r="B8" s="30" t="s">
        <v>106</v>
      </c>
      <c r="E8" s="31">
        <v>35</v>
      </c>
      <c r="F8" s="30" t="s">
        <v>101</v>
      </c>
      <c r="H8" s="32">
        <v>0.15</v>
      </c>
      <c r="I8" s="28">
        <f t="shared" si="0"/>
        <v>5.25</v>
      </c>
      <c r="W8" s="28"/>
      <c r="X8" s="28"/>
    </row>
    <row r="9" spans="2:24" x14ac:dyDescent="0.3">
      <c r="B9" s="30" t="s">
        <v>107</v>
      </c>
      <c r="E9" s="31">
        <v>129</v>
      </c>
      <c r="F9" s="30" t="s">
        <v>101</v>
      </c>
      <c r="H9" s="32">
        <v>0.03</v>
      </c>
      <c r="I9" s="33">
        <f t="shared" si="0"/>
        <v>3.8699999999999997</v>
      </c>
      <c r="L9" s="26" t="s">
        <v>108</v>
      </c>
      <c r="M9" s="31">
        <f>G33</f>
        <v>41.129290947491057</v>
      </c>
      <c r="O9" s="31">
        <f>M9</f>
        <v>41.129290947491057</v>
      </c>
      <c r="W9" s="28"/>
      <c r="X9" s="28"/>
    </row>
    <row r="10" spans="2:24" x14ac:dyDescent="0.3">
      <c r="H10" s="27" t="s">
        <v>23</v>
      </c>
      <c r="I10" s="28">
        <f>SUM(I4:I9)</f>
        <v>68.12</v>
      </c>
      <c r="L10" s="26" t="s">
        <v>110</v>
      </c>
      <c r="M10" s="34">
        <f>D57</f>
        <v>46.440279258092339</v>
      </c>
      <c r="O10" s="34">
        <f>D57</f>
        <v>46.440279258092339</v>
      </c>
      <c r="W10" s="28"/>
      <c r="X10" s="28"/>
    </row>
    <row r="11" spans="2:24" x14ac:dyDescent="0.3">
      <c r="L11" s="47" t="s">
        <v>111</v>
      </c>
      <c r="M11" s="48">
        <f>SUM(M7:M10)</f>
        <v>199.01457020558342</v>
      </c>
      <c r="N11" s="47"/>
      <c r="O11" s="48">
        <f>SUM(O7:O10)</f>
        <v>326.62957020558338</v>
      </c>
      <c r="W11" s="28"/>
      <c r="X11" s="28"/>
    </row>
    <row r="12" spans="2:24" x14ac:dyDescent="0.3">
      <c r="B12" s="25" t="s">
        <v>92</v>
      </c>
      <c r="W12" s="28"/>
      <c r="X12" s="28"/>
    </row>
    <row r="13" spans="2:24" x14ac:dyDescent="0.3">
      <c r="B13" s="30" t="s">
        <v>112</v>
      </c>
      <c r="E13" s="31">
        <v>600</v>
      </c>
      <c r="F13" s="30" t="s">
        <v>101</v>
      </c>
      <c r="H13" s="32">
        <v>0.15</v>
      </c>
      <c r="I13" s="28">
        <f>+E13*H13</f>
        <v>90</v>
      </c>
      <c r="L13" s="26" t="s">
        <v>113</v>
      </c>
      <c r="M13" s="33">
        <f>M11*50%</f>
        <v>99.507285102791712</v>
      </c>
      <c r="N13" s="28"/>
      <c r="O13" s="33">
        <f>O11*50%</f>
        <v>163.31478510279169</v>
      </c>
      <c r="W13" s="28"/>
      <c r="X13" s="28"/>
    </row>
    <row r="14" spans="2:24" x14ac:dyDescent="0.3">
      <c r="B14" s="30" t="s">
        <v>106</v>
      </c>
      <c r="E14" s="31">
        <v>35</v>
      </c>
      <c r="F14" s="30" t="s">
        <v>101</v>
      </c>
      <c r="H14" s="32">
        <v>0.15</v>
      </c>
      <c r="I14" s="28">
        <f t="shared" ref="I14:I19" si="1">+E14*H14</f>
        <v>5.25</v>
      </c>
      <c r="L14" s="47" t="s">
        <v>114</v>
      </c>
      <c r="M14" s="48">
        <f>+M11+M13</f>
        <v>298.52185530837517</v>
      </c>
      <c r="N14" s="48"/>
      <c r="O14" s="48">
        <f t="shared" ref="O14" si="2">+O11+O13</f>
        <v>489.94435530837507</v>
      </c>
      <c r="W14" s="28"/>
      <c r="X14" s="28"/>
    </row>
    <row r="15" spans="2:24" x14ac:dyDescent="0.3">
      <c r="B15" s="30" t="s">
        <v>116</v>
      </c>
      <c r="E15" s="31">
        <v>320</v>
      </c>
      <c r="F15" s="30" t="s">
        <v>101</v>
      </c>
      <c r="H15" s="32">
        <v>0.15</v>
      </c>
      <c r="I15" s="28">
        <f t="shared" si="1"/>
        <v>48</v>
      </c>
      <c r="M15" s="28"/>
      <c r="N15" s="28"/>
      <c r="O15" s="28"/>
      <c r="W15" s="28"/>
      <c r="X15" s="28"/>
    </row>
    <row r="16" spans="2:24" x14ac:dyDescent="0.3">
      <c r="B16" s="30" t="s">
        <v>118</v>
      </c>
      <c r="E16" s="31">
        <v>234</v>
      </c>
      <c r="F16" s="30" t="s">
        <v>101</v>
      </c>
      <c r="H16" s="32">
        <v>0.15</v>
      </c>
      <c r="I16" s="28">
        <f t="shared" si="1"/>
        <v>35.1</v>
      </c>
      <c r="M16" s="28"/>
      <c r="N16" s="28"/>
      <c r="O16" s="28"/>
      <c r="W16" s="28"/>
      <c r="X16" s="28"/>
    </row>
    <row r="17" spans="2:24" x14ac:dyDescent="0.3">
      <c r="B17" s="30" t="s">
        <v>100</v>
      </c>
      <c r="E17" s="31">
        <v>18</v>
      </c>
      <c r="F17" s="30" t="s">
        <v>101</v>
      </c>
      <c r="H17" s="32">
        <v>0.2</v>
      </c>
      <c r="I17" s="28">
        <f t="shared" si="1"/>
        <v>3.6</v>
      </c>
      <c r="M17" s="28"/>
      <c r="N17" s="28"/>
      <c r="O17" s="28"/>
      <c r="W17" s="28"/>
      <c r="X17" s="28"/>
    </row>
    <row r="18" spans="2:24" x14ac:dyDescent="0.3">
      <c r="B18" s="30" t="s">
        <v>120</v>
      </c>
      <c r="E18" s="31">
        <v>46</v>
      </c>
      <c r="F18" s="30" t="s">
        <v>98</v>
      </c>
      <c r="H18" s="32">
        <f>(1/16)*3</f>
        <v>0.1875</v>
      </c>
      <c r="I18" s="28">
        <f t="shared" si="1"/>
        <v>8.625</v>
      </c>
      <c r="M18" s="28"/>
      <c r="N18" s="28"/>
      <c r="O18" s="28"/>
      <c r="S18" s="28"/>
      <c r="T18" s="28"/>
      <c r="U18" s="28"/>
      <c r="V18" s="28"/>
      <c r="W18" s="28"/>
      <c r="X18" s="28"/>
    </row>
    <row r="19" spans="2:24" x14ac:dyDescent="0.3">
      <c r="B19" s="30" t="s">
        <v>121</v>
      </c>
      <c r="E19" s="31">
        <v>129</v>
      </c>
      <c r="H19" s="32">
        <v>0.04</v>
      </c>
      <c r="I19" s="33">
        <f t="shared" si="1"/>
        <v>5.16</v>
      </c>
      <c r="S19" s="28"/>
      <c r="T19" s="28"/>
      <c r="U19" s="28"/>
      <c r="V19" s="28"/>
      <c r="W19" s="28"/>
      <c r="X19" s="28"/>
    </row>
    <row r="20" spans="2:24" x14ac:dyDescent="0.3">
      <c r="E20" s="31"/>
      <c r="H20" s="27" t="s">
        <v>23</v>
      </c>
      <c r="I20" s="28">
        <f>SUM(I13:I19)</f>
        <v>195.73499999999999</v>
      </c>
      <c r="S20" s="28"/>
      <c r="T20" s="28"/>
      <c r="U20" s="28"/>
      <c r="V20" s="28"/>
      <c r="W20" s="28"/>
      <c r="X20" s="28"/>
    </row>
    <row r="21" spans="2:24" x14ac:dyDescent="0.3">
      <c r="E21" s="31"/>
      <c r="L21" s="49" t="s">
        <v>96</v>
      </c>
      <c r="M21" s="49"/>
      <c r="N21" s="49"/>
      <c r="O21" s="49"/>
    </row>
    <row r="22" spans="2:24" x14ac:dyDescent="0.3">
      <c r="B22" s="25" t="s">
        <v>122</v>
      </c>
      <c r="E22" s="31"/>
      <c r="L22" s="26" t="s">
        <v>99</v>
      </c>
      <c r="M22" s="27" t="s">
        <v>156</v>
      </c>
      <c r="N22" s="27" t="s">
        <v>157</v>
      </c>
      <c r="O22" s="27" t="s">
        <v>23</v>
      </c>
    </row>
    <row r="23" spans="2:24" x14ac:dyDescent="0.3">
      <c r="B23" s="30" t="s">
        <v>123</v>
      </c>
      <c r="D23" s="30"/>
      <c r="E23" s="31">
        <v>135</v>
      </c>
      <c r="F23" s="30" t="s">
        <v>101</v>
      </c>
      <c r="H23" s="32">
        <v>0.2</v>
      </c>
      <c r="I23" s="28">
        <f>+E23*H23</f>
        <v>27</v>
      </c>
      <c r="L23" s="26" t="s">
        <v>102</v>
      </c>
      <c r="M23" s="16">
        <f>1000*12</f>
        <v>12000</v>
      </c>
      <c r="N23" s="28">
        <f>M14</f>
        <v>298.52185530837517</v>
      </c>
      <c r="O23" s="28">
        <f>M23*N23</f>
        <v>3582262.263700502</v>
      </c>
      <c r="P23" s="28"/>
    </row>
    <row r="24" spans="2:24" x14ac:dyDescent="0.3">
      <c r="B24" s="30" t="s">
        <v>124</v>
      </c>
      <c r="C24" s="30"/>
      <c r="D24" s="30"/>
      <c r="E24" s="31">
        <v>58</v>
      </c>
      <c r="F24" s="30" t="s">
        <v>101</v>
      </c>
      <c r="H24" s="32">
        <v>0.05</v>
      </c>
      <c r="I24" s="28">
        <f t="shared" ref="I24:I25" si="3">+E24*H24</f>
        <v>2.9000000000000004</v>
      </c>
      <c r="L24" s="26" t="s">
        <v>105</v>
      </c>
      <c r="M24" s="16">
        <f>600*12</f>
        <v>7200</v>
      </c>
      <c r="N24" s="28">
        <f>O14</f>
        <v>489.94435530837507</v>
      </c>
      <c r="O24" s="33">
        <f>M24*N24</f>
        <v>3527599.3582203006</v>
      </c>
      <c r="P24" s="28"/>
    </row>
    <row r="25" spans="2:24" x14ac:dyDescent="0.3">
      <c r="B25" s="30" t="s">
        <v>125</v>
      </c>
      <c r="D25" s="30"/>
      <c r="E25" s="31">
        <v>95</v>
      </c>
      <c r="F25" s="30" t="s">
        <v>126</v>
      </c>
      <c r="H25" s="32">
        <v>1.4999999999999999E-2</v>
      </c>
      <c r="I25" s="33">
        <f t="shared" si="3"/>
        <v>1.425</v>
      </c>
      <c r="M25" s="16"/>
      <c r="N25" s="28"/>
      <c r="O25" s="28">
        <f>SUM(O23:O24)</f>
        <v>7109861.6219208026</v>
      </c>
      <c r="P25" s="28"/>
    </row>
    <row r="26" spans="2:24" x14ac:dyDescent="0.3">
      <c r="B26" s="25"/>
      <c r="E26" s="31"/>
      <c r="H26" s="26" t="s">
        <v>23</v>
      </c>
      <c r="I26" s="28">
        <f>SUM(I23:I25)</f>
        <v>31.324999999999999</v>
      </c>
      <c r="L26" s="26" t="s">
        <v>109</v>
      </c>
      <c r="M26" s="16"/>
      <c r="N26" s="28"/>
      <c r="O26" s="28"/>
      <c r="P26" s="28"/>
    </row>
    <row r="27" spans="2:24" x14ac:dyDescent="0.3">
      <c r="L27" s="26" t="s">
        <v>102</v>
      </c>
      <c r="M27" s="16">
        <f>1000*12</f>
        <v>12000</v>
      </c>
      <c r="N27" s="28">
        <f>M11</f>
        <v>199.01457020558342</v>
      </c>
      <c r="O27" s="28">
        <f>M27*N27</f>
        <v>2388174.8424670012</v>
      </c>
      <c r="P27" s="28"/>
    </row>
    <row r="28" spans="2:24" x14ac:dyDescent="0.3">
      <c r="L28" s="26" t="s">
        <v>105</v>
      </c>
      <c r="M28" s="16">
        <f>600*12</f>
        <v>7200</v>
      </c>
      <c r="N28" s="28">
        <f>O11</f>
        <v>326.62957020558338</v>
      </c>
      <c r="O28" s="33">
        <f>M28*N28</f>
        <v>2351732.9054802004</v>
      </c>
      <c r="P28" s="28"/>
    </row>
    <row r="29" spans="2:24" x14ac:dyDescent="0.3">
      <c r="M29" s="28"/>
      <c r="N29" s="28"/>
      <c r="O29" s="28">
        <f>SUM(O27:O28)</f>
        <v>4739907.7479472011</v>
      </c>
      <c r="P29" s="28"/>
    </row>
    <row r="30" spans="2:24" x14ac:dyDescent="0.3">
      <c r="B30" s="49" t="s">
        <v>108</v>
      </c>
      <c r="C30" s="49"/>
      <c r="D30" s="49"/>
      <c r="E30" s="49"/>
      <c r="F30" s="49"/>
      <c r="G30" s="49"/>
      <c r="H30" s="49"/>
      <c r="I30" s="49"/>
      <c r="M30" s="28"/>
      <c r="N30" s="28"/>
      <c r="O30" s="28"/>
      <c r="P30" s="28"/>
    </row>
    <row r="31" spans="2:24" x14ac:dyDescent="0.3">
      <c r="L31" s="26" t="s">
        <v>115</v>
      </c>
      <c r="M31" s="28"/>
      <c r="N31" s="28"/>
      <c r="O31" s="28">
        <f>O25-O29</f>
        <v>2369953.8739736015</v>
      </c>
      <c r="P31" s="28"/>
    </row>
    <row r="32" spans="2:24" x14ac:dyDescent="0.3">
      <c r="B32" s="26" t="s">
        <v>108</v>
      </c>
      <c r="C32" s="26" t="s">
        <v>127</v>
      </c>
      <c r="E32" s="26" t="s">
        <v>128</v>
      </c>
      <c r="F32" s="26" t="s">
        <v>129</v>
      </c>
      <c r="L32" s="26" t="s">
        <v>117</v>
      </c>
      <c r="M32" s="28"/>
      <c r="N32" s="28"/>
      <c r="O32" s="46">
        <f>+H48+H55</f>
        <v>942800.88136456045</v>
      </c>
      <c r="P32" s="28"/>
    </row>
    <row r="33" spans="2:16" x14ac:dyDescent="0.3">
      <c r="B33" s="26" t="s">
        <v>130</v>
      </c>
      <c r="C33" s="28">
        <f>'[1]12,000'!$D$25</f>
        <v>16451.716378996422</v>
      </c>
      <c r="D33" s="26">
        <v>4</v>
      </c>
      <c r="E33" s="28">
        <f>C33*D33</f>
        <v>65806.865515985686</v>
      </c>
      <c r="F33" s="26">
        <v>1600</v>
      </c>
      <c r="G33" s="31">
        <f>E33/F33</f>
        <v>41.129290947491057</v>
      </c>
      <c r="M33" s="28"/>
      <c r="N33" s="28"/>
      <c r="O33" s="28"/>
      <c r="P33" s="28"/>
    </row>
    <row r="34" spans="2:16" x14ac:dyDescent="0.3">
      <c r="L34" s="47" t="s">
        <v>119</v>
      </c>
      <c r="M34" s="48"/>
      <c r="N34" s="48"/>
      <c r="O34" s="48">
        <f>+O31-O32</f>
        <v>1427152.992609041</v>
      </c>
      <c r="P34" s="35">
        <f>O34/O25</f>
        <v>0.20072865950146029</v>
      </c>
    </row>
    <row r="36" spans="2:16" x14ac:dyDescent="0.3">
      <c r="B36" s="49" t="s">
        <v>131</v>
      </c>
      <c r="C36" s="49"/>
      <c r="D36" s="49"/>
      <c r="E36" s="49"/>
      <c r="F36" s="49"/>
      <c r="G36" s="49"/>
      <c r="H36" s="49"/>
      <c r="I36" s="49"/>
    </row>
    <row r="38" spans="2:16" x14ac:dyDescent="0.3">
      <c r="B38" s="37" t="s">
        <v>132</v>
      </c>
      <c r="C38" s="38" t="s">
        <v>55</v>
      </c>
      <c r="D38" s="38" t="s">
        <v>56</v>
      </c>
      <c r="E38" s="37" t="s">
        <v>133</v>
      </c>
      <c r="F38" s="37" t="s">
        <v>134</v>
      </c>
      <c r="G38" s="37" t="s">
        <v>133</v>
      </c>
      <c r="H38" s="37" t="s">
        <v>134</v>
      </c>
    </row>
    <row r="39" spans="2:16" x14ac:dyDescent="0.3">
      <c r="B39" s="37" t="s">
        <v>135</v>
      </c>
      <c r="C39" s="39">
        <v>45000</v>
      </c>
      <c r="D39" s="39">
        <f>C39*12</f>
        <v>540000</v>
      </c>
      <c r="E39" s="40">
        <v>0.7</v>
      </c>
      <c r="F39" s="40">
        <v>0.3</v>
      </c>
      <c r="G39" s="39">
        <f>D39*E39</f>
        <v>378000</v>
      </c>
      <c r="H39" s="39">
        <f>D39*F39</f>
        <v>162000</v>
      </c>
    </row>
    <row r="40" spans="2:16" x14ac:dyDescent="0.3">
      <c r="B40" s="37" t="s">
        <v>136</v>
      </c>
      <c r="C40" s="39">
        <v>6000</v>
      </c>
      <c r="D40" s="39">
        <f t="shared" ref="D40:D44" si="4">C40*12</f>
        <v>72000</v>
      </c>
      <c r="E40" s="40">
        <v>0.7</v>
      </c>
      <c r="F40" s="40">
        <v>0.3</v>
      </c>
      <c r="G40" s="39">
        <f t="shared" ref="G40:G47" si="5">D40*E40</f>
        <v>50400</v>
      </c>
      <c r="H40" s="39">
        <f t="shared" ref="H40:H47" si="6">D40*F40</f>
        <v>21600</v>
      </c>
    </row>
    <row r="41" spans="2:16" x14ac:dyDescent="0.3">
      <c r="B41" s="37" t="s">
        <v>137</v>
      </c>
      <c r="C41" s="39">
        <v>8000</v>
      </c>
      <c r="D41" s="39">
        <f t="shared" si="4"/>
        <v>96000</v>
      </c>
      <c r="E41" s="40">
        <v>1</v>
      </c>
      <c r="F41" s="40"/>
      <c r="G41" s="39">
        <f t="shared" si="5"/>
        <v>96000</v>
      </c>
      <c r="H41" s="39">
        <f t="shared" si="6"/>
        <v>0</v>
      </c>
    </row>
    <row r="42" spans="2:16" x14ac:dyDescent="0.3">
      <c r="B42" s="37" t="s">
        <v>138</v>
      </c>
      <c r="C42" s="39">
        <v>1500</v>
      </c>
      <c r="D42" s="39">
        <f t="shared" si="4"/>
        <v>18000</v>
      </c>
      <c r="E42" s="40">
        <v>0.8</v>
      </c>
      <c r="F42" s="40">
        <v>0.2</v>
      </c>
      <c r="G42" s="39">
        <f t="shared" si="5"/>
        <v>14400</v>
      </c>
      <c r="H42" s="39">
        <f t="shared" si="6"/>
        <v>3600</v>
      </c>
    </row>
    <row r="43" spans="2:16" x14ac:dyDescent="0.3">
      <c r="B43" s="37" t="s">
        <v>139</v>
      </c>
      <c r="C43" s="39">
        <v>1800</v>
      </c>
      <c r="D43" s="39">
        <f t="shared" si="4"/>
        <v>21600</v>
      </c>
      <c r="E43" s="40">
        <v>0.5</v>
      </c>
      <c r="F43" s="40">
        <v>0.5</v>
      </c>
      <c r="G43" s="39">
        <f t="shared" si="5"/>
        <v>10800</v>
      </c>
      <c r="H43" s="39">
        <f t="shared" si="6"/>
        <v>10800</v>
      </c>
    </row>
    <row r="44" spans="2:16" x14ac:dyDescent="0.3">
      <c r="B44" s="37" t="s">
        <v>140</v>
      </c>
      <c r="C44" s="39">
        <v>2000</v>
      </c>
      <c r="D44" s="39">
        <f t="shared" si="4"/>
        <v>24000</v>
      </c>
      <c r="E44" s="40">
        <v>1</v>
      </c>
      <c r="F44" s="38"/>
      <c r="G44" s="39">
        <f t="shared" si="5"/>
        <v>24000</v>
      </c>
      <c r="H44" s="39">
        <f t="shared" si="6"/>
        <v>0</v>
      </c>
    </row>
    <row r="45" spans="2:16" x14ac:dyDescent="0.3">
      <c r="B45" s="37" t="s">
        <v>141</v>
      </c>
      <c r="C45" s="39">
        <v>13151.391849518004</v>
      </c>
      <c r="D45" s="39">
        <f>C45*12</f>
        <v>157816.70219421605</v>
      </c>
      <c r="E45" s="40">
        <v>0.8</v>
      </c>
      <c r="F45" s="40">
        <v>0.2</v>
      </c>
      <c r="G45" s="39">
        <f t="shared" si="5"/>
        <v>126253.36175537284</v>
      </c>
      <c r="H45" s="39">
        <f t="shared" si="6"/>
        <v>31563.34043884321</v>
      </c>
    </row>
    <row r="46" spans="2:16" x14ac:dyDescent="0.3">
      <c r="B46" s="37" t="s">
        <v>142</v>
      </c>
      <c r="C46" s="39">
        <f>D46/12</f>
        <v>4833.333333333333</v>
      </c>
      <c r="D46" s="39">
        <v>58000</v>
      </c>
      <c r="E46" s="40">
        <v>0.7</v>
      </c>
      <c r="F46" s="40">
        <v>0.3</v>
      </c>
      <c r="G46" s="39">
        <f t="shared" si="5"/>
        <v>40600</v>
      </c>
      <c r="H46" s="39">
        <f t="shared" si="6"/>
        <v>17400</v>
      </c>
    </row>
    <row r="47" spans="2:16" x14ac:dyDescent="0.3">
      <c r="B47" s="37" t="s">
        <v>143</v>
      </c>
      <c r="C47" s="39">
        <v>18000</v>
      </c>
      <c r="D47" s="39">
        <f>C47*12</f>
        <v>216000</v>
      </c>
      <c r="E47" s="40">
        <v>0.7</v>
      </c>
      <c r="F47" s="40">
        <v>0.3</v>
      </c>
      <c r="G47" s="39">
        <f t="shared" si="5"/>
        <v>151200</v>
      </c>
      <c r="H47" s="39">
        <f t="shared" si="6"/>
        <v>64800</v>
      </c>
    </row>
    <row r="48" spans="2:16" x14ac:dyDescent="0.3">
      <c r="B48" s="36"/>
      <c r="C48" s="36"/>
      <c r="D48" s="41">
        <f>SUM(D39:D47)</f>
        <v>1203416.7021942162</v>
      </c>
      <c r="E48" s="36"/>
      <c r="F48" s="36" t="s">
        <v>23</v>
      </c>
      <c r="G48" s="1">
        <f>SUM(G39:G47)</f>
        <v>891653.36175537284</v>
      </c>
      <c r="H48" s="45">
        <f>SUM(H39:H47)</f>
        <v>311763.34043884324</v>
      </c>
    </row>
    <row r="49" spans="2:8" x14ac:dyDescent="0.3">
      <c r="B49" s="36" t="s">
        <v>144</v>
      </c>
      <c r="C49" s="41"/>
      <c r="D49" s="41"/>
      <c r="E49" s="36"/>
      <c r="F49" s="36"/>
      <c r="G49"/>
      <c r="H49"/>
    </row>
    <row r="50" spans="2:8" x14ac:dyDescent="0.3">
      <c r="B50" s="36" t="s">
        <v>145</v>
      </c>
      <c r="C50" s="41"/>
      <c r="D50" s="41"/>
      <c r="E50" s="36"/>
      <c r="F50" s="36"/>
      <c r="G50"/>
      <c r="H50"/>
    </row>
    <row r="51" spans="2:8" x14ac:dyDescent="0.3">
      <c r="B51" s="37" t="s">
        <v>146</v>
      </c>
      <c r="C51" s="42">
        <v>24542.484663420066</v>
      </c>
      <c r="D51" s="39">
        <f>C51*12</f>
        <v>294509.81596104079</v>
      </c>
      <c r="E51" s="44"/>
      <c r="F51" s="43">
        <v>1</v>
      </c>
      <c r="G51" s="44"/>
      <c r="H51" s="42">
        <f>D51*F51</f>
        <v>294509.81596104079</v>
      </c>
    </row>
    <row r="52" spans="2:8" x14ac:dyDescent="0.3">
      <c r="B52" s="37" t="s">
        <v>147</v>
      </c>
      <c r="C52" s="10">
        <v>14443.977080389701</v>
      </c>
      <c r="D52" s="39">
        <f>C52*12</f>
        <v>173327.72496467642</v>
      </c>
      <c r="E52" s="44"/>
      <c r="F52" s="43">
        <v>1</v>
      </c>
      <c r="G52" s="44"/>
      <c r="H52" s="42">
        <f>D52*F52</f>
        <v>173327.72496467642</v>
      </c>
    </row>
    <row r="53" spans="2:8" x14ac:dyDescent="0.3">
      <c r="B53" s="37" t="s">
        <v>148</v>
      </c>
      <c r="C53" s="39">
        <v>10600</v>
      </c>
      <c r="D53" s="39">
        <f>C53*12</f>
        <v>127200</v>
      </c>
      <c r="E53" s="37"/>
      <c r="F53" s="43">
        <v>1</v>
      </c>
      <c r="G53" s="44"/>
      <c r="H53" s="42">
        <f>D53*F53</f>
        <v>127200</v>
      </c>
    </row>
    <row r="54" spans="2:8" x14ac:dyDescent="0.3">
      <c r="B54" s="37" t="s">
        <v>149</v>
      </c>
      <c r="C54" s="39">
        <v>3000</v>
      </c>
      <c r="D54" s="39">
        <f>C54*12</f>
        <v>36000</v>
      </c>
      <c r="E54" s="37"/>
      <c r="F54" s="43">
        <v>1</v>
      </c>
      <c r="G54" s="44"/>
      <c r="H54" s="42">
        <f>D54*F54</f>
        <v>36000</v>
      </c>
    </row>
    <row r="55" spans="2:8" x14ac:dyDescent="0.3">
      <c r="B55" s="36" t="s">
        <v>152</v>
      </c>
      <c r="C55"/>
      <c r="D55"/>
      <c r="E55"/>
      <c r="F55"/>
      <c r="G55"/>
      <c r="H55" s="45">
        <f>SUM(H51:H54)</f>
        <v>631037.54092571721</v>
      </c>
    </row>
    <row r="56" spans="2:8" x14ac:dyDescent="0.3">
      <c r="B56"/>
      <c r="C56"/>
      <c r="D56"/>
      <c r="E56"/>
      <c r="F56"/>
      <c r="G56"/>
      <c r="H56"/>
    </row>
    <row r="57" spans="2:8" x14ac:dyDescent="0.3">
      <c r="B57" t="s">
        <v>110</v>
      </c>
      <c r="C57" s="19">
        <f>G48</f>
        <v>891653.36175537284</v>
      </c>
      <c r="D57" s="22">
        <f>C57/C58</f>
        <v>46.440279258092339</v>
      </c>
      <c r="E57" t="s">
        <v>150</v>
      </c>
      <c r="F57"/>
      <c r="G57"/>
      <c r="H57"/>
    </row>
    <row r="58" spans="2:8" x14ac:dyDescent="0.3">
      <c r="B58" t="s">
        <v>151</v>
      </c>
      <c r="C58" s="1">
        <f>1600*12</f>
        <v>19200</v>
      </c>
      <c r="D58"/>
      <c r="E58"/>
      <c r="F58"/>
      <c r="G58"/>
      <c r="H58"/>
    </row>
    <row r="59" spans="2:8" x14ac:dyDescent="0.3">
      <c r="B59"/>
      <c r="C59"/>
      <c r="D59"/>
      <c r="E59"/>
      <c r="F59"/>
      <c r="G59"/>
      <c r="H59"/>
    </row>
  </sheetData>
  <mergeCells count="5">
    <mergeCell ref="B2:I2"/>
    <mergeCell ref="B30:I30"/>
    <mergeCell ref="B36:I36"/>
    <mergeCell ref="L2:O2"/>
    <mergeCell ref="L21:O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E7F3-4870-45E3-8C6F-26116F8C31B9}">
  <dimension ref="B3:N18"/>
  <sheetViews>
    <sheetView topLeftCell="B1" zoomScale="130" zoomScaleNormal="130" workbookViewId="0">
      <selection activeCell="N16" sqref="N16"/>
    </sheetView>
  </sheetViews>
  <sheetFormatPr baseColWidth="10" defaultRowHeight="14.4" x14ac:dyDescent="0.3"/>
  <sheetData>
    <row r="3" spans="2:14" ht="43.2" x14ac:dyDescent="0.3"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2" t="s">
        <v>0</v>
      </c>
      <c r="J3" s="2" t="s">
        <v>2</v>
      </c>
      <c r="K3" s="2" t="s">
        <v>158</v>
      </c>
      <c r="L3" s="2" t="s">
        <v>4</v>
      </c>
      <c r="M3" s="2" t="s">
        <v>5</v>
      </c>
      <c r="N3" s="2" t="s">
        <v>6</v>
      </c>
    </row>
    <row r="4" spans="2:14" x14ac:dyDescent="0.3">
      <c r="B4" s="3">
        <v>10000</v>
      </c>
      <c r="C4" s="3">
        <f>B4*50</f>
        <v>500000</v>
      </c>
      <c r="D4" s="3">
        <f>B4*22</f>
        <v>220000</v>
      </c>
      <c r="E4" s="3">
        <f>C4-D4</f>
        <v>280000</v>
      </c>
      <c r="F4" s="3">
        <v>448000</v>
      </c>
      <c r="G4" s="3">
        <f>E4-F4</f>
        <v>-168000</v>
      </c>
      <c r="I4" s="3">
        <v>10000</v>
      </c>
      <c r="J4" s="3">
        <f>I4*50</f>
        <v>500000</v>
      </c>
      <c r="K4" s="3">
        <f>I4*25</f>
        <v>250000</v>
      </c>
      <c r="L4" s="3">
        <f>J4-K4</f>
        <v>250000</v>
      </c>
      <c r="M4" s="3">
        <v>448000</v>
      </c>
      <c r="N4" s="3">
        <f>L4-M4</f>
        <v>-198000</v>
      </c>
    </row>
    <row r="5" spans="2:14" x14ac:dyDescent="0.3">
      <c r="B5" s="3">
        <v>12000</v>
      </c>
      <c r="C5" s="3">
        <f>B5*50</f>
        <v>600000</v>
      </c>
      <c r="D5" s="3">
        <f>B5*22</f>
        <v>264000</v>
      </c>
      <c r="E5" s="3">
        <f>C5-D5</f>
        <v>336000</v>
      </c>
      <c r="F5" s="3">
        <v>448000</v>
      </c>
      <c r="G5" s="3">
        <f>E5-F5</f>
        <v>-112000</v>
      </c>
      <c r="I5" s="3">
        <v>12000</v>
      </c>
      <c r="J5" s="3">
        <f>I5*50</f>
        <v>600000</v>
      </c>
      <c r="K5" s="3">
        <f t="shared" ref="K5:K9" si="0">I5*25</f>
        <v>300000</v>
      </c>
      <c r="L5" s="3">
        <f>J5-K5</f>
        <v>300000</v>
      </c>
      <c r="M5" s="3">
        <v>448000</v>
      </c>
      <c r="N5" s="3">
        <f>L5-M5</f>
        <v>-148000</v>
      </c>
    </row>
    <row r="6" spans="2:14" x14ac:dyDescent="0.3">
      <c r="B6" s="3">
        <v>14000</v>
      </c>
      <c r="C6" s="3">
        <f t="shared" ref="C6:C9" si="1">B6*50</f>
        <v>700000</v>
      </c>
      <c r="D6" s="3">
        <f t="shared" ref="D6:D9" si="2">B6*22</f>
        <v>308000</v>
      </c>
      <c r="E6" s="3">
        <f t="shared" ref="E6:E9" si="3">C6-D6</f>
        <v>392000</v>
      </c>
      <c r="F6" s="3">
        <v>448000</v>
      </c>
      <c r="G6" s="3">
        <f t="shared" ref="G6:G9" si="4">E6-F6</f>
        <v>-56000</v>
      </c>
      <c r="I6" s="3">
        <v>14000</v>
      </c>
      <c r="J6" s="3">
        <f t="shared" ref="J6:J9" si="5">I6*50</f>
        <v>700000</v>
      </c>
      <c r="K6" s="3">
        <f t="shared" si="0"/>
        <v>350000</v>
      </c>
      <c r="L6" s="3">
        <f t="shared" ref="L6:L9" si="6">J6-K6</f>
        <v>350000</v>
      </c>
      <c r="M6" s="3">
        <v>448000</v>
      </c>
      <c r="N6" s="3">
        <f t="shared" ref="N6:N9" si="7">L6-M6</f>
        <v>-98000</v>
      </c>
    </row>
    <row r="7" spans="2:14" x14ac:dyDescent="0.3">
      <c r="B7" s="52">
        <v>16000</v>
      </c>
      <c r="C7" s="52">
        <f t="shared" si="1"/>
        <v>800000</v>
      </c>
      <c r="D7" s="52">
        <f t="shared" si="2"/>
        <v>352000</v>
      </c>
      <c r="E7" s="52">
        <f t="shared" si="3"/>
        <v>448000</v>
      </c>
      <c r="F7" s="52">
        <v>448000</v>
      </c>
      <c r="G7" s="52">
        <f t="shared" si="4"/>
        <v>0</v>
      </c>
      <c r="I7" s="52">
        <v>17920</v>
      </c>
      <c r="J7" s="52">
        <f t="shared" si="5"/>
        <v>896000</v>
      </c>
      <c r="K7" s="52">
        <f t="shared" si="0"/>
        <v>448000</v>
      </c>
      <c r="L7" s="52">
        <f t="shared" si="6"/>
        <v>448000</v>
      </c>
      <c r="M7" s="52">
        <v>448000</v>
      </c>
      <c r="N7" s="52">
        <f t="shared" si="7"/>
        <v>0</v>
      </c>
    </row>
    <row r="8" spans="2:14" x14ac:dyDescent="0.3">
      <c r="B8" s="3">
        <v>18000</v>
      </c>
      <c r="C8" s="3">
        <f t="shared" si="1"/>
        <v>900000</v>
      </c>
      <c r="D8" s="3">
        <f t="shared" si="2"/>
        <v>396000</v>
      </c>
      <c r="E8" s="3">
        <f t="shared" si="3"/>
        <v>504000</v>
      </c>
      <c r="F8" s="3">
        <v>448000</v>
      </c>
      <c r="G8" s="3">
        <f t="shared" si="4"/>
        <v>56000</v>
      </c>
      <c r="I8" s="3">
        <v>18000</v>
      </c>
      <c r="J8" s="3">
        <f t="shared" si="5"/>
        <v>900000</v>
      </c>
      <c r="K8" s="3">
        <f t="shared" si="0"/>
        <v>450000</v>
      </c>
      <c r="L8" s="3">
        <f t="shared" si="6"/>
        <v>450000</v>
      </c>
      <c r="M8" s="3">
        <v>448000</v>
      </c>
      <c r="N8" s="3">
        <f t="shared" si="7"/>
        <v>2000</v>
      </c>
    </row>
    <row r="9" spans="2:14" x14ac:dyDescent="0.3">
      <c r="B9" s="3">
        <v>20000</v>
      </c>
      <c r="C9" s="3">
        <f t="shared" si="1"/>
        <v>1000000</v>
      </c>
      <c r="D9" s="3">
        <f t="shared" si="2"/>
        <v>440000</v>
      </c>
      <c r="E9" s="3">
        <f t="shared" si="3"/>
        <v>560000</v>
      </c>
      <c r="F9" s="3">
        <v>448000</v>
      </c>
      <c r="G9" s="3">
        <f t="shared" si="4"/>
        <v>112000</v>
      </c>
      <c r="I9" s="3">
        <v>20000</v>
      </c>
      <c r="J9" s="3">
        <f t="shared" si="5"/>
        <v>1000000</v>
      </c>
      <c r="K9" s="3">
        <f t="shared" si="0"/>
        <v>500000</v>
      </c>
      <c r="L9" s="3">
        <f t="shared" si="6"/>
        <v>500000</v>
      </c>
      <c r="M9" s="3">
        <v>448000</v>
      </c>
      <c r="N9" s="3">
        <f t="shared" si="7"/>
        <v>52000</v>
      </c>
    </row>
    <row r="10" spans="2:14" x14ac:dyDescent="0.3">
      <c r="B10" s="1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</row>
    <row r="11" spans="2:14" x14ac:dyDescent="0.3">
      <c r="B11" s="1"/>
      <c r="I11" s="1"/>
    </row>
    <row r="12" spans="2:14" x14ac:dyDescent="0.3">
      <c r="B12" t="s">
        <v>7</v>
      </c>
      <c r="I12" t="s">
        <v>7</v>
      </c>
    </row>
    <row r="14" spans="2:14" x14ac:dyDescent="0.3">
      <c r="B14" s="50" t="s">
        <v>10</v>
      </c>
      <c r="C14" s="4" t="s">
        <v>8</v>
      </c>
      <c r="I14" s="50" t="s">
        <v>10</v>
      </c>
      <c r="J14" s="4" t="s">
        <v>8</v>
      </c>
    </row>
    <row r="15" spans="2:14" x14ac:dyDescent="0.3">
      <c r="B15" s="50"/>
      <c r="C15" s="5" t="s">
        <v>9</v>
      </c>
      <c r="I15" s="50"/>
      <c r="J15" s="5" t="s">
        <v>9</v>
      </c>
    </row>
    <row r="17" spans="2:11" x14ac:dyDescent="0.3">
      <c r="B17" s="50" t="s">
        <v>10</v>
      </c>
      <c r="C17" s="6">
        <f>F4</f>
        <v>448000</v>
      </c>
      <c r="D17" s="51">
        <v>16000</v>
      </c>
      <c r="I17" s="50" t="s">
        <v>10</v>
      </c>
      <c r="J17" s="6">
        <f>M4</f>
        <v>448000</v>
      </c>
      <c r="K17" s="51">
        <f>J17/(50-25)</f>
        <v>17920</v>
      </c>
    </row>
    <row r="18" spans="2:11" x14ac:dyDescent="0.3">
      <c r="B18" s="50"/>
      <c r="C18" s="5" t="s">
        <v>11</v>
      </c>
      <c r="D18" s="50"/>
      <c r="I18" s="50"/>
      <c r="J18" s="5" t="s">
        <v>159</v>
      </c>
      <c r="K18" s="50"/>
    </row>
  </sheetData>
  <mergeCells count="6">
    <mergeCell ref="K17:K18"/>
    <mergeCell ref="B14:B15"/>
    <mergeCell ref="D17:D18"/>
    <mergeCell ref="B17:B18"/>
    <mergeCell ref="I14:I15"/>
    <mergeCell ref="I17:I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BA38-694E-4C3D-A671-EA8F7FEA5AF0}">
  <dimension ref="B3:F32"/>
  <sheetViews>
    <sheetView topLeftCell="A13" zoomScale="150" zoomScaleNormal="150" workbookViewId="0">
      <selection activeCell="G20" sqref="G20"/>
    </sheetView>
  </sheetViews>
  <sheetFormatPr baseColWidth="10" defaultRowHeight="14.4" x14ac:dyDescent="0.3"/>
  <cols>
    <col min="1" max="1" width="4.6640625" customWidth="1"/>
    <col min="2" max="2" width="24.88671875" customWidth="1"/>
  </cols>
  <sheetData>
    <row r="3" spans="2:6" x14ac:dyDescent="0.3">
      <c r="B3" t="s">
        <v>160</v>
      </c>
    </row>
    <row r="4" spans="2:6" x14ac:dyDescent="0.3">
      <c r="B4" t="s">
        <v>162</v>
      </c>
    </row>
    <row r="6" spans="2:6" x14ac:dyDescent="0.3">
      <c r="C6" s="5" t="s">
        <v>156</v>
      </c>
      <c r="D6" s="5" t="s">
        <v>161</v>
      </c>
      <c r="E6" s="5" t="s">
        <v>23</v>
      </c>
    </row>
    <row r="7" spans="2:6" x14ac:dyDescent="0.3">
      <c r="B7" t="s">
        <v>1</v>
      </c>
      <c r="C7" s="1">
        <v>5000</v>
      </c>
      <c r="D7" s="18">
        <v>1000</v>
      </c>
      <c r="E7" s="18">
        <f>C7*D7</f>
        <v>5000000</v>
      </c>
      <c r="F7" s="18"/>
    </row>
    <row r="8" spans="2:6" x14ac:dyDescent="0.3">
      <c r="B8" t="s">
        <v>66</v>
      </c>
      <c r="C8" s="18"/>
      <c r="D8" s="18"/>
      <c r="E8" s="53">
        <v>2000000</v>
      </c>
      <c r="F8" s="18"/>
    </row>
    <row r="9" spans="2:6" x14ac:dyDescent="0.3">
      <c r="B9" t="s">
        <v>163</v>
      </c>
      <c r="C9" s="18"/>
      <c r="D9" s="18"/>
      <c r="E9" s="18">
        <f>+E7-E8</f>
        <v>3000000</v>
      </c>
      <c r="F9" s="18"/>
    </row>
    <row r="10" spans="2:6" x14ac:dyDescent="0.3">
      <c r="C10" s="18"/>
      <c r="D10" s="18"/>
      <c r="E10" s="19">
        <v>5000</v>
      </c>
      <c r="F10" s="18" t="s">
        <v>164</v>
      </c>
    </row>
    <row r="11" spans="2:6" x14ac:dyDescent="0.3">
      <c r="B11" t="s">
        <v>165</v>
      </c>
      <c r="C11" s="18"/>
      <c r="D11" s="18"/>
      <c r="E11" s="18">
        <f>E9/E10</f>
        <v>600</v>
      </c>
      <c r="F11" s="18"/>
    </row>
    <row r="12" spans="2:6" x14ac:dyDescent="0.3">
      <c r="C12" s="18"/>
      <c r="D12" s="18"/>
      <c r="E12" s="18"/>
      <c r="F12" s="18"/>
    </row>
    <row r="13" spans="2:6" x14ac:dyDescent="0.3">
      <c r="C13" s="18"/>
      <c r="D13" s="18"/>
      <c r="E13" s="18"/>
      <c r="F13" s="18"/>
    </row>
    <row r="14" spans="2:6" x14ac:dyDescent="0.3">
      <c r="C14" s="18"/>
      <c r="D14" s="18"/>
      <c r="E14" s="18"/>
      <c r="F14" s="18"/>
    </row>
    <row r="15" spans="2:6" x14ac:dyDescent="0.3">
      <c r="B15" t="s">
        <v>166</v>
      </c>
      <c r="C15" s="18"/>
      <c r="D15" s="18"/>
      <c r="E15" s="18"/>
      <c r="F15" s="18"/>
    </row>
    <row r="16" spans="2:6" x14ac:dyDescent="0.3">
      <c r="C16" s="18"/>
      <c r="D16" s="18"/>
      <c r="E16" s="18"/>
      <c r="F16" s="18"/>
    </row>
    <row r="17" spans="2:6" x14ac:dyDescent="0.3">
      <c r="C17" s="5" t="s">
        <v>156</v>
      </c>
      <c r="D17" s="5" t="s">
        <v>161</v>
      </c>
      <c r="E17" s="5" t="s">
        <v>23</v>
      </c>
    </row>
    <row r="18" spans="2:6" x14ac:dyDescent="0.3">
      <c r="B18" t="s">
        <v>1</v>
      </c>
      <c r="C18" s="1">
        <v>5000</v>
      </c>
      <c r="D18" s="18">
        <v>1000</v>
      </c>
      <c r="E18" s="18">
        <f>C18*D18</f>
        <v>5000000</v>
      </c>
      <c r="F18" s="18"/>
    </row>
    <row r="19" spans="2:6" x14ac:dyDescent="0.3">
      <c r="B19" t="s">
        <v>66</v>
      </c>
      <c r="C19" s="18"/>
      <c r="D19" s="18"/>
      <c r="E19" s="53">
        <v>2300000</v>
      </c>
      <c r="F19" s="18"/>
    </row>
    <row r="20" spans="2:6" x14ac:dyDescent="0.3">
      <c r="B20" t="s">
        <v>163</v>
      </c>
      <c r="C20" s="18"/>
      <c r="D20" s="18"/>
      <c r="E20" s="18">
        <f>+E18-E19</f>
        <v>2700000</v>
      </c>
      <c r="F20" s="18"/>
    </row>
    <row r="21" spans="2:6" x14ac:dyDescent="0.3">
      <c r="C21" s="18"/>
      <c r="D21" s="18"/>
      <c r="E21" s="19">
        <v>5000</v>
      </c>
      <c r="F21" s="18" t="s">
        <v>164</v>
      </c>
    </row>
    <row r="22" spans="2:6" x14ac:dyDescent="0.3">
      <c r="B22" t="s">
        <v>165</v>
      </c>
      <c r="C22" s="18"/>
      <c r="D22" s="18"/>
      <c r="E22" s="18">
        <f>E20/E21</f>
        <v>540</v>
      </c>
      <c r="F22" s="18"/>
    </row>
    <row r="25" spans="2:6" x14ac:dyDescent="0.3">
      <c r="B25" t="s">
        <v>167</v>
      </c>
      <c r="C25" s="18"/>
      <c r="D25" s="18"/>
      <c r="E25" s="18"/>
      <c r="F25" s="18"/>
    </row>
    <row r="26" spans="2:6" x14ac:dyDescent="0.3">
      <c r="C26" s="18"/>
      <c r="D26" s="18"/>
      <c r="E26" s="18"/>
      <c r="F26" s="18"/>
    </row>
    <row r="27" spans="2:6" x14ac:dyDescent="0.3">
      <c r="C27" s="5" t="s">
        <v>156</v>
      </c>
      <c r="D27" s="5" t="s">
        <v>161</v>
      </c>
      <c r="E27" s="5" t="s">
        <v>23</v>
      </c>
    </row>
    <row r="28" spans="2:6" x14ac:dyDescent="0.3">
      <c r="B28" t="s">
        <v>1</v>
      </c>
      <c r="C28" s="1">
        <v>5000</v>
      </c>
      <c r="D28" s="18">
        <v>1000</v>
      </c>
      <c r="E28" s="18">
        <f>C28*D28</f>
        <v>5000000</v>
      </c>
      <c r="F28" s="18"/>
    </row>
    <row r="29" spans="2:6" x14ac:dyDescent="0.3">
      <c r="B29" t="s">
        <v>66</v>
      </c>
      <c r="C29" s="18"/>
      <c r="D29" s="18"/>
      <c r="E29" s="53">
        <v>1900000</v>
      </c>
      <c r="F29" s="18"/>
    </row>
    <row r="30" spans="2:6" x14ac:dyDescent="0.3">
      <c r="B30" t="s">
        <v>163</v>
      </c>
      <c r="C30" s="18"/>
      <c r="D30" s="18"/>
      <c r="E30" s="18">
        <f>+E28-E29</f>
        <v>3100000</v>
      </c>
      <c r="F30" s="18"/>
    </row>
    <row r="31" spans="2:6" x14ac:dyDescent="0.3">
      <c r="C31" s="18"/>
      <c r="D31" s="18"/>
      <c r="E31" s="19">
        <v>5000</v>
      </c>
      <c r="F31" s="18" t="s">
        <v>164</v>
      </c>
    </row>
    <row r="32" spans="2:6" x14ac:dyDescent="0.3">
      <c r="B32" t="s">
        <v>165</v>
      </c>
      <c r="C32" s="18"/>
      <c r="D32" s="18"/>
      <c r="E32" s="18">
        <f>E30/E31</f>
        <v>620</v>
      </c>
      <c r="F32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9874-0843-4749-AEFA-97F74D1DE2CB}">
  <dimension ref="B2:K81"/>
  <sheetViews>
    <sheetView topLeftCell="A16" zoomScale="140" zoomScaleNormal="140" workbookViewId="0">
      <selection activeCell="B24" sqref="B24:L31"/>
    </sheetView>
  </sheetViews>
  <sheetFormatPr baseColWidth="10" defaultRowHeight="14.4" x14ac:dyDescent="0.3"/>
  <cols>
    <col min="1" max="1" width="5.44140625" customWidth="1"/>
    <col min="4" max="4" width="17.5546875" customWidth="1"/>
    <col min="9" max="9" width="14.77734375" customWidth="1"/>
    <col min="10" max="10" width="13.6640625" customWidth="1"/>
  </cols>
  <sheetData>
    <row r="2" spans="2:6" x14ac:dyDescent="0.3">
      <c r="B2" t="s">
        <v>57</v>
      </c>
    </row>
    <row r="3" spans="2:6" x14ac:dyDescent="0.3">
      <c r="B3" t="s">
        <v>44</v>
      </c>
    </row>
    <row r="4" spans="2:6" x14ac:dyDescent="0.3">
      <c r="B4" t="s">
        <v>45</v>
      </c>
      <c r="E4" s="20">
        <v>250000</v>
      </c>
    </row>
    <row r="5" spans="2:6" x14ac:dyDescent="0.3">
      <c r="B5" t="s">
        <v>46</v>
      </c>
      <c r="E5" s="1">
        <v>40000</v>
      </c>
    </row>
    <row r="6" spans="2:6" x14ac:dyDescent="0.3">
      <c r="B6" t="s">
        <v>50</v>
      </c>
      <c r="E6" s="1">
        <v>75000</v>
      </c>
    </row>
    <row r="7" spans="2:6" x14ac:dyDescent="0.3">
      <c r="B7" t="s">
        <v>47</v>
      </c>
      <c r="E7" s="1">
        <v>210000</v>
      </c>
    </row>
    <row r="8" spans="2:6" x14ac:dyDescent="0.3">
      <c r="B8" t="s">
        <v>48</v>
      </c>
    </row>
    <row r="10" spans="2:6" x14ac:dyDescent="0.3">
      <c r="B10" t="s">
        <v>49</v>
      </c>
    </row>
    <row r="11" spans="2:6" x14ac:dyDescent="0.3">
      <c r="B11" t="s">
        <v>51</v>
      </c>
    </row>
    <row r="13" spans="2:6" x14ac:dyDescent="0.3">
      <c r="E13" s="5" t="s">
        <v>55</v>
      </c>
      <c r="F13" s="5" t="s">
        <v>56</v>
      </c>
    </row>
    <row r="14" spans="2:6" x14ac:dyDescent="0.3">
      <c r="B14" t="s">
        <v>52</v>
      </c>
      <c r="E14" s="1">
        <v>250000</v>
      </c>
      <c r="F14" s="1">
        <f>E14*12</f>
        <v>3000000</v>
      </c>
    </row>
    <row r="15" spans="2:6" x14ac:dyDescent="0.3">
      <c r="B15" t="s">
        <v>53</v>
      </c>
      <c r="E15" s="1">
        <v>40000</v>
      </c>
      <c r="F15" s="1">
        <f t="shared" ref="F15:F17" si="0">E15*12</f>
        <v>480000</v>
      </c>
    </row>
    <row r="16" spans="2:6" x14ac:dyDescent="0.3">
      <c r="B16" t="s">
        <v>54</v>
      </c>
      <c r="E16" s="1">
        <v>75000</v>
      </c>
      <c r="F16" s="1">
        <f t="shared" si="0"/>
        <v>900000</v>
      </c>
    </row>
    <row r="17" spans="2:11" x14ac:dyDescent="0.3">
      <c r="B17" t="s">
        <v>47</v>
      </c>
      <c r="E17" s="19">
        <v>210000</v>
      </c>
      <c r="F17" s="19">
        <f t="shared" si="0"/>
        <v>2520000</v>
      </c>
    </row>
    <row r="18" spans="2:11" x14ac:dyDescent="0.3">
      <c r="D18" s="21" t="s">
        <v>23</v>
      </c>
      <c r="E18" s="1">
        <f>SUM(E14:E17)</f>
        <v>575000</v>
      </c>
      <c r="F18" s="1">
        <f>SUM(F14:F17)</f>
        <v>6900000</v>
      </c>
    </row>
    <row r="21" spans="2:11" x14ac:dyDescent="0.3">
      <c r="B21" t="s">
        <v>58</v>
      </c>
      <c r="E21" s="22">
        <v>820</v>
      </c>
      <c r="F21" s="23">
        <v>0.52</v>
      </c>
      <c r="G21" s="22">
        <f>E21*F21</f>
        <v>426.40000000000003</v>
      </c>
    </row>
    <row r="23" spans="2:11" x14ac:dyDescent="0.3">
      <c r="B23" t="s">
        <v>59</v>
      </c>
    </row>
    <row r="24" spans="2:11" x14ac:dyDescent="0.3">
      <c r="I24" t="s">
        <v>1</v>
      </c>
      <c r="J24" t="s">
        <v>72</v>
      </c>
      <c r="K24" s="1">
        <f>G25*C29</f>
        <v>14375000.000000002</v>
      </c>
    </row>
    <row r="25" spans="2:11" x14ac:dyDescent="0.3">
      <c r="B25" s="50" t="s">
        <v>61</v>
      </c>
      <c r="C25" s="4" t="s">
        <v>64</v>
      </c>
      <c r="E25" s="50" t="s">
        <v>61</v>
      </c>
      <c r="F25" s="6">
        <f>C28</f>
        <v>6900000</v>
      </c>
      <c r="G25" s="51">
        <f>F25/F26</f>
        <v>17530.487804878052</v>
      </c>
      <c r="H25" s="21" t="s">
        <v>67</v>
      </c>
      <c r="I25" t="s">
        <v>66</v>
      </c>
      <c r="J25" t="s">
        <v>73</v>
      </c>
      <c r="K25" s="19">
        <f>G25*C30</f>
        <v>7475000.0000000019</v>
      </c>
    </row>
    <row r="26" spans="2:11" x14ac:dyDescent="0.3">
      <c r="B26" s="50"/>
      <c r="C26" s="5" t="s">
        <v>9</v>
      </c>
      <c r="E26" s="50"/>
      <c r="F26" s="24">
        <f>C29-C30</f>
        <v>393.59999999999997</v>
      </c>
      <c r="G26" s="51"/>
      <c r="H26" s="21" t="s">
        <v>68</v>
      </c>
      <c r="I26" t="s">
        <v>60</v>
      </c>
      <c r="K26" s="1">
        <f>+K24-K25</f>
        <v>6900000</v>
      </c>
    </row>
    <row r="27" spans="2:11" x14ac:dyDescent="0.3">
      <c r="H27" s="21" t="s">
        <v>67</v>
      </c>
      <c r="I27" t="s">
        <v>5</v>
      </c>
      <c r="K27" s="19">
        <f>C28</f>
        <v>6900000</v>
      </c>
    </row>
    <row r="28" spans="2:11" x14ac:dyDescent="0.3">
      <c r="B28" s="21" t="s">
        <v>65</v>
      </c>
      <c r="C28" s="1">
        <f>F18</f>
        <v>6900000</v>
      </c>
      <c r="H28" s="21" t="s">
        <v>68</v>
      </c>
      <c r="I28" t="s">
        <v>69</v>
      </c>
      <c r="K28" s="1">
        <f>+K26-K27</f>
        <v>0</v>
      </c>
    </row>
    <row r="29" spans="2:11" x14ac:dyDescent="0.3">
      <c r="B29" s="21" t="s">
        <v>62</v>
      </c>
      <c r="C29" s="22">
        <f>E21</f>
        <v>820</v>
      </c>
    </row>
    <row r="30" spans="2:11" x14ac:dyDescent="0.3">
      <c r="B30" s="21" t="s">
        <v>63</v>
      </c>
      <c r="C30" s="22">
        <f>G21</f>
        <v>426.40000000000003</v>
      </c>
    </row>
    <row r="33" spans="2:11" x14ac:dyDescent="0.3">
      <c r="B33" t="s">
        <v>74</v>
      </c>
    </row>
    <row r="35" spans="2:11" x14ac:dyDescent="0.3">
      <c r="B35" s="50" t="s">
        <v>61</v>
      </c>
      <c r="C35" s="4" t="s">
        <v>71</v>
      </c>
      <c r="E35" s="50" t="s">
        <v>61</v>
      </c>
      <c r="F35" s="6">
        <f>C38+C41</f>
        <v>9400000</v>
      </c>
      <c r="G35" s="51">
        <f>F35/F36</f>
        <v>23882.113821138213</v>
      </c>
      <c r="I35" t="s">
        <v>1</v>
      </c>
      <c r="J35" t="s">
        <v>75</v>
      </c>
      <c r="K35" s="1">
        <f>+G35*C39</f>
        <v>19583333.333333336</v>
      </c>
    </row>
    <row r="36" spans="2:11" x14ac:dyDescent="0.3">
      <c r="B36" s="50"/>
      <c r="C36" s="5" t="s">
        <v>9</v>
      </c>
      <c r="E36" s="50"/>
      <c r="F36" s="24">
        <f>C39-C40</f>
        <v>393.59999999999997</v>
      </c>
      <c r="G36" s="51"/>
      <c r="H36" s="21" t="s">
        <v>67</v>
      </c>
      <c r="I36" t="s">
        <v>66</v>
      </c>
      <c r="J36" t="s">
        <v>76</v>
      </c>
      <c r="K36" s="19">
        <f>+G35*C40</f>
        <v>10183333.333333334</v>
      </c>
    </row>
    <row r="37" spans="2:11" x14ac:dyDescent="0.3">
      <c r="H37" s="21" t="s">
        <v>68</v>
      </c>
      <c r="I37" t="s">
        <v>60</v>
      </c>
      <c r="K37" s="1">
        <f>+K35-K36</f>
        <v>9400000.0000000019</v>
      </c>
    </row>
    <row r="38" spans="2:11" x14ac:dyDescent="0.3">
      <c r="B38" s="21" t="s">
        <v>65</v>
      </c>
      <c r="C38" s="1">
        <f>C28</f>
        <v>6900000</v>
      </c>
      <c r="H38" s="21" t="s">
        <v>67</v>
      </c>
      <c r="I38" t="s">
        <v>5</v>
      </c>
      <c r="K38" s="19">
        <f>+C38</f>
        <v>6900000</v>
      </c>
    </row>
    <row r="39" spans="2:11" x14ac:dyDescent="0.3">
      <c r="B39" s="21" t="s">
        <v>62</v>
      </c>
      <c r="C39" s="18">
        <f t="shared" ref="C39:C40" si="1">C29</f>
        <v>820</v>
      </c>
      <c r="H39" s="21" t="s">
        <v>68</v>
      </c>
      <c r="I39" t="s">
        <v>69</v>
      </c>
      <c r="K39" s="1">
        <f>+K37-K38</f>
        <v>2500000.0000000019</v>
      </c>
    </row>
    <row r="40" spans="2:11" x14ac:dyDescent="0.3">
      <c r="B40" s="21" t="s">
        <v>63</v>
      </c>
      <c r="C40" s="18">
        <f t="shared" si="1"/>
        <v>426.40000000000003</v>
      </c>
    </row>
    <row r="41" spans="2:11" x14ac:dyDescent="0.3">
      <c r="B41" s="21" t="s">
        <v>70</v>
      </c>
      <c r="C41" s="1">
        <v>2500000</v>
      </c>
    </row>
    <row r="44" spans="2:11" x14ac:dyDescent="0.3">
      <c r="B44" t="s">
        <v>77</v>
      </c>
    </row>
    <row r="46" spans="2:11" x14ac:dyDescent="0.3">
      <c r="B46" s="50" t="s">
        <v>61</v>
      </c>
      <c r="C46" s="4" t="s">
        <v>64</v>
      </c>
      <c r="E46" s="50" t="s">
        <v>61</v>
      </c>
      <c r="F46" s="6">
        <f>C49</f>
        <v>7590000.0000000009</v>
      </c>
      <c r="G46" s="51">
        <f>F46/F47</f>
        <v>19283.536585365859</v>
      </c>
      <c r="I46" t="s">
        <v>1</v>
      </c>
      <c r="J46" t="s">
        <v>78</v>
      </c>
      <c r="K46" s="1">
        <f>G46*C50</f>
        <v>15812500.000000004</v>
      </c>
    </row>
    <row r="47" spans="2:11" x14ac:dyDescent="0.3">
      <c r="B47" s="50"/>
      <c r="C47" s="5" t="s">
        <v>9</v>
      </c>
      <c r="E47" s="50"/>
      <c r="F47" s="24">
        <f>C50-C51</f>
        <v>393.59999999999997</v>
      </c>
      <c r="G47" s="51"/>
      <c r="H47" s="21" t="s">
        <v>67</v>
      </c>
      <c r="I47" t="s">
        <v>66</v>
      </c>
      <c r="J47" t="s">
        <v>79</v>
      </c>
      <c r="K47" s="19">
        <f>G46*C51</f>
        <v>8222500.0000000028</v>
      </c>
    </row>
    <row r="48" spans="2:11" x14ac:dyDescent="0.3">
      <c r="H48" s="21" t="s">
        <v>68</v>
      </c>
      <c r="I48" t="s">
        <v>60</v>
      </c>
      <c r="K48" s="1">
        <f>+K46-K47</f>
        <v>7590000.0000000009</v>
      </c>
    </row>
    <row r="49" spans="2:11" x14ac:dyDescent="0.3">
      <c r="B49" s="21" t="s">
        <v>65</v>
      </c>
      <c r="C49" s="1">
        <f>C28*1.1</f>
        <v>7590000.0000000009</v>
      </c>
      <c r="H49" s="21" t="s">
        <v>67</v>
      </c>
      <c r="I49" t="s">
        <v>5</v>
      </c>
      <c r="K49" s="19">
        <f>C49</f>
        <v>7590000.0000000009</v>
      </c>
    </row>
    <row r="50" spans="2:11" x14ac:dyDescent="0.3">
      <c r="B50" s="21" t="s">
        <v>62</v>
      </c>
      <c r="C50" s="18">
        <f t="shared" ref="C50:C51" si="2">C29</f>
        <v>820</v>
      </c>
      <c r="H50" s="21" t="s">
        <v>68</v>
      </c>
      <c r="I50" t="s">
        <v>69</v>
      </c>
      <c r="K50" s="1">
        <f>+K48-K49</f>
        <v>0</v>
      </c>
    </row>
    <row r="51" spans="2:11" x14ac:dyDescent="0.3">
      <c r="B51" s="21" t="s">
        <v>63</v>
      </c>
      <c r="C51" s="18">
        <f t="shared" si="2"/>
        <v>426.40000000000003</v>
      </c>
    </row>
    <row r="54" spans="2:11" x14ac:dyDescent="0.3">
      <c r="B54" t="s">
        <v>82</v>
      </c>
    </row>
    <row r="56" spans="2:11" x14ac:dyDescent="0.3">
      <c r="B56" s="50" t="s">
        <v>61</v>
      </c>
      <c r="C56" s="4" t="s">
        <v>64</v>
      </c>
      <c r="E56" s="50" t="s">
        <v>61</v>
      </c>
      <c r="F56" s="6">
        <f>C59</f>
        <v>6900000</v>
      </c>
      <c r="G56" s="51">
        <f>F56/F57</f>
        <v>21036.585365853658</v>
      </c>
      <c r="I56" t="s">
        <v>1</v>
      </c>
      <c r="J56" t="s">
        <v>80</v>
      </c>
      <c r="K56" s="1">
        <f>G56*C60</f>
        <v>17250000</v>
      </c>
    </row>
    <row r="57" spans="2:11" x14ac:dyDescent="0.3">
      <c r="B57" s="50"/>
      <c r="C57" s="5" t="s">
        <v>9</v>
      </c>
      <c r="E57" s="50"/>
      <c r="F57" s="24">
        <f>C60-C61</f>
        <v>328</v>
      </c>
      <c r="G57" s="51"/>
      <c r="H57" s="21" t="s">
        <v>67</v>
      </c>
      <c r="I57" t="s">
        <v>66</v>
      </c>
      <c r="J57" t="s">
        <v>81</v>
      </c>
      <c r="K57" s="19">
        <f>G56*C61</f>
        <v>10350000</v>
      </c>
    </row>
    <row r="58" spans="2:11" x14ac:dyDescent="0.3">
      <c r="H58" s="21" t="s">
        <v>68</v>
      </c>
      <c r="I58" t="s">
        <v>60</v>
      </c>
      <c r="K58" s="1">
        <f>+K56-K57</f>
        <v>6900000</v>
      </c>
    </row>
    <row r="59" spans="2:11" x14ac:dyDescent="0.3">
      <c r="B59" s="21" t="s">
        <v>65</v>
      </c>
      <c r="C59" s="1">
        <f>C28</f>
        <v>6900000</v>
      </c>
      <c r="H59" s="21" t="s">
        <v>67</v>
      </c>
      <c r="I59" t="s">
        <v>5</v>
      </c>
      <c r="K59" s="19">
        <f>C59</f>
        <v>6900000</v>
      </c>
    </row>
    <row r="60" spans="2:11" x14ac:dyDescent="0.3">
      <c r="B60" s="21" t="s">
        <v>62</v>
      </c>
      <c r="C60" s="18">
        <f>C29</f>
        <v>820</v>
      </c>
      <c r="H60" s="21" t="s">
        <v>68</v>
      </c>
      <c r="I60" t="s">
        <v>69</v>
      </c>
      <c r="K60" s="1">
        <f>+K58-K59</f>
        <v>0</v>
      </c>
    </row>
    <row r="61" spans="2:11" x14ac:dyDescent="0.3">
      <c r="B61" s="21" t="s">
        <v>63</v>
      </c>
      <c r="C61" s="18">
        <f>C60*60%</f>
        <v>492</v>
      </c>
    </row>
    <row r="64" spans="2:11" x14ac:dyDescent="0.3">
      <c r="B64" t="s">
        <v>83</v>
      </c>
    </row>
    <row r="66" spans="2:11" x14ac:dyDescent="0.3">
      <c r="B66" s="50" t="s">
        <v>61</v>
      </c>
      <c r="C66" s="4" t="s">
        <v>64</v>
      </c>
      <c r="E66" s="50" t="s">
        <v>61</v>
      </c>
      <c r="F66" s="6">
        <f>C69</f>
        <v>6900000</v>
      </c>
      <c r="G66" s="51">
        <f>F66/F67</f>
        <v>16181.988742964351</v>
      </c>
      <c r="I66" t="s">
        <v>1</v>
      </c>
      <c r="J66" t="s">
        <v>84</v>
      </c>
      <c r="K66" s="1">
        <f>G66*C70</f>
        <v>13269230.769230768</v>
      </c>
    </row>
    <row r="67" spans="2:11" x14ac:dyDescent="0.3">
      <c r="B67" s="50"/>
      <c r="C67" s="5" t="s">
        <v>9</v>
      </c>
      <c r="E67" s="50"/>
      <c r="F67" s="24">
        <f>C70-C71</f>
        <v>426.40000000000003</v>
      </c>
      <c r="G67" s="51"/>
      <c r="H67" s="21" t="s">
        <v>67</v>
      </c>
      <c r="I67" t="s">
        <v>66</v>
      </c>
      <c r="J67" t="s">
        <v>85</v>
      </c>
      <c r="K67" s="19">
        <f>G66*C71</f>
        <v>6369230.7692307681</v>
      </c>
    </row>
    <row r="68" spans="2:11" x14ac:dyDescent="0.3">
      <c r="H68" s="21" t="s">
        <v>68</v>
      </c>
      <c r="I68" t="s">
        <v>60</v>
      </c>
      <c r="K68" s="1">
        <f>+K66-K67</f>
        <v>6900000</v>
      </c>
    </row>
    <row r="69" spans="2:11" x14ac:dyDescent="0.3">
      <c r="B69" s="21" t="s">
        <v>65</v>
      </c>
      <c r="C69" s="1">
        <f>C38</f>
        <v>6900000</v>
      </c>
      <c r="H69" s="21" t="s">
        <v>67</v>
      </c>
      <c r="I69" t="s">
        <v>5</v>
      </c>
      <c r="K69" s="19">
        <f>C69</f>
        <v>6900000</v>
      </c>
    </row>
    <row r="70" spans="2:11" x14ac:dyDescent="0.3">
      <c r="B70" s="21" t="s">
        <v>62</v>
      </c>
      <c r="C70" s="18">
        <f>C39</f>
        <v>820</v>
      </c>
      <c r="H70" s="21" t="s">
        <v>68</v>
      </c>
      <c r="I70" t="s">
        <v>69</v>
      </c>
      <c r="K70" s="1">
        <f>+K68-K69</f>
        <v>0</v>
      </c>
    </row>
    <row r="71" spans="2:11" x14ac:dyDescent="0.3">
      <c r="B71" s="21" t="s">
        <v>63</v>
      </c>
      <c r="C71" s="18">
        <f>C70*48%</f>
        <v>393.59999999999997</v>
      </c>
    </row>
    <row r="74" spans="2:11" x14ac:dyDescent="0.3">
      <c r="B74" t="s">
        <v>86</v>
      </c>
    </row>
    <row r="76" spans="2:11" x14ac:dyDescent="0.3">
      <c r="B76" s="50" t="s">
        <v>61</v>
      </c>
      <c r="C76" s="4" t="s">
        <v>64</v>
      </c>
      <c r="E76" s="50" t="s">
        <v>61</v>
      </c>
      <c r="F76" s="6">
        <f>C79</f>
        <v>7934999.9999999991</v>
      </c>
      <c r="G76" s="51">
        <f>F76/F77</f>
        <v>19911.171333935559</v>
      </c>
      <c r="I76" t="s">
        <v>1</v>
      </c>
      <c r="J76" t="s">
        <v>87</v>
      </c>
      <c r="K76" s="1">
        <f>G76*C80</f>
        <v>17633333.333333332</v>
      </c>
    </row>
    <row r="77" spans="2:11" x14ac:dyDescent="0.3">
      <c r="B77" s="50"/>
      <c r="C77" s="5" t="s">
        <v>9</v>
      </c>
      <c r="E77" s="50"/>
      <c r="F77" s="24">
        <f>C80-C81</f>
        <v>398.52</v>
      </c>
      <c r="G77" s="51"/>
      <c r="H77" s="21" t="s">
        <v>67</v>
      </c>
      <c r="I77" t="s">
        <v>66</v>
      </c>
      <c r="J77" t="s">
        <v>88</v>
      </c>
      <c r="K77" s="19">
        <f>G76*C81</f>
        <v>9698333.3333333321</v>
      </c>
    </row>
    <row r="78" spans="2:11" x14ac:dyDescent="0.3">
      <c r="H78" s="21" t="s">
        <v>68</v>
      </c>
      <c r="I78" t="s">
        <v>60</v>
      </c>
      <c r="K78" s="1">
        <f>+K76-K77</f>
        <v>7935000</v>
      </c>
    </row>
    <row r="79" spans="2:11" x14ac:dyDescent="0.3">
      <c r="B79" s="21" t="s">
        <v>65</v>
      </c>
      <c r="C79" s="1">
        <f>C69*1.15</f>
        <v>7934999.9999999991</v>
      </c>
      <c r="H79" s="21" t="s">
        <v>67</v>
      </c>
      <c r="I79" t="s">
        <v>5</v>
      </c>
      <c r="K79" s="19">
        <f>C79</f>
        <v>7934999.9999999991</v>
      </c>
    </row>
    <row r="80" spans="2:11" x14ac:dyDescent="0.3">
      <c r="B80" s="21" t="s">
        <v>62</v>
      </c>
      <c r="C80" s="1">
        <f>C70*1.08</f>
        <v>885.6</v>
      </c>
      <c r="H80" s="21" t="s">
        <v>68</v>
      </c>
      <c r="I80" t="s">
        <v>69</v>
      </c>
      <c r="K80" s="1">
        <f>+K78-K79</f>
        <v>0</v>
      </c>
    </row>
    <row r="81" spans="2:3" x14ac:dyDescent="0.3">
      <c r="B81" s="21" t="s">
        <v>63</v>
      </c>
      <c r="C81" s="1">
        <f>C80*55%</f>
        <v>487.08000000000004</v>
      </c>
    </row>
  </sheetData>
  <mergeCells count="18">
    <mergeCell ref="B25:B26"/>
    <mergeCell ref="E25:E26"/>
    <mergeCell ref="G25:G26"/>
    <mergeCell ref="B35:B36"/>
    <mergeCell ref="E35:E36"/>
    <mergeCell ref="G35:G36"/>
    <mergeCell ref="B46:B47"/>
    <mergeCell ref="E46:E47"/>
    <mergeCell ref="G46:G47"/>
    <mergeCell ref="B56:B57"/>
    <mergeCell ref="E56:E57"/>
    <mergeCell ref="G56:G57"/>
    <mergeCell ref="B66:B67"/>
    <mergeCell ref="E66:E67"/>
    <mergeCell ref="G66:G67"/>
    <mergeCell ref="B76:B77"/>
    <mergeCell ref="E76:E77"/>
    <mergeCell ref="G76:G77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7C0C-DA83-46FC-A5C5-0C7392FF4D21}">
  <dimension ref="B2:J40"/>
  <sheetViews>
    <sheetView topLeftCell="A25" zoomScale="180" zoomScaleNormal="180" workbookViewId="0">
      <selection activeCell="D39" sqref="D39"/>
    </sheetView>
  </sheetViews>
  <sheetFormatPr baseColWidth="10" defaultRowHeight="14.4" x14ac:dyDescent="0.3"/>
  <cols>
    <col min="1" max="1" width="4.6640625" customWidth="1"/>
  </cols>
  <sheetData>
    <row r="2" spans="2:10" x14ac:dyDescent="0.3">
      <c r="B2" t="s">
        <v>168</v>
      </c>
    </row>
    <row r="3" spans="2:10" x14ac:dyDescent="0.3">
      <c r="B3" t="s">
        <v>169</v>
      </c>
    </row>
    <row r="4" spans="2:10" x14ac:dyDescent="0.3">
      <c r="B4" t="s">
        <v>170</v>
      </c>
    </row>
    <row r="5" spans="2:10" x14ac:dyDescent="0.3">
      <c r="B5" t="s">
        <v>171</v>
      </c>
    </row>
    <row r="6" spans="2:10" x14ac:dyDescent="0.3">
      <c r="B6" t="s">
        <v>172</v>
      </c>
    </row>
    <row r="8" spans="2:10" x14ac:dyDescent="0.3">
      <c r="B8" t="s">
        <v>173</v>
      </c>
    </row>
    <row r="9" spans="2:10" x14ac:dyDescent="0.3">
      <c r="B9" t="s">
        <v>174</v>
      </c>
    </row>
    <row r="10" spans="2:10" x14ac:dyDescent="0.3">
      <c r="B10" t="s">
        <v>175</v>
      </c>
      <c r="G10" t="s">
        <v>178</v>
      </c>
    </row>
    <row r="11" spans="2:10" x14ac:dyDescent="0.3">
      <c r="B11" t="s">
        <v>176</v>
      </c>
      <c r="G11" t="s">
        <v>179</v>
      </c>
    </row>
    <row r="12" spans="2:10" x14ac:dyDescent="0.3">
      <c r="B12" t="s">
        <v>177</v>
      </c>
      <c r="G12" t="s">
        <v>180</v>
      </c>
    </row>
    <row r="14" spans="2:10" x14ac:dyDescent="0.3">
      <c r="B14" t="s">
        <v>181</v>
      </c>
      <c r="G14" t="s">
        <v>186</v>
      </c>
    </row>
    <row r="15" spans="2:10" x14ac:dyDescent="0.3">
      <c r="B15" t="s">
        <v>184</v>
      </c>
      <c r="D15" t="s">
        <v>185</v>
      </c>
      <c r="E15" s="1">
        <f>10000*26</f>
        <v>260000</v>
      </c>
      <c r="G15" t="s">
        <v>189</v>
      </c>
      <c r="I15" t="s">
        <v>188</v>
      </c>
      <c r="J15" s="1">
        <f>10000*28</f>
        <v>280000</v>
      </c>
    </row>
    <row r="16" spans="2:10" x14ac:dyDescent="0.3">
      <c r="B16" t="s">
        <v>190</v>
      </c>
      <c r="D16" t="s">
        <v>182</v>
      </c>
      <c r="E16" s="19">
        <v>40000</v>
      </c>
      <c r="G16" t="s">
        <v>190</v>
      </c>
      <c r="I16" t="s">
        <v>182</v>
      </c>
      <c r="J16" s="19">
        <v>0</v>
      </c>
    </row>
    <row r="17" spans="2:10" x14ac:dyDescent="0.3">
      <c r="B17" t="s">
        <v>183</v>
      </c>
      <c r="E17" s="1">
        <f>SUM(E15:E16)</f>
        <v>300000</v>
      </c>
      <c r="G17" t="s">
        <v>191</v>
      </c>
      <c r="J17" s="1">
        <f>SUM(J15:J16)</f>
        <v>280000</v>
      </c>
    </row>
    <row r="20" spans="2:10" x14ac:dyDescent="0.3">
      <c r="E20" t="s">
        <v>187</v>
      </c>
    </row>
    <row r="21" spans="2:10" x14ac:dyDescent="0.3">
      <c r="E21" t="s">
        <v>192</v>
      </c>
    </row>
    <row r="26" spans="2:10" x14ac:dyDescent="0.3">
      <c r="B26" t="s">
        <v>173</v>
      </c>
    </row>
    <row r="27" spans="2:10" x14ac:dyDescent="0.3">
      <c r="B27" t="s">
        <v>193</v>
      </c>
    </row>
    <row r="28" spans="2:10" x14ac:dyDescent="0.3">
      <c r="B28" t="s">
        <v>175</v>
      </c>
      <c r="G28" t="s">
        <v>178</v>
      </c>
    </row>
    <row r="29" spans="2:10" x14ac:dyDescent="0.3">
      <c r="B29" t="s">
        <v>194</v>
      </c>
      <c r="G29" t="s">
        <v>197</v>
      </c>
    </row>
    <row r="30" spans="2:10" x14ac:dyDescent="0.3">
      <c r="B30" t="s">
        <v>195</v>
      </c>
      <c r="G30" t="s">
        <v>180</v>
      </c>
    </row>
    <row r="32" spans="2:10" x14ac:dyDescent="0.3">
      <c r="B32" t="s">
        <v>181</v>
      </c>
      <c r="G32" t="s">
        <v>186</v>
      </c>
    </row>
    <row r="33" spans="2:10" x14ac:dyDescent="0.3">
      <c r="B33" t="s">
        <v>184</v>
      </c>
      <c r="D33" t="s">
        <v>196</v>
      </c>
      <c r="E33" s="1">
        <f>40000*14</f>
        <v>560000</v>
      </c>
      <c r="G33" t="s">
        <v>189</v>
      </c>
      <c r="I33" t="s">
        <v>198</v>
      </c>
      <c r="J33" s="1">
        <f>40000*17</f>
        <v>680000</v>
      </c>
    </row>
    <row r="34" spans="2:10" x14ac:dyDescent="0.3">
      <c r="B34" t="s">
        <v>190</v>
      </c>
      <c r="D34" t="s">
        <v>182</v>
      </c>
      <c r="E34" s="19">
        <v>55000</v>
      </c>
      <c r="G34" t="s">
        <v>190</v>
      </c>
      <c r="I34" t="s">
        <v>182</v>
      </c>
      <c r="J34" s="19">
        <v>0</v>
      </c>
    </row>
    <row r="35" spans="2:10" x14ac:dyDescent="0.3">
      <c r="B35" t="s">
        <v>183</v>
      </c>
      <c r="E35" s="1">
        <f>E33+E34</f>
        <v>615000</v>
      </c>
      <c r="G35" t="s">
        <v>191</v>
      </c>
      <c r="J35" s="1">
        <f>+J33</f>
        <v>680000</v>
      </c>
    </row>
    <row r="38" spans="2:10" x14ac:dyDescent="0.3">
      <c r="E38" t="s">
        <v>199</v>
      </c>
    </row>
    <row r="39" spans="2:10" x14ac:dyDescent="0.3">
      <c r="E39" t="s">
        <v>200</v>
      </c>
    </row>
    <row r="40" spans="2:10" x14ac:dyDescent="0.3">
      <c r="E40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E0B0-0C6C-4293-9962-5474B6454EE9}">
  <dimension ref="B2:I101"/>
  <sheetViews>
    <sheetView workbookViewId="0">
      <selection activeCell="G18" sqref="G18"/>
    </sheetView>
  </sheetViews>
  <sheetFormatPr baseColWidth="10" defaultColWidth="11.44140625" defaultRowHeight="14.4" x14ac:dyDescent="0.3"/>
  <cols>
    <col min="1" max="1" width="5.109375" style="1" customWidth="1"/>
    <col min="2" max="2" width="19.44140625" style="1" bestFit="1" customWidth="1"/>
    <col min="3" max="3" width="16" style="1" customWidth="1"/>
    <col min="4" max="4" width="15.109375" style="1" customWidth="1"/>
    <col min="5" max="5" width="16.109375" style="1" bestFit="1" customWidth="1"/>
    <col min="6" max="6" width="12.33203125" style="1" customWidth="1"/>
    <col min="7" max="7" width="12" style="1" customWidth="1"/>
    <col min="8" max="8" width="15.5546875" style="1" customWidth="1"/>
    <col min="9" max="16384" width="11.44140625" style="1"/>
  </cols>
  <sheetData>
    <row r="2" spans="2:8" ht="18" x14ac:dyDescent="0.35">
      <c r="B2" s="7" t="s">
        <v>12</v>
      </c>
    </row>
    <row r="5" spans="2:8" ht="28.8" x14ac:dyDescent="0.3">
      <c r="B5" s="8" t="s">
        <v>13</v>
      </c>
      <c r="C5" s="9" t="s">
        <v>14</v>
      </c>
      <c r="D5" s="9" t="s">
        <v>15</v>
      </c>
      <c r="E5" s="9" t="s">
        <v>16</v>
      </c>
    </row>
    <row r="6" spans="2:8" x14ac:dyDescent="0.3">
      <c r="B6" s="3" t="s">
        <v>17</v>
      </c>
      <c r="C6" s="3">
        <v>3600</v>
      </c>
      <c r="D6" s="10">
        <v>39.5</v>
      </c>
      <c r="E6" s="10">
        <f>+D6*0.6</f>
        <v>23.7</v>
      </c>
    </row>
    <row r="7" spans="2:8" x14ac:dyDescent="0.3">
      <c r="B7" s="3" t="s">
        <v>18</v>
      </c>
      <c r="C7" s="3">
        <v>4250</v>
      </c>
      <c r="D7" s="10">
        <v>35</v>
      </c>
      <c r="E7" s="10">
        <f>+D7*0.5</f>
        <v>17.5</v>
      </c>
      <c r="G7" s="1" t="s">
        <v>19</v>
      </c>
      <c r="H7" s="1">
        <v>507000</v>
      </c>
    </row>
    <row r="8" spans="2:8" x14ac:dyDescent="0.3">
      <c r="B8" s="3" t="s">
        <v>20</v>
      </c>
      <c r="C8" s="3">
        <v>2980</v>
      </c>
      <c r="D8" s="10">
        <v>42.3</v>
      </c>
      <c r="E8" s="10">
        <f>+D8*0.55</f>
        <v>23.265000000000001</v>
      </c>
    </row>
    <row r="9" spans="2:8" x14ac:dyDescent="0.3">
      <c r="B9" s="3" t="s">
        <v>21</v>
      </c>
      <c r="C9" s="3">
        <v>2750</v>
      </c>
      <c r="D9" s="10">
        <v>45.7</v>
      </c>
      <c r="E9" s="10">
        <f>D9*0.62</f>
        <v>28.334000000000003</v>
      </c>
    </row>
    <row r="10" spans="2:8" x14ac:dyDescent="0.3">
      <c r="B10" s="3" t="s">
        <v>22</v>
      </c>
      <c r="C10" s="3">
        <v>2540</v>
      </c>
      <c r="D10" s="10">
        <v>13</v>
      </c>
      <c r="E10" s="10">
        <f>+D10*0.65</f>
        <v>8.4500000000000011</v>
      </c>
    </row>
    <row r="11" spans="2:8" x14ac:dyDescent="0.3">
      <c r="B11" s="11" t="s">
        <v>23</v>
      </c>
      <c r="C11" s="3">
        <f>SUM(C6:C10)</f>
        <v>16120</v>
      </c>
      <c r="D11" s="10"/>
      <c r="E11" s="10"/>
    </row>
    <row r="14" spans="2:8" x14ac:dyDescent="0.3">
      <c r="B14" s="1" t="s">
        <v>24</v>
      </c>
    </row>
    <row r="16" spans="2:8" ht="28.8" x14ac:dyDescent="0.3">
      <c r="B16" s="8" t="s">
        <v>13</v>
      </c>
      <c r="C16" s="9" t="s">
        <v>14</v>
      </c>
      <c r="D16" s="9" t="s">
        <v>25</v>
      </c>
    </row>
    <row r="17" spans="2:5" x14ac:dyDescent="0.3">
      <c r="B17" s="3" t="s">
        <v>17</v>
      </c>
      <c r="C17" s="3">
        <f>C6</f>
        <v>3600</v>
      </c>
      <c r="D17" s="12">
        <f>C17/$C$22</f>
        <v>0.22332506203473945</v>
      </c>
    </row>
    <row r="18" spans="2:5" x14ac:dyDescent="0.3">
      <c r="B18" s="3" t="s">
        <v>18</v>
      </c>
      <c r="C18" s="3">
        <f t="shared" ref="C18:C22" si="0">C7</f>
        <v>4250</v>
      </c>
      <c r="D18" s="12">
        <f t="shared" ref="D18:D21" si="1">C18/$C$22</f>
        <v>0.26364764267990076</v>
      </c>
    </row>
    <row r="19" spans="2:5" x14ac:dyDescent="0.3">
      <c r="B19" s="3" t="s">
        <v>20</v>
      </c>
      <c r="C19" s="3">
        <f t="shared" si="0"/>
        <v>2980</v>
      </c>
      <c r="D19" s="12">
        <f t="shared" si="1"/>
        <v>0.18486352357320099</v>
      </c>
    </row>
    <row r="20" spans="2:5" x14ac:dyDescent="0.3">
      <c r="B20" s="3" t="str">
        <f>B9</f>
        <v>Suavizante 2</v>
      </c>
      <c r="C20" s="3">
        <f t="shared" si="0"/>
        <v>2750</v>
      </c>
      <c r="D20" s="12">
        <f t="shared" si="1"/>
        <v>0.17059553349875931</v>
      </c>
    </row>
    <row r="21" spans="2:5" x14ac:dyDescent="0.3">
      <c r="B21" s="3" t="s">
        <v>22</v>
      </c>
      <c r="C21" s="3">
        <f t="shared" si="0"/>
        <v>2540</v>
      </c>
      <c r="D21" s="12">
        <f t="shared" si="1"/>
        <v>0.15756823821339949</v>
      </c>
      <c r="E21" s="13"/>
    </row>
    <row r="22" spans="2:5" x14ac:dyDescent="0.3">
      <c r="B22" s="11" t="s">
        <v>23</v>
      </c>
      <c r="C22" s="3">
        <f t="shared" si="0"/>
        <v>16120</v>
      </c>
      <c r="D22" s="14">
        <v>1</v>
      </c>
      <c r="E22" s="13"/>
    </row>
    <row r="25" spans="2:5" x14ac:dyDescent="0.3">
      <c r="B25" s="1" t="s">
        <v>26</v>
      </c>
    </row>
    <row r="27" spans="2:5" ht="43.2" x14ac:dyDescent="0.3">
      <c r="B27" s="8" t="s">
        <v>13</v>
      </c>
      <c r="C27" s="9" t="s">
        <v>27</v>
      </c>
      <c r="D27" s="9" t="s">
        <v>16</v>
      </c>
      <c r="E27" s="9" t="s">
        <v>28</v>
      </c>
    </row>
    <row r="28" spans="2:5" x14ac:dyDescent="0.3">
      <c r="B28" s="3" t="s">
        <v>17</v>
      </c>
      <c r="C28" s="10">
        <f>D6</f>
        <v>39.5</v>
      </c>
      <c r="D28" s="10">
        <f>E6</f>
        <v>23.7</v>
      </c>
      <c r="E28" s="10">
        <f>C28-D28</f>
        <v>15.8</v>
      </c>
    </row>
    <row r="29" spans="2:5" x14ac:dyDescent="0.3">
      <c r="B29" s="3" t="s">
        <v>18</v>
      </c>
      <c r="C29" s="10">
        <f t="shared" ref="C29:D32" si="2">D7</f>
        <v>35</v>
      </c>
      <c r="D29" s="10">
        <f t="shared" si="2"/>
        <v>17.5</v>
      </c>
      <c r="E29" s="10">
        <f t="shared" ref="E29:E32" si="3">C29-D29</f>
        <v>17.5</v>
      </c>
    </row>
    <row r="30" spans="2:5" x14ac:dyDescent="0.3">
      <c r="B30" s="3" t="s">
        <v>20</v>
      </c>
      <c r="C30" s="10">
        <f t="shared" si="2"/>
        <v>42.3</v>
      </c>
      <c r="D30" s="10">
        <f t="shared" si="2"/>
        <v>23.265000000000001</v>
      </c>
      <c r="E30" s="10">
        <f t="shared" si="3"/>
        <v>19.034999999999997</v>
      </c>
    </row>
    <row r="31" spans="2:5" x14ac:dyDescent="0.3">
      <c r="B31" s="3" t="str">
        <f>B20</f>
        <v>Suavizante 2</v>
      </c>
      <c r="C31" s="10">
        <f t="shared" si="2"/>
        <v>45.7</v>
      </c>
      <c r="D31" s="10">
        <f t="shared" si="2"/>
        <v>28.334000000000003</v>
      </c>
      <c r="E31" s="10">
        <f t="shared" si="3"/>
        <v>17.366</v>
      </c>
    </row>
    <row r="32" spans="2:5" x14ac:dyDescent="0.3">
      <c r="B32" s="3" t="s">
        <v>22</v>
      </c>
      <c r="C32" s="10">
        <f t="shared" si="2"/>
        <v>13</v>
      </c>
      <c r="D32" s="10">
        <f t="shared" si="2"/>
        <v>8.4500000000000011</v>
      </c>
      <c r="E32" s="10">
        <f t="shared" si="3"/>
        <v>4.5499999999999989</v>
      </c>
    </row>
    <row r="33" spans="2:7" x14ac:dyDescent="0.3">
      <c r="D33" s="11" t="s">
        <v>23</v>
      </c>
      <c r="E33" s="10">
        <f>SUM(E28:E32)</f>
        <v>74.250999999999991</v>
      </c>
    </row>
    <row r="34" spans="2:7" x14ac:dyDescent="0.3">
      <c r="D34" s="15"/>
    </row>
    <row r="36" spans="2:7" ht="15.6" x14ac:dyDescent="0.3">
      <c r="B36" s="1" t="s">
        <v>29</v>
      </c>
      <c r="G36" s="16"/>
    </row>
    <row r="37" spans="2:7" ht="17.25" customHeight="1" x14ac:dyDescent="0.3"/>
    <row r="38" spans="2:7" ht="43.2" x14ac:dyDescent="0.3">
      <c r="B38" s="8" t="s">
        <v>13</v>
      </c>
      <c r="C38" s="9" t="s">
        <v>28</v>
      </c>
      <c r="D38" s="9" t="s">
        <v>30</v>
      </c>
      <c r="E38" s="9" t="s">
        <v>31</v>
      </c>
    </row>
    <row r="39" spans="2:7" x14ac:dyDescent="0.3">
      <c r="B39" s="3" t="s">
        <v>17</v>
      </c>
      <c r="C39" s="10">
        <f>E28</f>
        <v>15.8</v>
      </c>
      <c r="D39" s="17">
        <f>D17</f>
        <v>0.22332506203473945</v>
      </c>
      <c r="E39" s="10">
        <f>C39*D39</f>
        <v>3.5285359801488836</v>
      </c>
    </row>
    <row r="40" spans="2:7" x14ac:dyDescent="0.3">
      <c r="B40" s="3" t="s">
        <v>18</v>
      </c>
      <c r="C40" s="10">
        <f t="shared" ref="C40:C43" si="4">E29</f>
        <v>17.5</v>
      </c>
      <c r="D40" s="17">
        <f t="shared" ref="D40:D43" si="5">D18</f>
        <v>0.26364764267990076</v>
      </c>
      <c r="E40" s="10">
        <f t="shared" ref="E40:E43" si="6">C40*D40</f>
        <v>4.6138337468982638</v>
      </c>
    </row>
    <row r="41" spans="2:7" x14ac:dyDescent="0.3">
      <c r="B41" s="3" t="s">
        <v>20</v>
      </c>
      <c r="C41" s="10">
        <f t="shared" si="4"/>
        <v>19.034999999999997</v>
      </c>
      <c r="D41" s="17">
        <f t="shared" si="5"/>
        <v>0.18486352357320099</v>
      </c>
      <c r="E41" s="10">
        <f t="shared" si="6"/>
        <v>3.5188771712158804</v>
      </c>
    </row>
    <row r="42" spans="2:7" x14ac:dyDescent="0.3">
      <c r="B42" s="3" t="str">
        <f>B31</f>
        <v>Suavizante 2</v>
      </c>
      <c r="C42" s="10">
        <f t="shared" si="4"/>
        <v>17.366</v>
      </c>
      <c r="D42" s="17">
        <f t="shared" si="5"/>
        <v>0.17059553349875931</v>
      </c>
      <c r="E42" s="10">
        <f t="shared" si="6"/>
        <v>2.9625620347394541</v>
      </c>
    </row>
    <row r="43" spans="2:7" x14ac:dyDescent="0.3">
      <c r="B43" s="3" t="s">
        <v>22</v>
      </c>
      <c r="C43" s="10">
        <f t="shared" si="4"/>
        <v>4.5499999999999989</v>
      </c>
      <c r="D43" s="17">
        <f t="shared" si="5"/>
        <v>0.15756823821339949</v>
      </c>
      <c r="E43" s="10">
        <f t="shared" si="6"/>
        <v>0.7169354838709675</v>
      </c>
    </row>
    <row r="44" spans="2:7" x14ac:dyDescent="0.3">
      <c r="D44" s="11" t="s">
        <v>23</v>
      </c>
      <c r="E44" s="10">
        <f>SUM(E39:E43)</f>
        <v>15.340744416873449</v>
      </c>
    </row>
    <row r="47" spans="2:7" x14ac:dyDescent="0.3">
      <c r="B47" s="1" t="s">
        <v>32</v>
      </c>
    </row>
    <row r="49" spans="2:5" ht="43.2" x14ac:dyDescent="0.3">
      <c r="B49" s="8" t="s">
        <v>33</v>
      </c>
      <c r="C49" s="9" t="s">
        <v>31</v>
      </c>
      <c r="D49" s="9" t="s">
        <v>34</v>
      </c>
    </row>
    <row r="50" spans="2:5" x14ac:dyDescent="0.3">
      <c r="B50" s="3">
        <f>H7</f>
        <v>507000</v>
      </c>
      <c r="C50" s="10">
        <f>E44</f>
        <v>15.340744416873449</v>
      </c>
      <c r="D50" s="10">
        <f>B50/C50</f>
        <v>33049.24364963315</v>
      </c>
    </row>
    <row r="53" spans="2:5" x14ac:dyDescent="0.3">
      <c r="B53" s="1" t="s">
        <v>35</v>
      </c>
    </row>
    <row r="55" spans="2:5" ht="43.2" x14ac:dyDescent="0.3">
      <c r="B55" s="8" t="s">
        <v>13</v>
      </c>
      <c r="C55" s="9" t="s">
        <v>34</v>
      </c>
      <c r="D55" s="9" t="s">
        <v>30</v>
      </c>
      <c r="E55" s="9" t="s">
        <v>36</v>
      </c>
    </row>
    <row r="56" spans="2:5" x14ac:dyDescent="0.3">
      <c r="B56" s="3" t="s">
        <v>17</v>
      </c>
      <c r="C56" s="10">
        <f>$D$50</f>
        <v>33049.24364963315</v>
      </c>
      <c r="D56" s="17">
        <f>D39</f>
        <v>0.22332506203473945</v>
      </c>
      <c r="E56" s="10">
        <f>C56*D56</f>
        <v>7380.7243882555422</v>
      </c>
    </row>
    <row r="57" spans="2:5" x14ac:dyDescent="0.3">
      <c r="B57" s="3" t="s">
        <v>18</v>
      </c>
      <c r="C57" s="10">
        <f t="shared" ref="C57:C60" si="7">$D$50</f>
        <v>33049.24364963315</v>
      </c>
      <c r="D57" s="17">
        <f t="shared" ref="D57:D60" si="8">D40</f>
        <v>0.26364764267990076</v>
      </c>
      <c r="E57" s="10">
        <f t="shared" ref="E57:E60" si="9">C57*D57</f>
        <v>8713.3551805794596</v>
      </c>
    </row>
    <row r="58" spans="2:5" x14ac:dyDescent="0.3">
      <c r="B58" s="3" t="s">
        <v>20</v>
      </c>
      <c r="C58" s="10">
        <f t="shared" si="7"/>
        <v>33049.24364963315</v>
      </c>
      <c r="D58" s="17">
        <f t="shared" si="8"/>
        <v>0.18486352357320099</v>
      </c>
      <c r="E58" s="10">
        <f t="shared" si="9"/>
        <v>6109.5996325004207</v>
      </c>
    </row>
    <row r="59" spans="2:5" x14ac:dyDescent="0.3">
      <c r="B59" s="3" t="str">
        <f>B42</f>
        <v>Suavizante 2</v>
      </c>
      <c r="C59" s="10">
        <f t="shared" si="7"/>
        <v>33049.24364963315</v>
      </c>
      <c r="D59" s="17">
        <f t="shared" si="8"/>
        <v>0.17059553349875931</v>
      </c>
      <c r="E59" s="10">
        <f t="shared" si="9"/>
        <v>5638.0533521396501</v>
      </c>
    </row>
    <row r="60" spans="2:5" x14ac:dyDescent="0.3">
      <c r="B60" s="3" t="s">
        <v>22</v>
      </c>
      <c r="C60" s="10">
        <f t="shared" si="7"/>
        <v>33049.24364963315</v>
      </c>
      <c r="D60" s="17">
        <f t="shared" si="8"/>
        <v>0.15756823821339949</v>
      </c>
      <c r="E60" s="10">
        <f t="shared" si="9"/>
        <v>5207.5110961580767</v>
      </c>
    </row>
    <row r="61" spans="2:5" x14ac:dyDescent="0.3">
      <c r="C61" s="18"/>
      <c r="D61" s="11" t="s">
        <v>23</v>
      </c>
      <c r="E61" s="10">
        <f>SUM(E56:E60)</f>
        <v>33049.24364963315</v>
      </c>
    </row>
    <row r="62" spans="2:5" x14ac:dyDescent="0.3">
      <c r="E62" s="18"/>
    </row>
    <row r="64" spans="2:5" x14ac:dyDescent="0.3">
      <c r="B64" s="1" t="s">
        <v>37</v>
      </c>
    </row>
    <row r="66" spans="2:9" ht="43.2" x14ac:dyDescent="0.3">
      <c r="B66" s="8" t="s">
        <v>13</v>
      </c>
      <c r="C66" s="9" t="s">
        <v>36</v>
      </c>
      <c r="D66" s="9" t="s">
        <v>15</v>
      </c>
      <c r="E66" s="9" t="s">
        <v>16</v>
      </c>
      <c r="F66" s="8" t="s">
        <v>38</v>
      </c>
      <c r="G66" s="9" t="s">
        <v>39</v>
      </c>
      <c r="H66" s="9" t="s">
        <v>40</v>
      </c>
    </row>
    <row r="67" spans="2:9" x14ac:dyDescent="0.3">
      <c r="B67" s="3" t="s">
        <v>17</v>
      </c>
      <c r="C67" s="10">
        <f>E56</f>
        <v>7380.7243882555422</v>
      </c>
      <c r="D67" s="10">
        <f>D6</f>
        <v>39.5</v>
      </c>
      <c r="E67" s="10">
        <f>E6</f>
        <v>23.7</v>
      </c>
      <c r="F67" s="10">
        <f>C67*D67</f>
        <v>291538.6133360939</v>
      </c>
      <c r="G67" s="10">
        <f>C67*E67</f>
        <v>174923.16800165633</v>
      </c>
      <c r="H67" s="10">
        <f>F67-G67</f>
        <v>116615.44533443757</v>
      </c>
    </row>
    <row r="68" spans="2:9" x14ac:dyDescent="0.3">
      <c r="B68" s="3" t="s">
        <v>18</v>
      </c>
      <c r="C68" s="10">
        <f t="shared" ref="C68:C71" si="10">E57</f>
        <v>8713.3551805794596</v>
      </c>
      <c r="D68" s="10">
        <f t="shared" ref="D68:E71" si="11">D7</f>
        <v>35</v>
      </c>
      <c r="E68" s="10">
        <f t="shared" si="11"/>
        <v>17.5</v>
      </c>
      <c r="F68" s="10">
        <f t="shared" ref="F68:F71" si="12">C68*D68</f>
        <v>304967.43132028106</v>
      </c>
      <c r="G68" s="10">
        <f t="shared" ref="G68:G71" si="13">C68*E68</f>
        <v>152483.71566014053</v>
      </c>
      <c r="H68" s="10">
        <f t="shared" ref="H68:H71" si="14">F68-G68</f>
        <v>152483.71566014053</v>
      </c>
    </row>
    <row r="69" spans="2:9" x14ac:dyDescent="0.3">
      <c r="B69" s="3" t="s">
        <v>20</v>
      </c>
      <c r="C69" s="10">
        <f t="shared" si="10"/>
        <v>6109.5996325004207</v>
      </c>
      <c r="D69" s="10">
        <f t="shared" si="11"/>
        <v>42.3</v>
      </c>
      <c r="E69" s="10">
        <f t="shared" si="11"/>
        <v>23.265000000000001</v>
      </c>
      <c r="F69" s="10">
        <f t="shared" si="12"/>
        <v>258436.06445476777</v>
      </c>
      <c r="G69" s="10">
        <f t="shared" si="13"/>
        <v>142139.83545012228</v>
      </c>
      <c r="H69" s="10">
        <f t="shared" si="14"/>
        <v>116296.22900464549</v>
      </c>
    </row>
    <row r="70" spans="2:9" x14ac:dyDescent="0.3">
      <c r="B70" s="3" t="str">
        <f>B59</f>
        <v>Suavizante 2</v>
      </c>
      <c r="C70" s="10">
        <f t="shared" si="10"/>
        <v>5638.0533521396501</v>
      </c>
      <c r="D70" s="10">
        <f t="shared" si="11"/>
        <v>45.7</v>
      </c>
      <c r="E70" s="10">
        <f t="shared" si="11"/>
        <v>28.334000000000003</v>
      </c>
      <c r="F70" s="10">
        <f t="shared" si="12"/>
        <v>257659.03819278203</v>
      </c>
      <c r="G70" s="10">
        <f t="shared" si="13"/>
        <v>159748.60367952485</v>
      </c>
      <c r="H70" s="10">
        <f t="shared" si="14"/>
        <v>97910.434513257176</v>
      </c>
    </row>
    <row r="71" spans="2:9" x14ac:dyDescent="0.3">
      <c r="B71" s="3" t="s">
        <v>22</v>
      </c>
      <c r="C71" s="10">
        <f t="shared" si="10"/>
        <v>5207.5110961580767</v>
      </c>
      <c r="D71" s="10">
        <f t="shared" si="11"/>
        <v>13</v>
      </c>
      <c r="E71" s="10">
        <f t="shared" si="11"/>
        <v>8.4500000000000011</v>
      </c>
      <c r="F71" s="10">
        <f t="shared" si="12"/>
        <v>67697.644250055004</v>
      </c>
      <c r="G71" s="10">
        <f t="shared" si="13"/>
        <v>44003.468762535755</v>
      </c>
      <c r="H71" s="10">
        <f t="shared" si="14"/>
        <v>23694.175487519249</v>
      </c>
    </row>
    <row r="72" spans="2:9" x14ac:dyDescent="0.3">
      <c r="H72" s="1">
        <f>SUM(H67:H71)</f>
        <v>507000</v>
      </c>
    </row>
    <row r="73" spans="2:9" x14ac:dyDescent="0.3">
      <c r="H73" s="19">
        <f>H7</f>
        <v>507000</v>
      </c>
      <c r="I73" s="1" t="s">
        <v>33</v>
      </c>
    </row>
    <row r="74" spans="2:9" x14ac:dyDescent="0.3">
      <c r="H74" s="1">
        <f>H72-H73</f>
        <v>0</v>
      </c>
      <c r="I74" s="1" t="s">
        <v>41</v>
      </c>
    </row>
    <row r="76" spans="2:9" x14ac:dyDescent="0.3">
      <c r="B76" s="1" t="s">
        <v>42</v>
      </c>
    </row>
    <row r="78" spans="2:9" ht="43.2" x14ac:dyDescent="0.3">
      <c r="B78" s="8" t="s">
        <v>33</v>
      </c>
      <c r="C78" s="9" t="s">
        <v>43</v>
      </c>
      <c r="D78" s="9" t="s">
        <v>31</v>
      </c>
      <c r="E78" s="9" t="s">
        <v>34</v>
      </c>
    </row>
    <row r="79" spans="2:9" x14ac:dyDescent="0.3">
      <c r="B79" s="3">
        <f>H7</f>
        <v>507000</v>
      </c>
      <c r="C79" s="3">
        <v>1500000</v>
      </c>
      <c r="D79" s="10">
        <f>C50</f>
        <v>15.340744416873449</v>
      </c>
      <c r="E79" s="10">
        <f>(B79+C79)/D79</f>
        <v>130828.0710154117</v>
      </c>
    </row>
    <row r="83" spans="2:8" ht="43.2" x14ac:dyDescent="0.3">
      <c r="B83" s="8" t="s">
        <v>13</v>
      </c>
      <c r="C83" s="9" t="s">
        <v>34</v>
      </c>
      <c r="D83" s="9" t="s">
        <v>30</v>
      </c>
      <c r="E83" s="9" t="s">
        <v>36</v>
      </c>
    </row>
    <row r="84" spans="2:8" x14ac:dyDescent="0.3">
      <c r="B84" s="3" t="s">
        <v>17</v>
      </c>
      <c r="C84" s="10">
        <f>$E$79</f>
        <v>130828.0710154117</v>
      </c>
      <c r="D84" s="17">
        <f>D56</f>
        <v>0.22332506203473945</v>
      </c>
      <c r="E84" s="10">
        <f>C84*D84</f>
        <v>29217.187075402115</v>
      </c>
    </row>
    <row r="85" spans="2:8" x14ac:dyDescent="0.3">
      <c r="B85" s="3" t="s">
        <v>18</v>
      </c>
      <c r="C85" s="10">
        <f t="shared" ref="C85:C88" si="15">$E$79</f>
        <v>130828.0710154117</v>
      </c>
      <c r="D85" s="17">
        <f t="shared" ref="D85:D88" si="16">D57</f>
        <v>0.26364764267990076</v>
      </c>
      <c r="E85" s="10">
        <f t="shared" ref="E85:E88" si="17">C85*D85</f>
        <v>34492.512519571945</v>
      </c>
    </row>
    <row r="86" spans="2:8" x14ac:dyDescent="0.3">
      <c r="B86" s="3" t="s">
        <v>20</v>
      </c>
      <c r="C86" s="10">
        <f t="shared" si="15"/>
        <v>130828.0710154117</v>
      </c>
      <c r="D86" s="17">
        <f t="shared" si="16"/>
        <v>0.18486352357320099</v>
      </c>
      <c r="E86" s="10">
        <f t="shared" si="17"/>
        <v>24185.338190193972</v>
      </c>
    </row>
    <row r="87" spans="2:8" x14ac:dyDescent="0.3">
      <c r="B87" s="3" t="str">
        <f>B70</f>
        <v>Suavizante 2</v>
      </c>
      <c r="C87" s="10">
        <f t="shared" si="15"/>
        <v>130828.0710154117</v>
      </c>
      <c r="D87" s="17">
        <f t="shared" si="16"/>
        <v>0.17059553349875931</v>
      </c>
      <c r="E87" s="10">
        <f t="shared" si="17"/>
        <v>22318.684571487727</v>
      </c>
    </row>
    <row r="88" spans="2:8" x14ac:dyDescent="0.3">
      <c r="B88" s="3" t="s">
        <v>22</v>
      </c>
      <c r="C88" s="10">
        <f t="shared" si="15"/>
        <v>130828.0710154117</v>
      </c>
      <c r="D88" s="17">
        <f t="shared" si="16"/>
        <v>0.15756823821339949</v>
      </c>
      <c r="E88" s="10">
        <f t="shared" si="17"/>
        <v>20614.348658755935</v>
      </c>
    </row>
    <row r="89" spans="2:8" x14ac:dyDescent="0.3">
      <c r="C89" s="18"/>
      <c r="D89" s="11" t="s">
        <v>23</v>
      </c>
      <c r="E89" s="10">
        <f>SUM(E84:E88)</f>
        <v>130828.0710154117</v>
      </c>
    </row>
    <row r="93" spans="2:8" ht="43.2" x14ac:dyDescent="0.3">
      <c r="B93" s="8" t="s">
        <v>13</v>
      </c>
      <c r="C93" s="9" t="s">
        <v>36</v>
      </c>
      <c r="D93" s="9" t="s">
        <v>15</v>
      </c>
      <c r="E93" s="9" t="s">
        <v>16</v>
      </c>
      <c r="F93" s="8" t="s">
        <v>38</v>
      </c>
      <c r="G93" s="9" t="s">
        <v>39</v>
      </c>
      <c r="H93" s="9" t="s">
        <v>40</v>
      </c>
    </row>
    <row r="94" spans="2:8" x14ac:dyDescent="0.3">
      <c r="B94" s="3" t="s">
        <v>17</v>
      </c>
      <c r="C94" s="10">
        <f>E84</f>
        <v>29217.187075402115</v>
      </c>
      <c r="D94" s="10">
        <f>C28</f>
        <v>39.5</v>
      </c>
      <c r="E94" s="10">
        <f>D28</f>
        <v>23.7</v>
      </c>
      <c r="F94" s="10">
        <f>C94*D94</f>
        <v>1154078.8894783836</v>
      </c>
      <c r="G94" s="10">
        <f>C94*E94</f>
        <v>692447.33368703013</v>
      </c>
      <c r="H94" s="10">
        <f>F94-G94</f>
        <v>461631.55579135346</v>
      </c>
    </row>
    <row r="95" spans="2:8" x14ac:dyDescent="0.3">
      <c r="B95" s="3" t="s">
        <v>18</v>
      </c>
      <c r="C95" s="10">
        <f t="shared" ref="C95:C98" si="18">E85</f>
        <v>34492.512519571945</v>
      </c>
      <c r="D95" s="10">
        <f t="shared" ref="D95:E98" si="19">C29</f>
        <v>35</v>
      </c>
      <c r="E95" s="10">
        <f t="shared" si="19"/>
        <v>17.5</v>
      </c>
      <c r="F95" s="10">
        <f t="shared" ref="F95:F98" si="20">C95*D95</f>
        <v>1207237.938185018</v>
      </c>
      <c r="G95" s="10">
        <f t="shared" ref="G95:G98" si="21">C95*E95</f>
        <v>603618.96909250901</v>
      </c>
      <c r="H95" s="10">
        <f t="shared" ref="H95:H98" si="22">F95-G95</f>
        <v>603618.96909250901</v>
      </c>
    </row>
    <row r="96" spans="2:8" x14ac:dyDescent="0.3">
      <c r="B96" s="3" t="s">
        <v>20</v>
      </c>
      <c r="C96" s="10">
        <f t="shared" si="18"/>
        <v>24185.338190193972</v>
      </c>
      <c r="D96" s="10">
        <f t="shared" si="19"/>
        <v>42.3</v>
      </c>
      <c r="E96" s="10">
        <f t="shared" si="19"/>
        <v>23.265000000000001</v>
      </c>
      <c r="F96" s="10">
        <f t="shared" si="20"/>
        <v>1023039.805445205</v>
      </c>
      <c r="G96" s="10">
        <f t="shared" si="21"/>
        <v>562671.89299486275</v>
      </c>
      <c r="H96" s="10">
        <f t="shared" si="22"/>
        <v>460367.91245034221</v>
      </c>
    </row>
    <row r="97" spans="2:9" x14ac:dyDescent="0.3">
      <c r="B97" s="3" t="str">
        <f>B86</f>
        <v>Suavizante</v>
      </c>
      <c r="C97" s="10">
        <f t="shared" si="18"/>
        <v>22318.684571487727</v>
      </c>
      <c r="D97" s="10">
        <f t="shared" si="19"/>
        <v>45.7</v>
      </c>
      <c r="E97" s="10">
        <f t="shared" si="19"/>
        <v>28.334000000000003</v>
      </c>
      <c r="F97" s="10">
        <f t="shared" si="20"/>
        <v>1019963.8849169892</v>
      </c>
      <c r="G97" s="10">
        <f t="shared" si="21"/>
        <v>632377.60864853335</v>
      </c>
      <c r="H97" s="10">
        <f t="shared" si="22"/>
        <v>387586.2762684559</v>
      </c>
    </row>
    <row r="98" spans="2:9" x14ac:dyDescent="0.3">
      <c r="B98" s="3" t="s">
        <v>22</v>
      </c>
      <c r="C98" s="10">
        <f t="shared" si="18"/>
        <v>20614.348658755935</v>
      </c>
      <c r="D98" s="10">
        <f t="shared" si="19"/>
        <v>13</v>
      </c>
      <c r="E98" s="10">
        <f t="shared" si="19"/>
        <v>8.4500000000000011</v>
      </c>
      <c r="F98" s="10">
        <f t="shared" si="20"/>
        <v>267986.53256382718</v>
      </c>
      <c r="G98" s="10">
        <f t="shared" si="21"/>
        <v>174191.24616648766</v>
      </c>
      <c r="H98" s="10">
        <f t="shared" si="22"/>
        <v>93795.286397339514</v>
      </c>
    </row>
    <row r="99" spans="2:9" x14ac:dyDescent="0.3">
      <c r="H99" s="1">
        <f>SUM(H94:H98)</f>
        <v>2007000.0000000002</v>
      </c>
    </row>
    <row r="100" spans="2:9" x14ac:dyDescent="0.3">
      <c r="H100" s="19">
        <f>H7</f>
        <v>507000</v>
      </c>
      <c r="I100" s="1" t="s">
        <v>33</v>
      </c>
    </row>
    <row r="101" spans="2:9" x14ac:dyDescent="0.3">
      <c r="H101" s="1">
        <f>+H99-H100</f>
        <v>1500000.0000000002</v>
      </c>
      <c r="I101" s="1" t="s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496E-E7DD-4BE9-B9A4-3532E7ED9E1E}">
  <dimension ref="B3:E50"/>
  <sheetViews>
    <sheetView tabSelected="1" zoomScale="170" zoomScaleNormal="170" workbookViewId="0">
      <selection activeCell="E14" sqref="E14"/>
    </sheetView>
  </sheetViews>
  <sheetFormatPr baseColWidth="10" defaultRowHeight="14.4" x14ac:dyDescent="0.3"/>
  <cols>
    <col min="2" max="2" width="23.21875" customWidth="1"/>
  </cols>
  <sheetData>
    <row r="3" spans="2:5" x14ac:dyDescent="0.3">
      <c r="B3" t="s">
        <v>205</v>
      </c>
    </row>
    <row r="5" spans="2:5" x14ac:dyDescent="0.3">
      <c r="B5" t="s">
        <v>206</v>
      </c>
    </row>
    <row r="7" spans="2:5" x14ac:dyDescent="0.3">
      <c r="B7" t="s">
        <v>207</v>
      </c>
      <c r="D7">
        <v>100</v>
      </c>
    </row>
    <row r="8" spans="2:5" x14ac:dyDescent="0.3">
      <c r="B8" t="s">
        <v>208</v>
      </c>
      <c r="D8">
        <v>60</v>
      </c>
    </row>
    <row r="9" spans="2:5" x14ac:dyDescent="0.3">
      <c r="B9" t="s">
        <v>209</v>
      </c>
      <c r="D9" s="18">
        <v>360000</v>
      </c>
    </row>
    <row r="10" spans="2:5" x14ac:dyDescent="0.3">
      <c r="B10" t="s">
        <v>210</v>
      </c>
      <c r="D10" s="1">
        <v>15000</v>
      </c>
    </row>
    <row r="12" spans="2:5" x14ac:dyDescent="0.3">
      <c r="B12" t="s">
        <v>202</v>
      </c>
    </row>
    <row r="13" spans="2:5" x14ac:dyDescent="0.3">
      <c r="B13" t="s">
        <v>203</v>
      </c>
    </row>
    <row r="15" spans="2:5" x14ac:dyDescent="0.3">
      <c r="B15" t="s">
        <v>1</v>
      </c>
      <c r="C15" s="18">
        <f>+D10*D7</f>
        <v>1500000</v>
      </c>
      <c r="D15" s="18"/>
      <c r="E15" s="18"/>
    </row>
    <row r="16" spans="2:5" x14ac:dyDescent="0.3">
      <c r="B16" t="s">
        <v>66</v>
      </c>
      <c r="C16" s="53">
        <f>D10*D8</f>
        <v>900000</v>
      </c>
      <c r="D16" s="18"/>
      <c r="E16" s="18"/>
    </row>
    <row r="17" spans="2:5" x14ac:dyDescent="0.3">
      <c r="B17" t="s">
        <v>4</v>
      </c>
      <c r="C17" s="18">
        <f>C15-C16</f>
        <v>600000</v>
      </c>
      <c r="D17" s="18"/>
      <c r="E17" s="18"/>
    </row>
    <row r="18" spans="2:5" x14ac:dyDescent="0.3">
      <c r="B18" t="s">
        <v>211</v>
      </c>
      <c r="C18" s="53">
        <f>D9</f>
        <v>360000</v>
      </c>
      <c r="D18" s="18"/>
      <c r="E18" s="18"/>
    </row>
    <row r="19" spans="2:5" x14ac:dyDescent="0.3">
      <c r="B19" t="s">
        <v>212</v>
      </c>
      <c r="C19" s="18">
        <f>+C17-C18</f>
        <v>240000</v>
      </c>
    </row>
    <row r="21" spans="2:5" x14ac:dyDescent="0.3">
      <c r="B21" t="s">
        <v>204</v>
      </c>
    </row>
    <row r="23" spans="2:5" x14ac:dyDescent="0.3">
      <c r="B23" s="50" t="s">
        <v>213</v>
      </c>
      <c r="C23" s="4" t="s">
        <v>214</v>
      </c>
      <c r="D23" s="54"/>
    </row>
    <row r="24" spans="2:5" x14ac:dyDescent="0.3">
      <c r="B24" s="50"/>
      <c r="C24" s="5" t="s">
        <v>215</v>
      </c>
      <c r="D24" s="54"/>
    </row>
    <row r="26" spans="2:5" x14ac:dyDescent="0.3">
      <c r="B26" s="50" t="s">
        <v>213</v>
      </c>
      <c r="C26" s="55">
        <f>C17</f>
        <v>600000</v>
      </c>
      <c r="D26" s="50">
        <f>C26/C27</f>
        <v>2.5</v>
      </c>
    </row>
    <row r="27" spans="2:5" x14ac:dyDescent="0.3">
      <c r="B27" s="50"/>
      <c r="C27" s="56">
        <f>C19</f>
        <v>240000</v>
      </c>
      <c r="D27" s="50"/>
    </row>
    <row r="29" spans="2:5" x14ac:dyDescent="0.3">
      <c r="B29" t="s">
        <v>216</v>
      </c>
    </row>
    <row r="32" spans="2:5" x14ac:dyDescent="0.3">
      <c r="B32" t="s">
        <v>217</v>
      </c>
    </row>
    <row r="34" spans="2:5" x14ac:dyDescent="0.3">
      <c r="B34" t="s">
        <v>207</v>
      </c>
      <c r="D34">
        <v>100</v>
      </c>
    </row>
    <row r="35" spans="2:5" x14ac:dyDescent="0.3">
      <c r="B35" t="s">
        <v>208</v>
      </c>
      <c r="D35">
        <v>60</v>
      </c>
    </row>
    <row r="36" spans="2:5" x14ac:dyDescent="0.3">
      <c r="B36" t="s">
        <v>209</v>
      </c>
      <c r="D36" s="18">
        <v>360000</v>
      </c>
    </row>
    <row r="37" spans="2:5" x14ac:dyDescent="0.3">
      <c r="B37" t="s">
        <v>210</v>
      </c>
      <c r="D37" s="1">
        <f>15000*1.1</f>
        <v>16500</v>
      </c>
    </row>
    <row r="39" spans="2:5" x14ac:dyDescent="0.3">
      <c r="B39" t="s">
        <v>202</v>
      </c>
    </row>
    <row r="40" spans="2:5" x14ac:dyDescent="0.3">
      <c r="B40" t="s">
        <v>203</v>
      </c>
    </row>
    <row r="42" spans="2:5" x14ac:dyDescent="0.3">
      <c r="B42" t="s">
        <v>1</v>
      </c>
      <c r="C42" s="18">
        <f>+D37*D34</f>
        <v>1650000</v>
      </c>
      <c r="D42" s="18"/>
      <c r="E42" s="18"/>
    </row>
    <row r="43" spans="2:5" x14ac:dyDescent="0.3">
      <c r="B43" t="s">
        <v>66</v>
      </c>
      <c r="C43" s="53">
        <f>D37*D35</f>
        <v>990000</v>
      </c>
      <c r="D43" s="18"/>
      <c r="E43" s="18"/>
    </row>
    <row r="44" spans="2:5" x14ac:dyDescent="0.3">
      <c r="B44" t="s">
        <v>4</v>
      </c>
      <c r="C44" s="18">
        <f>C42-C43</f>
        <v>660000</v>
      </c>
      <c r="D44" s="18"/>
      <c r="E44" s="18"/>
    </row>
    <row r="45" spans="2:5" x14ac:dyDescent="0.3">
      <c r="B45" t="s">
        <v>211</v>
      </c>
      <c r="C45" s="53">
        <f>D36</f>
        <v>360000</v>
      </c>
      <c r="D45" s="18"/>
      <c r="E45" s="18"/>
    </row>
    <row r="46" spans="2:5" x14ac:dyDescent="0.3">
      <c r="B46" t="s">
        <v>212</v>
      </c>
      <c r="C46" s="18">
        <f>+C44-C45</f>
        <v>300000</v>
      </c>
    </row>
    <row r="49" spans="2:3" x14ac:dyDescent="0.3">
      <c r="B49" t="s">
        <v>218</v>
      </c>
      <c r="C49">
        <f>C42/C15</f>
        <v>1.1000000000000001</v>
      </c>
    </row>
    <row r="50" spans="2:3" x14ac:dyDescent="0.3">
      <c r="B50" t="s">
        <v>219</v>
      </c>
      <c r="C50">
        <f>C46/C19</f>
        <v>1.25</v>
      </c>
    </row>
  </sheetData>
  <mergeCells count="4">
    <mergeCell ref="B23:B24"/>
    <mergeCell ref="D23:D24"/>
    <mergeCell ref="B26:B27"/>
    <mergeCell ref="D26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Costos</vt:lpstr>
      <vt:lpstr>CVU</vt:lpstr>
      <vt:lpstr>MC</vt:lpstr>
      <vt:lpstr>PE</vt:lpstr>
      <vt:lpstr>Costos dif</vt:lpstr>
      <vt:lpstr>PE Multi</vt:lpstr>
      <vt:lpstr>Apalancamiento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Martínez Fernández</dc:creator>
  <cp:lastModifiedBy>Julieta Martínez Fernández</cp:lastModifiedBy>
  <dcterms:created xsi:type="dcterms:W3CDTF">2026-10-05T17:14:32Z</dcterms:created>
  <dcterms:modified xsi:type="dcterms:W3CDTF">2026-10-07T21:20:41Z</dcterms:modified>
</cp:coreProperties>
</file>