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 D\PERSONAL 2025\COFIDE\TEMARIO Y BIBLIOGRAFIA\"/>
    </mc:Choice>
  </mc:AlternateContent>
  <bookViews>
    <workbookView xWindow="-120" yWindow="-120" windowWidth="20730" windowHeight="11160" firstSheet="6" activeTab="9"/>
  </bookViews>
  <sheets>
    <sheet name="COSTO DIRECTO" sheetId="11" r:id="rId1"/>
    <sheet name="1 CAT. CONCEPTOS_PRESUPUESTO_" sheetId="1" r:id="rId2"/>
    <sheet name="2 CATÁLOGO DE MAT." sheetId="2" r:id="rId3"/>
    <sheet name="3 CATÁLOGO DE M. DE O." sheetId="3" r:id="rId4"/>
    <sheet name="4 CATÁLOGO DE EQ. Y HERR" sheetId="4" r:id="rId5"/>
    <sheet name="5 CATÁLOGO DE BÁSICOS" sheetId="5" r:id="rId6"/>
    <sheet name="6 MATRIZ DE BÁSICOS" sheetId="6" r:id="rId7"/>
    <sheet name="7 FACTOR SAL REAL" sheetId="7" r:id="rId8"/>
    <sheet name="8 COSTO HOR MAQUINA" sheetId="8" r:id="rId9"/>
    <sheet name="9 MATRIZ DE PU" sheetId="9" r:id="rId10"/>
    <sheet name="OPERACIONES PU" sheetId="10" r:id="rId11"/>
  </sheets>
  <definedNames>
    <definedName name="_xlnm.Print_Area" localSheetId="1">'1 CAT. CONCEPTOS_PRESUPUESTO_'!$B$1:$G$29</definedName>
    <definedName name="_xlnm.Print_Area" localSheetId="8">'8 COSTO HOR MAQUINA'!$A$1:$G$139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21" i="1"/>
  <c r="F20" i="1"/>
  <c r="F17" i="1"/>
  <c r="F16" i="1"/>
  <c r="F213" i="9"/>
  <c r="F214" i="9" s="1"/>
  <c r="F16" i="11"/>
  <c r="F17" i="11"/>
  <c r="F13" i="1"/>
  <c r="F343" i="9"/>
  <c r="F344" i="9" s="1"/>
  <c r="F297" i="9"/>
  <c r="F298" i="9" s="1"/>
  <c r="F254" i="9"/>
  <c r="F255" i="9" s="1"/>
  <c r="F172" i="9"/>
  <c r="F173" i="9" s="1"/>
  <c r="F128" i="9"/>
  <c r="F129" i="9" s="1"/>
  <c r="F215" i="9" l="1"/>
  <c r="F216" i="9" s="1"/>
  <c r="F345" i="9"/>
  <c r="F346" i="9" s="1"/>
  <c r="F299" i="9"/>
  <c r="F300" i="9" s="1"/>
  <c r="F256" i="9"/>
  <c r="F257" i="9" s="1"/>
  <c r="F174" i="9"/>
  <c r="F175" i="9" s="1"/>
  <c r="F130" i="9"/>
  <c r="F131" i="9" s="1"/>
  <c r="F217" i="9" l="1"/>
  <c r="F218" i="9" s="1"/>
  <c r="F347" i="9"/>
  <c r="F348" i="9" s="1"/>
  <c r="F301" i="9"/>
  <c r="F302" i="9" s="1"/>
  <c r="F258" i="9"/>
  <c r="F259" i="9" s="1"/>
  <c r="F176" i="9"/>
  <c r="F177" i="9" s="1"/>
  <c r="F132" i="9"/>
  <c r="F133" i="9" s="1"/>
  <c r="F219" i="9" l="1"/>
  <c r="F220" i="9" s="1"/>
  <c r="F349" i="9"/>
  <c r="F350" i="9" s="1"/>
  <c r="F303" i="9"/>
  <c r="F304" i="9" s="1"/>
  <c r="F260" i="9"/>
  <c r="F261" i="9" s="1"/>
  <c r="F178" i="9"/>
  <c r="F179" i="9" s="1"/>
  <c r="F134" i="9"/>
  <c r="F135" i="9" s="1"/>
  <c r="G25" i="11" l="1"/>
  <c r="E233" i="9" l="1"/>
  <c r="E232" i="9"/>
  <c r="D88" i="8"/>
  <c r="D87" i="8"/>
  <c r="D84" i="8"/>
  <c r="D82" i="8"/>
  <c r="D80" i="8"/>
  <c r="D78" i="8"/>
  <c r="D75" i="8"/>
  <c r="D71" i="8"/>
  <c r="D73" i="8"/>
  <c r="D69" i="8"/>
  <c r="D67" i="8"/>
  <c r="I337" i="6"/>
  <c r="K21" i="7"/>
  <c r="I26" i="10" l="1"/>
  <c r="I27" i="10" s="1"/>
  <c r="I28" i="10" s="1"/>
  <c r="I14" i="10"/>
  <c r="I29" i="10" s="1"/>
  <c r="I30" i="10" s="1"/>
  <c r="I31" i="10" s="1"/>
  <c r="H14" i="10"/>
  <c r="J10" i="10"/>
  <c r="J14" i="10" s="1"/>
  <c r="C321" i="10" l="1"/>
  <c r="B319" i="10"/>
  <c r="B318" i="10"/>
  <c r="C319" i="10" s="1"/>
  <c r="B314" i="10"/>
  <c r="B311" i="10"/>
  <c r="B309" i="10"/>
  <c r="E227" i="10"/>
  <c r="F224" i="10"/>
  <c r="E221" i="10"/>
  <c r="E222" i="10" s="1"/>
  <c r="E219" i="10"/>
  <c r="F44" i="10"/>
  <c r="F45" i="10" s="1"/>
  <c r="F43" i="10"/>
  <c r="B43" i="10"/>
  <c r="C43" i="10" s="1"/>
  <c r="B44" i="10" s="1"/>
  <c r="C44" i="10" s="1"/>
  <c r="B40" i="10"/>
  <c r="C40" i="10" s="1"/>
  <c r="B39" i="10"/>
  <c r="B37" i="10"/>
  <c r="F32" i="10"/>
  <c r="E32" i="10"/>
  <c r="E34" i="10" s="1"/>
  <c r="F35" i="10" s="1"/>
  <c r="F36" i="10" s="1"/>
  <c r="F31" i="10"/>
  <c r="B31" i="10"/>
  <c r="B32" i="10" s="1"/>
  <c r="B26" i="10"/>
  <c r="B22" i="10"/>
  <c r="F21" i="10"/>
  <c r="E13" i="10"/>
  <c r="E14" i="10" s="1"/>
  <c r="F14" i="10" s="1"/>
  <c r="C12" i="10"/>
  <c r="C15" i="10" s="1"/>
  <c r="C16" i="10" s="1"/>
  <c r="B9" i="10"/>
  <c r="E8" i="10"/>
  <c r="E9" i="10" s="1"/>
  <c r="A51" i="8"/>
  <c r="B51" i="8"/>
  <c r="C51" i="8"/>
  <c r="D334" i="9" l="1"/>
  <c r="C334" i="9"/>
  <c r="B334" i="9"/>
  <c r="A334" i="9"/>
  <c r="E338" i="9"/>
  <c r="C338" i="9"/>
  <c r="B338" i="9"/>
  <c r="A338" i="9"/>
  <c r="C333" i="9"/>
  <c r="B333" i="9"/>
  <c r="C332" i="9"/>
  <c r="B332" i="9"/>
  <c r="A333" i="9"/>
  <c r="A332" i="9"/>
  <c r="E328" i="9"/>
  <c r="C328" i="9"/>
  <c r="B328" i="9"/>
  <c r="A328" i="9"/>
  <c r="E323" i="9"/>
  <c r="E324" i="9"/>
  <c r="E322" i="9"/>
  <c r="E321" i="9"/>
  <c r="E320" i="9"/>
  <c r="E319" i="9"/>
  <c r="E318" i="9"/>
  <c r="D324" i="9"/>
  <c r="C324" i="9"/>
  <c r="B324" i="9"/>
  <c r="A324" i="9"/>
  <c r="D323" i="9"/>
  <c r="D322" i="9"/>
  <c r="C323" i="9"/>
  <c r="B323" i="9"/>
  <c r="C322" i="9"/>
  <c r="B322" i="9"/>
  <c r="A323" i="9"/>
  <c r="A322" i="9"/>
  <c r="D321" i="9"/>
  <c r="F321" i="9" s="1"/>
  <c r="C321" i="9"/>
  <c r="B321" i="9"/>
  <c r="C320" i="9"/>
  <c r="B320" i="9"/>
  <c r="C319" i="9"/>
  <c r="B319" i="9"/>
  <c r="A321" i="9"/>
  <c r="A320" i="9"/>
  <c r="A319" i="9"/>
  <c r="C318" i="9"/>
  <c r="B318" i="9"/>
  <c r="A318" i="9"/>
  <c r="C314" i="9"/>
  <c r="B314" i="9"/>
  <c r="A314" i="9"/>
  <c r="D292" i="9"/>
  <c r="F292" i="9" s="1"/>
  <c r="F294" i="9" s="1"/>
  <c r="C292" i="9"/>
  <c r="B292" i="9"/>
  <c r="A292" i="9"/>
  <c r="C288" i="9"/>
  <c r="B288" i="9"/>
  <c r="C287" i="9"/>
  <c r="B287" i="9"/>
  <c r="A288" i="9"/>
  <c r="A287" i="9"/>
  <c r="E282" i="9"/>
  <c r="C282" i="9"/>
  <c r="B282" i="9"/>
  <c r="A282" i="9"/>
  <c r="C276" i="9"/>
  <c r="B276" i="9"/>
  <c r="A276" i="9"/>
  <c r="D275" i="9"/>
  <c r="F275" i="9" s="1"/>
  <c r="C275" i="9"/>
  <c r="B275" i="9"/>
  <c r="A275" i="9"/>
  <c r="C271" i="9"/>
  <c r="B271" i="9"/>
  <c r="A271" i="9"/>
  <c r="E249" i="9"/>
  <c r="C249" i="9"/>
  <c r="B249" i="9"/>
  <c r="A249" i="9"/>
  <c r="C245" i="9"/>
  <c r="B245" i="9"/>
  <c r="A245" i="9"/>
  <c r="C244" i="9"/>
  <c r="B244" i="9"/>
  <c r="A244" i="9"/>
  <c r="E239" i="9"/>
  <c r="C239" i="9"/>
  <c r="B239" i="9"/>
  <c r="A239" i="9"/>
  <c r="E234" i="9"/>
  <c r="C234" i="9"/>
  <c r="B234" i="9"/>
  <c r="A234" i="9"/>
  <c r="D233" i="9"/>
  <c r="C233" i="9"/>
  <c r="B233" i="9"/>
  <c r="A233" i="9"/>
  <c r="C232" i="9"/>
  <c r="B232" i="9"/>
  <c r="A232" i="9"/>
  <c r="C228" i="9"/>
  <c r="B228" i="9"/>
  <c r="A228" i="9"/>
  <c r="C204" i="9"/>
  <c r="B204" i="9"/>
  <c r="C203" i="9"/>
  <c r="B203" i="9"/>
  <c r="A204" i="9"/>
  <c r="A203" i="9"/>
  <c r="E198" i="9"/>
  <c r="C198" i="9"/>
  <c r="B198" i="9"/>
  <c r="A198" i="9"/>
  <c r="C187" i="9"/>
  <c r="B187" i="9"/>
  <c r="A187" i="9"/>
  <c r="F210" i="9"/>
  <c r="E162" i="9"/>
  <c r="C162" i="9"/>
  <c r="B162" i="9"/>
  <c r="A162" i="9"/>
  <c r="C146" i="9"/>
  <c r="B146" i="9"/>
  <c r="A146" i="9"/>
  <c r="F169" i="9"/>
  <c r="F159" i="9"/>
  <c r="C119" i="9"/>
  <c r="B119" i="9"/>
  <c r="A119" i="9"/>
  <c r="C118" i="9"/>
  <c r="B118" i="9"/>
  <c r="A118" i="9"/>
  <c r="C113" i="9"/>
  <c r="B113" i="9"/>
  <c r="A113" i="9"/>
  <c r="C102" i="9"/>
  <c r="B102" i="9"/>
  <c r="A102" i="9"/>
  <c r="E40" i="9"/>
  <c r="F323" i="9" l="1"/>
  <c r="E334" i="9"/>
  <c r="F334" i="9" s="1"/>
  <c r="F322" i="9"/>
  <c r="F324" i="9"/>
  <c r="F233" i="9"/>
  <c r="F125" i="9"/>
  <c r="C30" i="9"/>
  <c r="B30" i="9"/>
  <c r="A30" i="9"/>
  <c r="E23" i="9"/>
  <c r="E16" i="9"/>
  <c r="E15" i="9"/>
  <c r="C20" i="9"/>
  <c r="B20" i="9"/>
  <c r="A20" i="9"/>
  <c r="E20" i="9"/>
  <c r="E17" i="9"/>
  <c r="E18" i="9"/>
  <c r="E25" i="9"/>
  <c r="E24" i="9"/>
  <c r="E22" i="9"/>
  <c r="E21" i="9" l="1"/>
  <c r="E19" i="9"/>
  <c r="C19" i="9"/>
  <c r="B19" i="9"/>
  <c r="A19" i="9"/>
  <c r="E38" i="10" l="1"/>
  <c r="E39" i="10" s="1"/>
  <c r="E40" i="10" s="1"/>
  <c r="E34" i="9" s="1"/>
  <c r="I34" i="7"/>
  <c r="C34" i="7"/>
  <c r="B34" i="7"/>
  <c r="A34" i="7"/>
  <c r="C99" i="8"/>
  <c r="B99" i="8"/>
  <c r="A99" i="8"/>
  <c r="C131" i="8"/>
  <c r="I111" i="8"/>
  <c r="J111" i="8" s="1"/>
  <c r="F109" i="8"/>
  <c r="B105" i="8"/>
  <c r="F104" i="8"/>
  <c r="H103" i="8"/>
  <c r="C129" i="8" l="1"/>
  <c r="C127" i="8"/>
  <c r="C106" i="8"/>
  <c r="C40" i="9"/>
  <c r="B40" i="9"/>
  <c r="A40" i="9"/>
  <c r="C36" i="9"/>
  <c r="B36" i="9"/>
  <c r="C35" i="9"/>
  <c r="B35" i="9"/>
  <c r="A36" i="9"/>
  <c r="A35" i="9"/>
  <c r="C34" i="9"/>
  <c r="B34" i="9"/>
  <c r="A34" i="9"/>
  <c r="C29" i="9"/>
  <c r="B29" i="9"/>
  <c r="A29" i="9"/>
  <c r="D25" i="9"/>
  <c r="F25" i="9" s="1"/>
  <c r="D24" i="9"/>
  <c r="F24" i="9" s="1"/>
  <c r="D23" i="9"/>
  <c r="F23" i="9" s="1"/>
  <c r="D21" i="9"/>
  <c r="F21" i="9" s="1"/>
  <c r="C25" i="9"/>
  <c r="B25" i="9"/>
  <c r="A25" i="9"/>
  <c r="C24" i="9"/>
  <c r="B24" i="9"/>
  <c r="A24" i="9"/>
  <c r="C23" i="9"/>
  <c r="B23" i="9"/>
  <c r="C22" i="9"/>
  <c r="B22" i="9"/>
  <c r="A23" i="9"/>
  <c r="A22" i="9"/>
  <c r="C21" i="9"/>
  <c r="B21" i="9"/>
  <c r="A21" i="9"/>
  <c r="C18" i="9"/>
  <c r="B18" i="9"/>
  <c r="C17" i="9"/>
  <c r="B17" i="9"/>
  <c r="C16" i="9"/>
  <c r="B16" i="9"/>
  <c r="C15" i="9"/>
  <c r="B15" i="9"/>
  <c r="A18" i="9"/>
  <c r="A17" i="9"/>
  <c r="A16" i="9"/>
  <c r="A15" i="9"/>
  <c r="C11" i="9"/>
  <c r="B11" i="9"/>
  <c r="A11" i="9"/>
  <c r="C156" i="6"/>
  <c r="B156" i="6"/>
  <c r="A156" i="6"/>
  <c r="C155" i="6"/>
  <c r="B155" i="6"/>
  <c r="A155" i="6"/>
  <c r="C146" i="6"/>
  <c r="B146" i="6"/>
  <c r="A146" i="6"/>
  <c r="C10" i="8"/>
  <c r="B10" i="8"/>
  <c r="A10" i="8"/>
  <c r="C82" i="8"/>
  <c r="I62" i="8"/>
  <c r="J62" i="8" s="1"/>
  <c r="F60" i="8"/>
  <c r="C78" i="8" s="1"/>
  <c r="B56" i="8"/>
  <c r="F55" i="8"/>
  <c r="I22" i="8"/>
  <c r="J22" i="8" s="1"/>
  <c r="C34" i="8"/>
  <c r="F14" i="8"/>
  <c r="B16" i="8"/>
  <c r="C133" i="8" l="1"/>
  <c r="C120" i="8"/>
  <c r="C116" i="8"/>
  <c r="C118" i="8"/>
  <c r="C57" i="8"/>
  <c r="C17" i="8"/>
  <c r="C29" i="8" s="1"/>
  <c r="C80" i="8"/>
  <c r="C84" i="8" s="1"/>
  <c r="C69" i="8" l="1"/>
  <c r="C122" i="8"/>
  <c r="C124" i="8" s="1"/>
  <c r="C71" i="8"/>
  <c r="C67" i="8"/>
  <c r="C27" i="8"/>
  <c r="C28" i="8"/>
  <c r="C73" i="8" l="1"/>
  <c r="C75" i="8" s="1"/>
  <c r="C30" i="8"/>
  <c r="C31" i="8" s="1"/>
  <c r="C481" i="6" l="1"/>
  <c r="B481" i="6"/>
  <c r="A481" i="6"/>
  <c r="C480" i="6"/>
  <c r="B480" i="6"/>
  <c r="C479" i="6"/>
  <c r="B479" i="6"/>
  <c r="A480" i="6"/>
  <c r="A479" i="6"/>
  <c r="C472" i="6"/>
  <c r="B472" i="6"/>
  <c r="A472" i="6"/>
  <c r="D468" i="6"/>
  <c r="F468" i="6" s="1"/>
  <c r="D467" i="6"/>
  <c r="F467" i="6" s="1"/>
  <c r="D466" i="6"/>
  <c r="F466" i="6" s="1"/>
  <c r="C468" i="6"/>
  <c r="B468" i="6"/>
  <c r="C467" i="6"/>
  <c r="B467" i="6"/>
  <c r="C466" i="6"/>
  <c r="B466" i="6"/>
  <c r="C465" i="6"/>
  <c r="B465" i="6"/>
  <c r="A468" i="6"/>
  <c r="A467" i="6"/>
  <c r="A466" i="6"/>
  <c r="A465" i="6"/>
  <c r="C461" i="6"/>
  <c r="B461" i="6"/>
  <c r="A461" i="6"/>
  <c r="F474" i="6"/>
  <c r="F473" i="6"/>
  <c r="I472" i="6"/>
  <c r="E481" i="6" s="1"/>
  <c r="E472" i="6"/>
  <c r="H468" i="6"/>
  <c r="H423" i="6" l="1"/>
  <c r="I427" i="6"/>
  <c r="I28" i="7" l="1"/>
  <c r="I29" i="7"/>
  <c r="I30" i="7"/>
  <c r="I31" i="7"/>
  <c r="I32" i="7"/>
  <c r="I33" i="7"/>
  <c r="I26" i="7"/>
  <c r="C33" i="7"/>
  <c r="C32" i="7"/>
  <c r="C31" i="7"/>
  <c r="C30" i="7"/>
  <c r="C29" i="7"/>
  <c r="C28" i="7"/>
  <c r="C27" i="7"/>
  <c r="B33" i="7"/>
  <c r="B32" i="7"/>
  <c r="B31" i="7"/>
  <c r="B30" i="7"/>
  <c r="B29" i="7"/>
  <c r="B28" i="7"/>
  <c r="B27" i="7"/>
  <c r="A33" i="7"/>
  <c r="A32" i="7"/>
  <c r="A31" i="7"/>
  <c r="A30" i="7"/>
  <c r="A29" i="7"/>
  <c r="A28" i="7"/>
  <c r="A27" i="7"/>
  <c r="C26" i="7"/>
  <c r="B26" i="7"/>
  <c r="A26" i="7"/>
  <c r="C21" i="7"/>
  <c r="J5" i="7"/>
  <c r="I27" i="7"/>
  <c r="J7" i="7"/>
  <c r="C7" i="7"/>
  <c r="J8" i="7" l="1"/>
  <c r="J19" i="7"/>
  <c r="J20" i="7" s="1"/>
  <c r="J14" i="7"/>
  <c r="C436" i="6"/>
  <c r="B436" i="6"/>
  <c r="C435" i="6"/>
  <c r="B435" i="6"/>
  <c r="C434" i="6"/>
  <c r="B434" i="6"/>
  <c r="A436" i="6"/>
  <c r="A435" i="6"/>
  <c r="A434" i="6"/>
  <c r="C427" i="6"/>
  <c r="B427" i="6"/>
  <c r="A427" i="6"/>
  <c r="D423" i="6"/>
  <c r="F423" i="6" s="1"/>
  <c r="D422" i="6"/>
  <c r="F422" i="6" s="1"/>
  <c r="D421" i="6"/>
  <c r="F421" i="6" s="1"/>
  <c r="C423" i="6"/>
  <c r="B423" i="6"/>
  <c r="C422" i="6"/>
  <c r="B422" i="6"/>
  <c r="C421" i="6"/>
  <c r="B421" i="6"/>
  <c r="C420" i="6"/>
  <c r="B420" i="6"/>
  <c r="A423" i="6"/>
  <c r="A422" i="6"/>
  <c r="A421" i="6"/>
  <c r="A420" i="6"/>
  <c r="C416" i="6"/>
  <c r="B416" i="6"/>
  <c r="A416" i="6"/>
  <c r="E436" i="6"/>
  <c r="F429" i="6"/>
  <c r="F428" i="6"/>
  <c r="E427" i="6"/>
  <c r="C391" i="6"/>
  <c r="B391" i="6"/>
  <c r="A391" i="6"/>
  <c r="C390" i="6"/>
  <c r="B390" i="6"/>
  <c r="C389" i="6"/>
  <c r="B389" i="6"/>
  <c r="A390" i="6"/>
  <c r="A389" i="6"/>
  <c r="C382" i="6"/>
  <c r="B382" i="6"/>
  <c r="A382" i="6"/>
  <c r="D378" i="6"/>
  <c r="F378" i="6" s="1"/>
  <c r="D377" i="6"/>
  <c r="F377" i="6" s="1"/>
  <c r="D376" i="6"/>
  <c r="F376" i="6" s="1"/>
  <c r="C378" i="6"/>
  <c r="B378" i="6"/>
  <c r="C377" i="6"/>
  <c r="B377" i="6"/>
  <c r="C376" i="6"/>
  <c r="B376" i="6"/>
  <c r="C375" i="6"/>
  <c r="B375" i="6"/>
  <c r="A378" i="6"/>
  <c r="A377" i="6"/>
  <c r="A376" i="6"/>
  <c r="A375" i="6"/>
  <c r="C371" i="6"/>
  <c r="B371" i="6"/>
  <c r="A371" i="6"/>
  <c r="E391" i="6"/>
  <c r="F384" i="6"/>
  <c r="F383" i="6"/>
  <c r="I382" i="6"/>
  <c r="E382" i="6"/>
  <c r="E346" i="6"/>
  <c r="C346" i="6"/>
  <c r="B346" i="6"/>
  <c r="C345" i="6"/>
  <c r="B345" i="6"/>
  <c r="C344" i="6"/>
  <c r="B344" i="6"/>
  <c r="A346" i="6"/>
  <c r="A345" i="6"/>
  <c r="A344" i="6"/>
  <c r="E337" i="6"/>
  <c r="C337" i="6"/>
  <c r="B337" i="6"/>
  <c r="A337" i="6"/>
  <c r="E202" i="6"/>
  <c r="C202" i="6"/>
  <c r="B202" i="6"/>
  <c r="C201" i="6"/>
  <c r="B201" i="6"/>
  <c r="C200" i="6"/>
  <c r="B200" i="6"/>
  <c r="A202" i="6"/>
  <c r="A201" i="6"/>
  <c r="A200" i="6"/>
  <c r="C191" i="6"/>
  <c r="B191" i="6"/>
  <c r="A191" i="6"/>
  <c r="D333" i="6"/>
  <c r="F333" i="6" s="1"/>
  <c r="D332" i="6"/>
  <c r="F332" i="6" s="1"/>
  <c r="D331" i="6"/>
  <c r="F331" i="6" s="1"/>
  <c r="C333" i="6"/>
  <c r="B333" i="6"/>
  <c r="C332" i="6"/>
  <c r="B332" i="6"/>
  <c r="C331" i="6"/>
  <c r="B331" i="6"/>
  <c r="A333" i="6"/>
  <c r="A332" i="6"/>
  <c r="A331" i="6"/>
  <c r="C330" i="6"/>
  <c r="B330" i="6"/>
  <c r="A330" i="6"/>
  <c r="C326" i="6"/>
  <c r="B326" i="6"/>
  <c r="A326" i="6"/>
  <c r="F339" i="6"/>
  <c r="F338" i="6"/>
  <c r="D287" i="6"/>
  <c r="F287" i="6" s="1"/>
  <c r="D286" i="6"/>
  <c r="F286" i="6" s="1"/>
  <c r="C287" i="6"/>
  <c r="B287" i="6"/>
  <c r="A287" i="6"/>
  <c r="C286" i="6"/>
  <c r="B286" i="6"/>
  <c r="A286" i="6"/>
  <c r="C285" i="6"/>
  <c r="B285" i="6"/>
  <c r="A285" i="6"/>
  <c r="C281" i="6"/>
  <c r="B281" i="6"/>
  <c r="A281" i="6"/>
  <c r="F293" i="6"/>
  <c r="F292" i="6"/>
  <c r="F291" i="6"/>
  <c r="D242" i="6"/>
  <c r="F242" i="6" s="1"/>
  <c r="C242" i="6"/>
  <c r="B242" i="6"/>
  <c r="A242" i="6"/>
  <c r="D241" i="6"/>
  <c r="F241" i="6" s="1"/>
  <c r="C241" i="6"/>
  <c r="B241" i="6"/>
  <c r="A241" i="6"/>
  <c r="C240" i="6"/>
  <c r="B240" i="6"/>
  <c r="A240" i="6"/>
  <c r="C236" i="6"/>
  <c r="B236" i="6"/>
  <c r="A236" i="6"/>
  <c r="F248" i="6"/>
  <c r="F247" i="6"/>
  <c r="F246" i="6"/>
  <c r="C112" i="6"/>
  <c r="B112" i="6"/>
  <c r="C111" i="6"/>
  <c r="B111" i="6"/>
  <c r="C110" i="6"/>
  <c r="B110" i="6"/>
  <c r="A112" i="6"/>
  <c r="A111" i="6"/>
  <c r="A110" i="6"/>
  <c r="C101" i="6"/>
  <c r="B101" i="6"/>
  <c r="A101" i="6"/>
  <c r="E112" i="6"/>
  <c r="E67" i="6"/>
  <c r="C67" i="6"/>
  <c r="B67" i="6"/>
  <c r="A67" i="6"/>
  <c r="C66" i="6"/>
  <c r="B66" i="6"/>
  <c r="A66" i="6"/>
  <c r="C65" i="6"/>
  <c r="B65" i="6"/>
  <c r="A65" i="6"/>
  <c r="C56" i="6"/>
  <c r="B56" i="6"/>
  <c r="A56" i="6"/>
  <c r="J21" i="7" l="1"/>
  <c r="V34" i="7" s="1"/>
  <c r="D34" i="7"/>
  <c r="E34" i="7" s="1"/>
  <c r="D28" i="7"/>
  <c r="E28" i="7" s="1"/>
  <c r="D32" i="7"/>
  <c r="E32" i="7" s="1"/>
  <c r="D31" i="7"/>
  <c r="E31" i="7" s="1"/>
  <c r="D29" i="7"/>
  <c r="E29" i="7" s="1"/>
  <c r="D33" i="7"/>
  <c r="E33" i="7" s="1"/>
  <c r="D27" i="7"/>
  <c r="E27" i="7" s="1"/>
  <c r="D30" i="7"/>
  <c r="E30" i="7" s="1"/>
  <c r="D26" i="7"/>
  <c r="E26" i="7" s="1"/>
  <c r="F295" i="6"/>
  <c r="F250" i="6"/>
  <c r="E21" i="6"/>
  <c r="C21" i="6"/>
  <c r="B21" i="6"/>
  <c r="C20" i="6"/>
  <c r="B20" i="6"/>
  <c r="A21" i="6"/>
  <c r="A20" i="6"/>
  <c r="C11" i="6"/>
  <c r="B11" i="6"/>
  <c r="A11" i="6"/>
  <c r="E18" i="2"/>
  <c r="F18" i="2" s="1"/>
  <c r="E20" i="2"/>
  <c r="F20" i="2" s="1"/>
  <c r="E21" i="2"/>
  <c r="F21" i="2" s="1"/>
  <c r="E22" i="2"/>
  <c r="F22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11" i="2"/>
  <c r="D23" i="2"/>
  <c r="D22" i="9" s="1"/>
  <c r="F22" i="9" s="1"/>
  <c r="D19" i="2"/>
  <c r="D30" i="2"/>
  <c r="D19" i="9" s="1"/>
  <c r="F19" i="9" s="1"/>
  <c r="D17" i="2"/>
  <c r="D16" i="2"/>
  <c r="D15" i="2"/>
  <c r="D14" i="2"/>
  <c r="D13" i="2"/>
  <c r="D12" i="2"/>
  <c r="D11" i="2"/>
  <c r="D15" i="9" s="1"/>
  <c r="F15" i="9" s="1"/>
  <c r="V26" i="7" l="1"/>
  <c r="V29" i="7"/>
  <c r="V32" i="7"/>
  <c r="V31" i="7"/>
  <c r="V30" i="7"/>
  <c r="V33" i="7"/>
  <c r="V28" i="7"/>
  <c r="V27" i="7"/>
  <c r="S27" i="7"/>
  <c r="N27" i="7"/>
  <c r="F27" i="7"/>
  <c r="K27" i="7"/>
  <c r="M27" i="7"/>
  <c r="R27" i="7"/>
  <c r="O27" i="7"/>
  <c r="Q27" i="7"/>
  <c r="J27" i="7"/>
  <c r="L27" i="7"/>
  <c r="H27" i="7"/>
  <c r="R32" i="7"/>
  <c r="K32" i="7"/>
  <c r="N32" i="7"/>
  <c r="Q32" i="7"/>
  <c r="H32" i="7"/>
  <c r="J32" i="7"/>
  <c r="O32" i="7"/>
  <c r="M32" i="7"/>
  <c r="L32" i="7"/>
  <c r="S32" i="7"/>
  <c r="F32" i="7"/>
  <c r="G32" i="7" s="1"/>
  <c r="S33" i="7"/>
  <c r="N33" i="7"/>
  <c r="J33" i="7"/>
  <c r="Q33" i="7"/>
  <c r="O33" i="7"/>
  <c r="M33" i="7"/>
  <c r="F33" i="7"/>
  <c r="G33" i="7" s="1"/>
  <c r="R33" i="7"/>
  <c r="L33" i="7"/>
  <c r="H33" i="7"/>
  <c r="K33" i="7"/>
  <c r="Q28" i="7"/>
  <c r="F28" i="7"/>
  <c r="G28" i="7" s="1"/>
  <c r="R28" i="7"/>
  <c r="O28" i="7"/>
  <c r="H28" i="7"/>
  <c r="L28" i="7"/>
  <c r="S28" i="7"/>
  <c r="N28" i="7"/>
  <c r="P28" i="7" s="1"/>
  <c r="K28" i="7"/>
  <c r="J28" i="7"/>
  <c r="M28" i="7"/>
  <c r="S26" i="7"/>
  <c r="H26" i="7"/>
  <c r="J26" i="7"/>
  <c r="K26" i="7"/>
  <c r="R26" i="7"/>
  <c r="N26" i="7"/>
  <c r="M26" i="7"/>
  <c r="F26" i="7"/>
  <c r="G26" i="7" s="1"/>
  <c r="Q26" i="7"/>
  <c r="L26" i="7"/>
  <c r="O26" i="7"/>
  <c r="Q29" i="7"/>
  <c r="L29" i="7"/>
  <c r="F29" i="7"/>
  <c r="R29" i="7"/>
  <c r="H29" i="7"/>
  <c r="S29" i="7"/>
  <c r="K29" i="7"/>
  <c r="N29" i="7"/>
  <c r="P29" i="7" s="1"/>
  <c r="M29" i="7"/>
  <c r="O29" i="7"/>
  <c r="J29" i="7"/>
  <c r="O34" i="7"/>
  <c r="F34" i="7"/>
  <c r="G34" i="7" s="1"/>
  <c r="H34" i="7"/>
  <c r="S34" i="7"/>
  <c r="R34" i="7"/>
  <c r="L34" i="7"/>
  <c r="Q34" i="7"/>
  <c r="M34" i="7"/>
  <c r="J34" i="7"/>
  <c r="K34" i="7"/>
  <c r="N34" i="7"/>
  <c r="S30" i="7"/>
  <c r="N30" i="7"/>
  <c r="P30" i="7" s="1"/>
  <c r="H30" i="7"/>
  <c r="J30" i="7"/>
  <c r="F30" i="7"/>
  <c r="G30" i="7" s="1"/>
  <c r="R30" i="7"/>
  <c r="M30" i="7"/>
  <c r="O30" i="7"/>
  <c r="K30" i="7"/>
  <c r="Q30" i="7"/>
  <c r="L30" i="7"/>
  <c r="Q31" i="7"/>
  <c r="K31" i="7"/>
  <c r="M31" i="7"/>
  <c r="O31" i="7"/>
  <c r="F31" i="7"/>
  <c r="G31" i="7" s="1"/>
  <c r="J31" i="7"/>
  <c r="L31" i="7"/>
  <c r="S31" i="7"/>
  <c r="N31" i="7"/>
  <c r="H31" i="7"/>
  <c r="R31" i="7"/>
  <c r="D276" i="9"/>
  <c r="F276" i="9" s="1"/>
  <c r="F279" i="9" s="1"/>
  <c r="D234" i="9"/>
  <c r="F234" i="9" s="1"/>
  <c r="D16" i="9"/>
  <c r="F16" i="9" s="1"/>
  <c r="D318" i="9"/>
  <c r="F318" i="9" s="1"/>
  <c r="D232" i="9"/>
  <c r="F232" i="9" s="1"/>
  <c r="D17" i="9"/>
  <c r="F17" i="9" s="1"/>
  <c r="D319" i="9"/>
  <c r="F319" i="9" s="1"/>
  <c r="D18" i="9"/>
  <c r="F18" i="9" s="1"/>
  <c r="D465" i="6"/>
  <c r="F465" i="6" s="1"/>
  <c r="F469" i="6" s="1"/>
  <c r="D240" i="6"/>
  <c r="F240" i="6" s="1"/>
  <c r="F243" i="6" s="1"/>
  <c r="D420" i="6"/>
  <c r="F420" i="6" s="1"/>
  <c r="F424" i="6" s="1"/>
  <c r="D330" i="6"/>
  <c r="F330" i="6" s="1"/>
  <c r="F334" i="6" s="1"/>
  <c r="D285" i="6"/>
  <c r="F285" i="6" s="1"/>
  <c r="F288" i="6" s="1"/>
  <c r="F308" i="6" s="1"/>
  <c r="D18" i="5" s="1"/>
  <c r="D375" i="6"/>
  <c r="F375" i="6" s="1"/>
  <c r="F379" i="6" s="1"/>
  <c r="E17" i="2"/>
  <c r="F17" i="2" s="1"/>
  <c r="E13" i="2"/>
  <c r="F13" i="2"/>
  <c r="E16" i="2"/>
  <c r="F16" i="2" s="1"/>
  <c r="E12" i="2"/>
  <c r="F12" i="2" s="1"/>
  <c r="E23" i="2"/>
  <c r="E19" i="2"/>
  <c r="E15" i="2"/>
  <c r="F15" i="2" s="1"/>
  <c r="F11" i="2"/>
  <c r="F23" i="2"/>
  <c r="F19" i="2"/>
  <c r="D320" i="9"/>
  <c r="F320" i="9" s="1"/>
  <c r="D20" i="9"/>
  <c r="F20" i="9" s="1"/>
  <c r="E30" i="2"/>
  <c r="E14" i="2"/>
  <c r="F14" i="2" s="1"/>
  <c r="F30" i="2"/>
  <c r="F263" i="6"/>
  <c r="D17" i="5" s="1"/>
  <c r="F26" i="9" l="1"/>
  <c r="F236" i="9"/>
  <c r="T29" i="7"/>
  <c r="U29" i="7" s="1"/>
  <c r="W29" i="7" s="1"/>
  <c r="E14" i="3" s="1"/>
  <c r="F14" i="3" s="1"/>
  <c r="D201" i="6" s="1"/>
  <c r="F201" i="6" s="1"/>
  <c r="T30" i="7"/>
  <c r="U30" i="7" s="1"/>
  <c r="W30" i="7" s="1"/>
  <c r="E15" i="3" s="1"/>
  <c r="F15" i="3" s="1"/>
  <c r="D21" i="6" s="1"/>
  <c r="F21" i="6" s="1"/>
  <c r="P33" i="7"/>
  <c r="T33" i="7" s="1"/>
  <c r="U33" i="7" s="1"/>
  <c r="W33" i="7" s="1"/>
  <c r="E18" i="3" s="1"/>
  <c r="F18" i="3" s="1"/>
  <c r="T28" i="7"/>
  <c r="U28" i="7" s="1"/>
  <c r="W28" i="7" s="1"/>
  <c r="E13" i="3" s="1"/>
  <c r="F13" i="3" s="1"/>
  <c r="P26" i="7"/>
  <c r="T26" i="7" s="1"/>
  <c r="U26" i="7" s="1"/>
  <c r="P32" i="7"/>
  <c r="T32" i="7" s="1"/>
  <c r="U32" i="7" s="1"/>
  <c r="W32" i="7" s="1"/>
  <c r="E17" i="3" s="1"/>
  <c r="F17" i="3" s="1"/>
  <c r="D111" i="6" s="1"/>
  <c r="F111" i="6" s="1"/>
  <c r="P27" i="7"/>
  <c r="T27" i="7" s="1"/>
  <c r="U27" i="7" s="1"/>
  <c r="W27" i="7" s="1"/>
  <c r="E12" i="3" s="1"/>
  <c r="F12" i="3" s="1"/>
  <c r="P31" i="7"/>
  <c r="T31" i="7" s="1"/>
  <c r="U31" i="7" s="1"/>
  <c r="W31" i="7" s="1"/>
  <c r="E16" i="3" s="1"/>
  <c r="F16" i="3" s="1"/>
  <c r="B60" i="8" s="1"/>
  <c r="P34" i="7"/>
  <c r="T34" i="7" s="1"/>
  <c r="U34" i="7" s="1"/>
  <c r="W34" i="7" s="1"/>
  <c r="E19" i="3" s="1"/>
  <c r="F19" i="3" s="1"/>
  <c r="B109" i="8" s="1"/>
  <c r="F325" i="9"/>
  <c r="G25" i="1"/>
  <c r="W26" i="7" l="1"/>
  <c r="E11" i="3" s="1"/>
  <c r="F11" i="3" s="1"/>
  <c r="D155" i="6" s="1"/>
  <c r="F155" i="6" s="1"/>
  <c r="X26" i="7"/>
  <c r="D202" i="6"/>
  <c r="F202" i="6" s="1"/>
  <c r="D67" i="6"/>
  <c r="F67" i="6" s="1"/>
  <c r="D112" i="6"/>
  <c r="F112" i="6" s="1"/>
  <c r="D65" i="6"/>
  <c r="F65" i="6" s="1"/>
  <c r="D20" i="6"/>
  <c r="F20" i="6" s="1"/>
  <c r="F24" i="6" s="1"/>
  <c r="F37" i="6" s="1"/>
  <c r="D11" i="5" s="1"/>
  <c r="D139" i="8"/>
  <c r="C136" i="8"/>
  <c r="C137" i="8" s="1"/>
  <c r="C139" i="8" s="1"/>
  <c r="D16" i="4" s="1"/>
  <c r="D156" i="6"/>
  <c r="F156" i="6" s="1"/>
  <c r="F159" i="6" s="1"/>
  <c r="F172" i="6" s="1"/>
  <c r="D16" i="5" s="1"/>
  <c r="D110" i="6"/>
  <c r="F110" i="6" s="1"/>
  <c r="D200" i="6"/>
  <c r="F200" i="6" s="1"/>
  <c r="D66" i="6"/>
  <c r="F66" i="6" s="1"/>
  <c r="D90" i="8"/>
  <c r="C87" i="8"/>
  <c r="C88" i="8" s="1"/>
  <c r="C90" i="8" s="1"/>
  <c r="D15" i="4" s="1"/>
  <c r="D162" i="9" s="1"/>
  <c r="F162" i="9" l="1"/>
  <c r="F164" i="9" s="1"/>
  <c r="F171" i="9" s="1"/>
  <c r="F204" i="6"/>
  <c r="F217" i="6" s="1"/>
  <c r="D15" i="5" s="1"/>
  <c r="D472" i="6" s="1"/>
  <c r="F472" i="6" s="1"/>
  <c r="F476" i="6" s="1"/>
  <c r="D480" i="6" s="1"/>
  <c r="F480" i="6" s="1"/>
  <c r="F114" i="6"/>
  <c r="F127" i="6" s="1"/>
  <c r="D13" i="5" s="1"/>
  <c r="D337" i="6"/>
  <c r="F337" i="6" s="1"/>
  <c r="F341" i="6" s="1"/>
  <c r="D344" i="6" s="1"/>
  <c r="F344" i="6" s="1"/>
  <c r="F69" i="6"/>
  <c r="F82" i="6" s="1"/>
  <c r="D12" i="5" s="1"/>
  <c r="D239" i="9" s="1"/>
  <c r="F239" i="9" s="1"/>
  <c r="F241" i="9" s="1"/>
  <c r="D245" i="9" s="1"/>
  <c r="F245" i="9" s="1"/>
  <c r="D382" i="6"/>
  <c r="F382" i="6" s="1"/>
  <c r="F386" i="6" s="1"/>
  <c r="D390" i="6" s="1"/>
  <c r="F390" i="6" s="1"/>
  <c r="D198" i="9"/>
  <c r="F198" i="9" s="1"/>
  <c r="F200" i="9" s="1"/>
  <c r="D113" i="9"/>
  <c r="F113" i="9" s="1"/>
  <c r="F115" i="9" s="1"/>
  <c r="D427" i="6"/>
  <c r="F427" i="6" s="1"/>
  <c r="F431" i="6" s="1"/>
  <c r="D434" i="6" s="1"/>
  <c r="F434" i="6" s="1"/>
  <c r="D30" i="9"/>
  <c r="F30" i="9" s="1"/>
  <c r="B20" i="8"/>
  <c r="D481" i="6"/>
  <c r="F481" i="6" s="1"/>
  <c r="D391" i="6"/>
  <c r="F391" i="6" s="1"/>
  <c r="D346" i="6"/>
  <c r="F346" i="6" s="1"/>
  <c r="D436" i="6"/>
  <c r="F436" i="6" s="1"/>
  <c r="D345" i="6"/>
  <c r="F345" i="6" s="1"/>
  <c r="G16" i="1" l="1"/>
  <c r="G16" i="11"/>
  <c r="D479" i="6"/>
  <c r="F479" i="6" s="1"/>
  <c r="F482" i="6" s="1"/>
  <c r="F489" i="6" s="1"/>
  <c r="D26" i="5" s="1"/>
  <c r="D244" i="9"/>
  <c r="F244" i="9" s="1"/>
  <c r="F246" i="9" s="1"/>
  <c r="D435" i="6"/>
  <c r="F435" i="6" s="1"/>
  <c r="F437" i="6" s="1"/>
  <c r="F444" i="6" s="1"/>
  <c r="D23" i="5" s="1"/>
  <c r="D338" i="9" s="1"/>
  <c r="F338" i="9" s="1"/>
  <c r="F340" i="9" s="1"/>
  <c r="D389" i="6"/>
  <c r="F389" i="6" s="1"/>
  <c r="D282" i="9"/>
  <c r="F282" i="9" s="1"/>
  <c r="F284" i="9" s="1"/>
  <c r="D29" i="9"/>
  <c r="F29" i="9" s="1"/>
  <c r="F31" i="9" s="1"/>
  <c r="D36" i="9" s="1"/>
  <c r="F36" i="9" s="1"/>
  <c r="D328" i="9"/>
  <c r="F328" i="9" s="1"/>
  <c r="F329" i="9" s="1"/>
  <c r="D204" i="9"/>
  <c r="F204" i="9" s="1"/>
  <c r="D203" i="9"/>
  <c r="F203" i="9" s="1"/>
  <c r="D118" i="9"/>
  <c r="F118" i="9" s="1"/>
  <c r="D119" i="9"/>
  <c r="F119" i="9" s="1"/>
  <c r="C39" i="8"/>
  <c r="C40" i="8" s="1"/>
  <c r="C41" i="8" s="1"/>
  <c r="D14" i="4" s="1"/>
  <c r="D41" i="8"/>
  <c r="F347" i="6"/>
  <c r="F354" i="6" s="1"/>
  <c r="D21" i="5" s="1"/>
  <c r="D40" i="9" s="1"/>
  <c r="F40" i="9" s="1"/>
  <c r="F42" i="9" s="1"/>
  <c r="F392" i="6"/>
  <c r="F399" i="6" s="1"/>
  <c r="D22" i="5" s="1"/>
  <c r="D34" i="9" l="1"/>
  <c r="F34" i="9" s="1"/>
  <c r="F205" i="9"/>
  <c r="F212" i="9" s="1"/>
  <c r="F120" i="9"/>
  <c r="F127" i="9" s="1"/>
  <c r="D288" i="9"/>
  <c r="F288" i="9" s="1"/>
  <c r="D287" i="9"/>
  <c r="F287" i="9" s="1"/>
  <c r="D35" i="9"/>
  <c r="F35" i="9" s="1"/>
  <c r="F37" i="9" s="1"/>
  <c r="F44" i="9" s="1"/>
  <c r="D333" i="9"/>
  <c r="F333" i="9" s="1"/>
  <c r="D332" i="9"/>
  <c r="F332" i="9" s="1"/>
  <c r="D249" i="9"/>
  <c r="F249" i="9" s="1"/>
  <c r="F251" i="9" s="1"/>
  <c r="F45" i="9" l="1"/>
  <c r="F46" i="9" s="1"/>
  <c r="F47" i="9" s="1"/>
  <c r="F48" i="9" s="1"/>
  <c r="F12" i="11"/>
  <c r="G12" i="11" s="1"/>
  <c r="G17" i="1"/>
  <c r="G17" i="11"/>
  <c r="G15" i="11" s="1"/>
  <c r="G13" i="1"/>
  <c r="F13" i="11"/>
  <c r="G13" i="11" s="1"/>
  <c r="F253" i="9"/>
  <c r="F20" i="11" s="1"/>
  <c r="G20" i="11" s="1"/>
  <c r="F289" i="9"/>
  <c r="F296" i="9" s="1"/>
  <c r="F335" i="9"/>
  <c r="F342" i="9" s="1"/>
  <c r="F49" i="9"/>
  <c r="F50" i="9" l="1"/>
  <c r="G11" i="11"/>
  <c r="B340" i="10"/>
  <c r="F24" i="11"/>
  <c r="G24" i="11" s="1"/>
  <c r="G23" i="11" s="1"/>
  <c r="B294" i="10"/>
  <c r="F21" i="11"/>
  <c r="G21" i="11" s="1"/>
  <c r="G19" i="11" s="1"/>
  <c r="G21" i="1"/>
  <c r="G15" i="1"/>
  <c r="F51" i="9" l="1"/>
  <c r="F52" i="9"/>
  <c r="F12" i="1" s="1"/>
  <c r="G12" i="1" s="1"/>
  <c r="G11" i="1" s="1"/>
  <c r="G26" i="11"/>
  <c r="G27" i="11" s="1"/>
  <c r="G28" i="11" s="1"/>
  <c r="B251" i="10"/>
  <c r="G20" i="1"/>
  <c r="G19" i="1" s="1"/>
  <c r="G24" i="1"/>
  <c r="G23" i="1" s="1"/>
  <c r="G26" i="1" l="1"/>
  <c r="G27" i="1" s="1"/>
  <c r="G28" i="1" s="1"/>
</calcChain>
</file>

<file path=xl/comments1.xml><?xml version="1.0" encoding="utf-8"?>
<comments xmlns="http://schemas.openxmlformats.org/spreadsheetml/2006/main">
  <authors>
    <author>Ing. Daniel</author>
  </authors>
  <commentList>
    <comment ref="D69" authorId="0" shapeId="0">
      <text>
        <r>
          <rPr>
            <b/>
            <sz val="9"/>
            <color indexed="81"/>
            <rFont val="Tahoma"/>
            <charset val="1"/>
          </rPr>
          <t>Ing. Daniel: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<sst xmlns="http://schemas.openxmlformats.org/spreadsheetml/2006/main" count="1093" uniqueCount="374">
  <si>
    <t>Clave</t>
  </si>
  <si>
    <t>Descripción</t>
  </si>
  <si>
    <t>Unidad</t>
  </si>
  <si>
    <t>Cantidad</t>
  </si>
  <si>
    <t>Importe</t>
  </si>
  <si>
    <t>m2</t>
  </si>
  <si>
    <t>m3</t>
  </si>
  <si>
    <t>Limpia y Trazo</t>
  </si>
  <si>
    <t xml:space="preserve">      Limpia y desenraice de terreno por medios manuales.  Incluye mano de obra, herramienta menor, acopio en obra.</t>
  </si>
  <si>
    <t>P.U.</t>
  </si>
  <si>
    <t>Cimentacion</t>
  </si>
  <si>
    <t xml:space="preserve">      Plantilla de 5 cm de espesor a base de concreto f c = 100 kg/cm2 tma = 19 mm fabricado en obra. Incluye: materiales, mano de obra, herramienta y equipo.</t>
  </si>
  <si>
    <t xml:space="preserve">      Cimentación de piedra braza con mortero cemento arena proporción 1:5, hasta una profundidad de 1.50 m. incluye: Materiales, mano de obra y herramienta.</t>
  </si>
  <si>
    <t>Cadenas y Castillos</t>
  </si>
  <si>
    <t xml:space="preserve">      Cadena desplante de 20 x 20 cm  a base de concreto f c = 200 kg/cm2, tma = 19 mm, armado con 5 varillas del No. 3 y estribos del No. 2 a cada 20 cm.  incluye cimbra y descimbra, colado, vibrado y curado, a cualquier altura. Incluye : materiales, mano de obra, herramienta y equipo.</t>
  </si>
  <si>
    <t xml:space="preserve">      Cadena desplante doble de 40 x 20 cm  a base de concreto f c = 200 kg/cm2, tma = 19 mm, armado con 10 varillas del No. 3 y estribos del No. 2 a cada 20 cm.  incluye cimbra y descimbra, colado, vibrado y curado, a cualquier altura. Incluye : materiales, mano de obra, herramienta y equipo.</t>
  </si>
  <si>
    <t>Excavacion</t>
  </si>
  <si>
    <t xml:space="preserve">      Trazo y nivelación de terreno con equipo topográfico, estableciendo ejes de referencia . Incluye: consumos, mano de obra, herramienta y equipo.</t>
  </si>
  <si>
    <t xml:space="preserve">      Excavación con herramienta manual para formación de zanja en material A, B seco, hasta 2.00 metros de profundidad, Incluye: afloje, extracción, afine de taludes y fondo, herramienta y mano de obra.  Medición compacta en banco.</t>
  </si>
  <si>
    <t xml:space="preserve">      Excavación con maquinaria para formación de zanja en material A, B  seco, con excavadora hasta 2.00 metros de profundidad, incl: afloje, extracción, herramienta y mano de obra. Medición compacta en banco.</t>
  </si>
  <si>
    <t>m</t>
  </si>
  <si>
    <t>TOTAL</t>
  </si>
  <si>
    <t>SUBTOTAL</t>
  </si>
  <si>
    <t>IVA 16%</t>
  </si>
  <si>
    <t>CÓDIGO</t>
  </si>
  <si>
    <t>DESCRIPCIÓN</t>
  </si>
  <si>
    <t>UNIDAD</t>
  </si>
  <si>
    <t>COSTO</t>
  </si>
  <si>
    <t>CATEGORÍA</t>
  </si>
  <si>
    <t>SAL. BASE</t>
  </si>
  <si>
    <t>FACTOR DE SALARIO REAL</t>
  </si>
  <si>
    <t>SALARIO REAL</t>
  </si>
  <si>
    <t>COSTO HORARIO MÁQUINA</t>
  </si>
  <si>
    <t>CALHIDRA</t>
  </si>
  <si>
    <t>HILO CAÑAMO</t>
  </si>
  <si>
    <t xml:space="preserve">DUELA DE PINO DE 3A. </t>
  </si>
  <si>
    <t>BARROTE DE PINO DE 3A.</t>
  </si>
  <si>
    <t>POLIN DE PINO DE 3A.</t>
  </si>
  <si>
    <t>CLAVOS DE 2 1/2"</t>
  </si>
  <si>
    <t>CLAVOS DE 3"</t>
  </si>
  <si>
    <t>VARILLA DE 3/8"</t>
  </si>
  <si>
    <t>CEMENTO GRIS</t>
  </si>
  <si>
    <t>ARENA DE MINA</t>
  </si>
  <si>
    <t>GRAVA</t>
  </si>
  <si>
    <t>AGUA TRANSPORTADA EN PIPAS</t>
  </si>
  <si>
    <t>PINTURA EN AEROSOL</t>
  </si>
  <si>
    <t>MANGUERA DE NIVEL</t>
  </si>
  <si>
    <t>CLAVOS DE CONCRETO DE 2"</t>
  </si>
  <si>
    <t>LAPIZ DE COLOR</t>
  </si>
  <si>
    <t>TÉCNICO TOPÓGRAFO</t>
  </si>
  <si>
    <t>AYUDANTE ESPECIALIZADO</t>
  </si>
  <si>
    <t>OFICIAL ALBAÑIL</t>
  </si>
  <si>
    <t>PEÓN</t>
  </si>
  <si>
    <t>CABO DE OFICIOS</t>
  </si>
  <si>
    <t>ESTACIÓN TOTAL 1" Y EQUIPO DE TOPOGRAFÍA</t>
  </si>
  <si>
    <t>RETROEXCAVADORA CAT- 426 C DE 85 HP</t>
  </si>
  <si>
    <t>HORA</t>
  </si>
  <si>
    <t>%</t>
  </si>
  <si>
    <t>PIEDRA BRAZA DE LA REGIÓN</t>
  </si>
  <si>
    <t>ALAMBRÓN</t>
  </si>
  <si>
    <t>ALAMBRE RECOCIDO</t>
  </si>
  <si>
    <t>CLAVO DE 4"</t>
  </si>
  <si>
    <t>ACEITE REQUEMADO</t>
  </si>
  <si>
    <t>REVOLVEDORA DE CONCRETO PARA 1 BULTO, CON MOTOR DE GASOLINA DE 14 HP</t>
  </si>
  <si>
    <t>ARMEX DE 12X12</t>
  </si>
  <si>
    <t>CUADRILLA No. 1 (1 PEÓN + 1/20 DE CABO DE OFICIOS)</t>
  </si>
  <si>
    <t>JOR</t>
  </si>
  <si>
    <t>CUADRILLA No. 2 (1 OF. ALBAÑIL + 1 PEÓN + 2/20 DE CABO DE OFICIOS)</t>
  </si>
  <si>
    <t>CUADRILLA No- 3 (1 OF. FIERRERO + 1 AYUD. ESPECIALIZ. +2/20 DE CABO DE OFICIOS</t>
  </si>
  <si>
    <t>CUADRILLA No- 4 (1 OF. CARP. DE OBRA NEGRA + 1 AYUD. ESPECIALIZ. +2/20 DE CABO DE OFICIOS</t>
  </si>
  <si>
    <t>CUADRILLA No. 5 (1 OF. ALBAÑIL + 4 PEÓN + 5/20 DE CABO DE OFICIOS)</t>
  </si>
  <si>
    <t>CUADRILLA No. 6 (1 TÉCNICO TOPÓGRAFO +2 AYUDANTES ESPECIALIZADOS)</t>
  </si>
  <si>
    <t>MORTERO CEMENTO -ARENA PROP. 1:3</t>
  </si>
  <si>
    <t>MORTERO CEMENTO -ARENA PROP. 1:4</t>
  </si>
  <si>
    <t>MORTERO CEMENTO -ARENA PROP. 1:5</t>
  </si>
  <si>
    <t>MORTERO CEMENTO -ARENA PROP. 1:6</t>
  </si>
  <si>
    <t>M3</t>
  </si>
  <si>
    <t>BLOCK DE 15X20X40 CM HUECO PESADO</t>
  </si>
  <si>
    <t>ESCALERILLA CAL. 14</t>
  </si>
  <si>
    <t>OPERADOR DE RETROEXCAVADORA Y/0 CAMION DE VOLTEO</t>
  </si>
  <si>
    <t>OFICIAL CARPINTERO DE O. N.</t>
  </si>
  <si>
    <t>OFICIAL FIERRERO</t>
  </si>
  <si>
    <t>VIGUETA DE CONCRETO DE 15 CM DE PERALTE</t>
  </si>
  <si>
    <t>CONCRETO PREMEZCLADO F'C= 200 KG/CM2</t>
  </si>
  <si>
    <t>MALLA ELECTROSOLDADA 6-6/10X10</t>
  </si>
  <si>
    <t>MACEM001</t>
  </si>
  <si>
    <t>MAMEN001</t>
  </si>
  <si>
    <t>MAMAD001</t>
  </si>
  <si>
    <t>MAMAD002</t>
  </si>
  <si>
    <t>MAMAD003</t>
  </si>
  <si>
    <t>MAACE001</t>
  </si>
  <si>
    <t>MAACE002</t>
  </si>
  <si>
    <t>MAACE003</t>
  </si>
  <si>
    <t>MACEM002</t>
  </si>
  <si>
    <t>MAAGR001</t>
  </si>
  <si>
    <t>MAAGR002</t>
  </si>
  <si>
    <t>MAAGUAP</t>
  </si>
  <si>
    <t>MAPIN001</t>
  </si>
  <si>
    <t>MAMEN002</t>
  </si>
  <si>
    <t>MAACE004</t>
  </si>
  <si>
    <t>MAMEN003</t>
  </si>
  <si>
    <t>MAAGR003</t>
  </si>
  <si>
    <t>MAACE005</t>
  </si>
  <si>
    <t>MAACE006</t>
  </si>
  <si>
    <t>MAACE007</t>
  </si>
  <si>
    <t>MAACE008</t>
  </si>
  <si>
    <t>MAMEN004</t>
  </si>
  <si>
    <t>MAVIB001</t>
  </si>
  <si>
    <t>MAACE009</t>
  </si>
  <si>
    <t>MAPRE001</t>
  </si>
  <si>
    <t>MAVIB002</t>
  </si>
  <si>
    <t>MACOP001</t>
  </si>
  <si>
    <t>MAACE010</t>
  </si>
  <si>
    <t>TON</t>
  </si>
  <si>
    <t>PZA</t>
  </si>
  <si>
    <t>KG</t>
  </si>
  <si>
    <t>M</t>
  </si>
  <si>
    <t>LTO</t>
  </si>
  <si>
    <t>M2</t>
  </si>
  <si>
    <t>MO02001</t>
  </si>
  <si>
    <t>MO01002</t>
  </si>
  <si>
    <t>MO01001</t>
  </si>
  <si>
    <t>MO04001</t>
  </si>
  <si>
    <t>MO04002</t>
  </si>
  <si>
    <t>MO08001</t>
  </si>
  <si>
    <t>MO08002</t>
  </si>
  <si>
    <t>MO08003</t>
  </si>
  <si>
    <t>%MO01</t>
  </si>
  <si>
    <t>%MO02</t>
  </si>
  <si>
    <t>%MO03</t>
  </si>
  <si>
    <t>EQESTT01</t>
  </si>
  <si>
    <t>EQRET001</t>
  </si>
  <si>
    <t>EQREV001</t>
  </si>
  <si>
    <t>EQ VIBC01</t>
  </si>
  <si>
    <t>VIBRADOR PARA CONCRETO CON MOTOR DE DE GASOLINA DE 4 HP</t>
  </si>
  <si>
    <t>CUAD001</t>
  </si>
  <si>
    <t>CUAD002</t>
  </si>
  <si>
    <t>CUAD003</t>
  </si>
  <si>
    <t>CUAD004</t>
  </si>
  <si>
    <t>CUAD005</t>
  </si>
  <si>
    <t>CUAD006</t>
  </si>
  <si>
    <t>BAMOR01</t>
  </si>
  <si>
    <t>BAMOR02</t>
  </si>
  <si>
    <t>BAMOR03</t>
  </si>
  <si>
    <t>BAMOR04</t>
  </si>
  <si>
    <t>BACON001</t>
  </si>
  <si>
    <t>BACON002</t>
  </si>
  <si>
    <t>BACON003</t>
  </si>
  <si>
    <t>BACON004</t>
  </si>
  <si>
    <t>BACON005</t>
  </si>
  <si>
    <t>BACON006</t>
  </si>
  <si>
    <t>BOVEDILLA DE CEMENTO-ARENA DE 15X25X70</t>
  </si>
  <si>
    <t>IVA</t>
  </si>
  <si>
    <t>COSTO INCL. IVA</t>
  </si>
  <si>
    <t>CODIGO</t>
  </si>
  <si>
    <t>CANTIDAD</t>
  </si>
  <si>
    <t>IMPORTES</t>
  </si>
  <si>
    <t>MATERIALES</t>
  </si>
  <si>
    <t>SUBTOTAL DE MATERIALES</t>
  </si>
  <si>
    <t>MANO DE OBRA</t>
  </si>
  <si>
    <t>SUBTOTAL DE MANO DE OBRA</t>
  </si>
  <si>
    <t>EQUIPO Y HERRAMIENTA</t>
  </si>
  <si>
    <t>SUBTOTAL DE EQUIPO Y HERRAMIENTA</t>
  </si>
  <si>
    <t>BÁSICOS</t>
  </si>
  <si>
    <t>SUBTOTAL DE BÁSICOS</t>
  </si>
  <si>
    <t>COSTO DIRECTO</t>
  </si>
  <si>
    <t>CONCRETO F'C= 100 KG/CM2, HECHO EN OBRA, A.M. 19 MM, REV. 10-12, R.N.</t>
  </si>
  <si>
    <t>CONCRETO F'C= 150 KG/CM2, HECHO EN OBRA, A.M. 19 MM, REV. 10-12, R.N.</t>
  </si>
  <si>
    <t>CONCRETO F'C= 200 KG/CM2, HECHO EN OBRA, A.M. 19 MM, REV. 10-12, R.N.</t>
  </si>
  <si>
    <t>CONCRETO F'C= 250 KG/CM2, HECHO EN OBRA, A.M. 19 MM, REV. 10-12, R.N.</t>
  </si>
  <si>
    <t>CONCRETO F'C= 300 KG/CM2, HECHO EN OBRA, A.M. 19 MM, REV. 10-12, R.N.</t>
  </si>
  <si>
    <t>CONCRETO F'C= 350 KG/CM2, HECHO EN OBRA, A.M. 19 MM, REV. 10-12, R.N.</t>
  </si>
  <si>
    <t>C= 1/R</t>
  </si>
  <si>
    <t>FSR = Ps(Tp/Tl) + Tp/Tl</t>
  </si>
  <si>
    <t>SALARIO MINIMO</t>
  </si>
  <si>
    <t>CALCULO DEL TP</t>
  </si>
  <si>
    <t>UMA</t>
  </si>
  <si>
    <r>
      <t xml:space="preserve">DIAS CALENDARIO </t>
    </r>
    <r>
      <rPr>
        <b/>
        <sz val="11"/>
        <color theme="1"/>
        <rFont val="Calibri"/>
        <family val="2"/>
        <scheme val="minor"/>
      </rPr>
      <t>(Dical)</t>
    </r>
  </si>
  <si>
    <t>3 UMAS</t>
  </si>
  <si>
    <t>SAR</t>
  </si>
  <si>
    <t>DIAS AGUINALDO</t>
  </si>
  <si>
    <t>DIAS CALENDARIO</t>
  </si>
  <si>
    <t>INFONAVIT</t>
  </si>
  <si>
    <t>DIAS POR PRIMA VACACIONAL  (25%)</t>
  </si>
  <si>
    <t>VACACIONES</t>
  </si>
  <si>
    <t>FACTOR DE RIESGO DE TRABAJO</t>
  </si>
  <si>
    <t>Tp</t>
  </si>
  <si>
    <t>DIAS FESTIVOS POR LEY</t>
  </si>
  <si>
    <t>FSBC = Tp/Dical</t>
  </si>
  <si>
    <t>DOMINGOS</t>
  </si>
  <si>
    <t>DIAS POR COSTUMBRE</t>
  </si>
  <si>
    <t>CALCULO DE Tl</t>
  </si>
  <si>
    <r>
      <rPr>
        <b/>
        <sz val="11"/>
        <color theme="1"/>
        <rFont val="Calibri"/>
        <family val="2"/>
        <scheme val="minor"/>
      </rPr>
      <t>Tl</t>
    </r>
    <r>
      <rPr>
        <sz val="11"/>
        <color theme="1"/>
        <rFont val="Calibri"/>
        <family val="2"/>
        <scheme val="minor"/>
      </rPr>
      <t xml:space="preserve"> es el total de días laborados en un año</t>
    </r>
  </si>
  <si>
    <t>DIAS PERDIDOS POR CONDICIONES CLIMATOLOGICAS</t>
  </si>
  <si>
    <t>Tl = Dical - Dias no laborados</t>
  </si>
  <si>
    <t>Dinla</t>
  </si>
  <si>
    <t>AGUINALDO</t>
  </si>
  <si>
    <t>Tl</t>
  </si>
  <si>
    <t>PRIMA VACACIONAL</t>
  </si>
  <si>
    <t>Tp/Tl</t>
  </si>
  <si>
    <t>CALCULO DEL FACTOR PS</t>
  </si>
  <si>
    <t>CATEGORIA</t>
  </si>
  <si>
    <t>SALARIO BASE</t>
  </si>
  <si>
    <t>FACTOR DE SALARIO BASE COTIZACIÓN (FSBC)</t>
  </si>
  <si>
    <t>SALARIO BASE COTIZACIÓN</t>
  </si>
  <si>
    <t>DIFERENCIA POR EXCEDENTE A 3 UMAS</t>
  </si>
  <si>
    <t>APLICACIÓN DEL IMSS AL EXCEDENTE</t>
  </si>
  <si>
    <t>RIESGO DE TRABAJO</t>
  </si>
  <si>
    <t>CUOTA FIJA</t>
  </si>
  <si>
    <t>PRESTACIONES EN DINERO</t>
  </si>
  <si>
    <t>GASTOS MÉDICOS PENSIONADOS</t>
  </si>
  <si>
    <t>INVALIDEZ Y VIDA</t>
  </si>
  <si>
    <t>FONDO PARA EL RETIRO (SAR)</t>
  </si>
  <si>
    <t>CESANTÍA EN EDAD AVANZADA Y VEJEZ</t>
  </si>
  <si>
    <t>GUARDERÍA Y PRESTACIONES SOCIALES</t>
  </si>
  <si>
    <t>IMPUESTO SOBRE NÓMINA</t>
  </si>
  <si>
    <t>SUMA DE PRESTACIONES</t>
  </si>
  <si>
    <t>Tl = 366 -76</t>
  </si>
  <si>
    <t>1 de enero</t>
  </si>
  <si>
    <t>5 de febrero</t>
  </si>
  <si>
    <t>21 de marzo</t>
  </si>
  <si>
    <t>1 de mayo</t>
  </si>
  <si>
    <t>16 de septiembre</t>
  </si>
  <si>
    <t>20 de novembre</t>
  </si>
  <si>
    <t>25 de diciembre</t>
  </si>
  <si>
    <t>PATRON</t>
  </si>
  <si>
    <t>TRABAJADOR</t>
  </si>
  <si>
    <t>jor</t>
  </si>
  <si>
    <t>FACTOR PS</t>
  </si>
  <si>
    <t>DATOS</t>
  </si>
  <si>
    <t>PRECIO DE ADQUISICIÓN</t>
  </si>
  <si>
    <t>VIDA ECONÓMICA AÑOS</t>
  </si>
  <si>
    <t>PRECIO DE JUEGO DE LLANTAS</t>
  </si>
  <si>
    <t>HS. POR AÑO</t>
  </si>
  <si>
    <t>VIDA ECONÓMICA DE LLANTAS (HS)</t>
  </si>
  <si>
    <t>VIDA ECONÓMICA (HS)</t>
  </si>
  <si>
    <t>VALOR DE LA MAQUINA</t>
  </si>
  <si>
    <t>POTENCIA NOMINAL (HP)</t>
  </si>
  <si>
    <t>VALOR DE RESCATE</t>
  </si>
  <si>
    <t>COSTO COMBUSTIBLE</t>
  </si>
  <si>
    <t>TASA DE INTERÉS (i)</t>
  </si>
  <si>
    <t>COSTO LUBRICANTE (LTO)</t>
  </si>
  <si>
    <t>PRIMA SEGUROS</t>
  </si>
  <si>
    <t>FACTOR DE OPERACIÓN</t>
  </si>
  <si>
    <t>SALARIO REAL DEL OPERADOR</t>
  </si>
  <si>
    <t>POTENCIA DE OPERACIÓN</t>
  </si>
  <si>
    <t>HS. EFECTIVAS/JORNADA</t>
  </si>
  <si>
    <t>FACTOR DE MANTENIMIENTO</t>
  </si>
  <si>
    <t>T IEMPO ENTRE CAMBIO DE ACEITE (HS)</t>
  </si>
  <si>
    <t>COEFICIENTE DE COMBUSTIBLES</t>
  </si>
  <si>
    <t>.1514-0.2271</t>
  </si>
  <si>
    <t>COEFICIENTE DE LUBRICANTES</t>
  </si>
  <si>
    <t>1/</t>
  </si>
  <si>
    <t>CAPACIDAD DEL CARTER</t>
  </si>
  <si>
    <t>CARGOS FIJOS</t>
  </si>
  <si>
    <t>CARGO</t>
  </si>
  <si>
    <t>DEPRECIACIÓN</t>
  </si>
  <si>
    <t>D= (Vm - Vr)/Ve</t>
  </si>
  <si>
    <t>INVERSIÓN</t>
  </si>
  <si>
    <t>Im = ((Vm + Vr)/2Hea)*i</t>
  </si>
  <si>
    <t>SEGUROS</t>
  </si>
  <si>
    <t>Sm = ((Vm + Vr)/2Hea)*s</t>
  </si>
  <si>
    <t>MANTENIMIENTO</t>
  </si>
  <si>
    <t>M = Ko * D</t>
  </si>
  <si>
    <t>SUBTOTAL DE CARGOS FIJOS</t>
  </si>
  <si>
    <t>CONSUMOS</t>
  </si>
  <si>
    <t>COMBUSTIBLE</t>
  </si>
  <si>
    <t>Co = Fc * Po * Pc</t>
  </si>
  <si>
    <t>LUBRICANTES</t>
  </si>
  <si>
    <t>Lb = [(Fa*Po) + CC/Ca]*Pa</t>
  </si>
  <si>
    <t>LLANTAS</t>
  </si>
  <si>
    <t>N= Pn/Vn</t>
  </si>
  <si>
    <t>SUBTOTAL DE CONSUMOS</t>
  </si>
  <si>
    <t>OPERACIÓN</t>
  </si>
  <si>
    <t>OPERADOR DE MAQ. MAYOR</t>
  </si>
  <si>
    <t>PO = Sr/Ht</t>
  </si>
  <si>
    <t>SUBTOTAL DE OPERACIÓN</t>
  </si>
  <si>
    <t>COSTO HORARIO MAQUINA</t>
  </si>
  <si>
    <t>NOMBRE DE LA EMPRESA</t>
  </si>
  <si>
    <t>NOMBRE DEL CLIENTE</t>
  </si>
  <si>
    <t>OBRA</t>
  </si>
  <si>
    <t>UBICACIÓN DE LA OBRA</t>
  </si>
  <si>
    <t>FECHA ENTREGA</t>
  </si>
  <si>
    <t>FECHA INJICIO</t>
  </si>
  <si>
    <t>FECHA TERMINACIÓN</t>
  </si>
  <si>
    <t>OPERADOR DE MAQUINARIA MENOR</t>
  </si>
  <si>
    <t>CLAVOS DE 4"</t>
  </si>
  <si>
    <t>10 PZAS</t>
  </si>
  <si>
    <t>AREA DE 62 M2</t>
  </si>
  <si>
    <t>VAR/KG</t>
  </si>
  <si>
    <t>AREA</t>
  </si>
  <si>
    <t>TRAZAR 10 MARCAS</t>
  </si>
  <si>
    <t>LATA</t>
  </si>
  <si>
    <t>CLAVO DE CONCRETO</t>
  </si>
  <si>
    <t>COLOCACÓN DE 16 CRUCETAS</t>
  </si>
  <si>
    <t>BARROTE</t>
  </si>
  <si>
    <t>DUELA DE PINO</t>
  </si>
  <si>
    <t>MANGUERA</t>
  </si>
  <si>
    <t>CUADRILLA DE TOPOGRAFO</t>
  </si>
  <si>
    <t>trazo de puntos</t>
  </si>
  <si>
    <t>Colocación de Estación</t>
  </si>
  <si>
    <t>actividad</t>
  </si>
  <si>
    <t>tiempo (min)</t>
  </si>
  <si>
    <t>16 puntos</t>
  </si>
  <si>
    <t>ejes de ref.</t>
  </si>
  <si>
    <t>mojonera</t>
  </si>
  <si>
    <t>REND= 1/CANT</t>
  </si>
  <si>
    <t>CANT= 1/REND</t>
  </si>
  <si>
    <t>CUADRILLA DE ALBAÑIL</t>
  </si>
  <si>
    <t>1. CORTAR MADERA</t>
  </si>
  <si>
    <t>2. EXCAVAR HUECOS</t>
  </si>
  <si>
    <t>3. ARMAR CRUCETA</t>
  </si>
  <si>
    <t>4. HINCAR CRUCETA</t>
  </si>
  <si>
    <t>5. RELLENAR HUECOS</t>
  </si>
  <si>
    <t>A. CRUCETA</t>
  </si>
  <si>
    <t>B. COLOCACIÓN DE HILO</t>
  </si>
  <si>
    <t>1. TRASLADO DE PUNTOS A CRUCETA</t>
  </si>
  <si>
    <t>2. COLOCACIÓN DE HILO</t>
  </si>
  <si>
    <t>ACTIVIDAD</t>
  </si>
  <si>
    <t>1. TRAZO CON HILO</t>
  </si>
  <si>
    <t>2. ACARREAR LA CALHIDRA</t>
  </si>
  <si>
    <t>3. LLENAR EL BOTE</t>
  </si>
  <si>
    <t>4. TRAZAR CON EL BOTE</t>
  </si>
  <si>
    <t>TIEMPO (MIN)</t>
  </si>
  <si>
    <t>C. TRAZO CON CALHIDRA (62 M2)</t>
  </si>
  <si>
    <t>DURACION (HRS)</t>
  </si>
  <si>
    <t>DURACION (JOR) TRAZO CON CALHIDRA</t>
  </si>
  <si>
    <t>DURACION (JOR) CRUCETAS</t>
  </si>
  <si>
    <t>R = 1/C</t>
  </si>
  <si>
    <t>INDIRECTOS</t>
  </si>
  <si>
    <t>SUBTOTAL 1</t>
  </si>
  <si>
    <t>FINANCIAMIENTO</t>
  </si>
  <si>
    <t>SUBTOTAL 2</t>
  </si>
  <si>
    <t>UTILIDAD</t>
  </si>
  <si>
    <t>PRECIO UNITARIO</t>
  </si>
  <si>
    <t>A=4.0 M2</t>
  </si>
  <si>
    <t>V</t>
  </si>
  <si>
    <t>T</t>
  </si>
  <si>
    <t>Catálogo de Conceptos</t>
  </si>
  <si>
    <t>PRELIMINARES Y CIMENTACIÓN</t>
  </si>
  <si>
    <t>LOGO</t>
  </si>
  <si>
    <t>EMPRESA:</t>
  </si>
  <si>
    <t>OBRAS:</t>
  </si>
  <si>
    <t>UBICACIÓN:</t>
  </si>
  <si>
    <t>CIUDAD:</t>
  </si>
  <si>
    <t>FECHA:</t>
  </si>
  <si>
    <t>INICIO:</t>
  </si>
  <si>
    <t>TERMINACIÓN:</t>
  </si>
  <si>
    <t>PLAZO:</t>
  </si>
  <si>
    <t>No. DE PÁGINA</t>
  </si>
  <si>
    <t>EL IMPORTE TOTAL DE ESTE PRESUPUESTO ES: (SETECIENTOS ONCE MIL DOSCIENTOS VEINTIUN PESOS 59/100 M.N.</t>
  </si>
  <si>
    <t>CATÁLOGO DE MATERIALES</t>
  </si>
  <si>
    <t>CATÁLOGO DE MANO DE OBRA</t>
  </si>
  <si>
    <t>CATÁLOGO DE EQUIPO Y HERRAMIENTA</t>
  </si>
  <si>
    <t>IMPORTE</t>
  </si>
  <si>
    <t>CATÁLOGO DE BÁSICOS AUXILIARES</t>
  </si>
  <si>
    <t>MATRIZ DE BÁSICOS AUXILIARES</t>
  </si>
  <si>
    <t>CÁLCULO DEL FACTOR DE SALARIO REAL</t>
  </si>
  <si>
    <t>1 de Octubre (C/6 años)</t>
  </si>
  <si>
    <t>FSR = Ps(Tp/Tl) + Tp/Tl (Art. 191 RL.O.P y S.R.M.)</t>
  </si>
  <si>
    <t>CARGOS POR IMSS PATRÓN + TRABAJADOR</t>
  </si>
  <si>
    <t>ANÁLISIS DE COSTO HORARIO MÁQUINA</t>
  </si>
  <si>
    <t>CÁLCULO DE CARGOS</t>
  </si>
  <si>
    <t xml:space="preserve"> CARGOS POR CONSUMOS</t>
  </si>
  <si>
    <t xml:space="preserve"> CARGOS POR OPERACIÓN</t>
  </si>
  <si>
    <t>CARGOS POR CONSUMOS</t>
  </si>
  <si>
    <t>ANÁLISIS DE PRECIO UNITARIO</t>
  </si>
  <si>
    <t>NOTA: MENCIONAR CUANDO ES FACTBLE AGREGAR EL IVA A LOS MATERIALES</t>
  </si>
  <si>
    <t>NOTA: ¿POR QUÉ A LOS BÁSICOS AUXILIARES NO SE LES AGREGA INDIRECTOS?</t>
  </si>
  <si>
    <t>HERRAMIENTA MENOR (3-5%)</t>
  </si>
  <si>
    <t>EQUIPO DE SEGURIDAD (2-3%</t>
  </si>
  <si>
    <t>ANDAMIOS (5-10%)</t>
  </si>
  <si>
    <t>CARGOS ADICIONALES (SEFUPU)</t>
  </si>
  <si>
    <t>SUBTOTAL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</si>
</sst>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164" formatCode="0.0000%"/>
    <numFmt numFmtId="165" formatCode="0.000000"/>
    <numFmt numFmtId="166" formatCode="0.000000%"/>
    <numFmt numFmtId="167" formatCode="#,##0.000000_ ;\-#,##0.000000\ "/>
    <numFmt numFmtId="168" formatCode="0.0000"/>
    <numFmt numFmtId="170" formatCode="0.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9">
    <border>
      <left/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medium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45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 applyProtection="1">
      <alignment horizontal="center" vertical="center"/>
      <protection locked="0"/>
    </xf>
    <xf numFmtId="4" fontId="6" fillId="2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4" fontId="5" fillId="2" borderId="8" xfId="0" applyNumberFormat="1" applyFont="1" applyFill="1" applyBorder="1" applyAlignment="1" applyProtection="1">
      <alignment horizontal="center" vertical="center"/>
      <protection locked="0"/>
    </xf>
    <xf numFmtId="4" fontId="5" fillId="2" borderId="9" xfId="0" applyNumberFormat="1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justify" vertical="center" wrapText="1"/>
      <protection locked="0"/>
    </xf>
    <xf numFmtId="4" fontId="4" fillId="3" borderId="11" xfId="0" applyNumberFormat="1" applyFont="1" applyFill="1" applyBorder="1" applyAlignment="1" applyProtection="1">
      <alignment horizontal="center" vertical="center"/>
      <protection locked="0"/>
    </xf>
    <xf numFmtId="4" fontId="4" fillId="3" borderId="11" xfId="0" applyNumberFormat="1" applyFont="1" applyFill="1" applyBorder="1" applyAlignment="1" applyProtection="1">
      <alignment horizontal="right" vertical="center"/>
      <protection locked="0"/>
    </xf>
    <xf numFmtId="164" fontId="4" fillId="3" borderId="0" xfId="1" applyNumberFormat="1" applyFont="1" applyFill="1" applyAlignment="1">
      <alignment vertical="center"/>
    </xf>
    <xf numFmtId="4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justify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44" fontId="0" fillId="0" borderId="0" xfId="3" applyFont="1"/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13" xfId="0" applyBorder="1"/>
    <xf numFmtId="44" fontId="0" fillId="0" borderId="13" xfId="3" applyFont="1" applyBorder="1"/>
    <xf numFmtId="0" fontId="0" fillId="0" borderId="14" xfId="0" applyBorder="1"/>
    <xf numFmtId="44" fontId="0" fillId="0" borderId="15" xfId="0" applyNumberFormat="1" applyBorder="1"/>
    <xf numFmtId="0" fontId="0" fillId="0" borderId="16" xfId="0" applyBorder="1"/>
    <xf numFmtId="0" fontId="0" fillId="0" borderId="17" xfId="0" applyBorder="1"/>
    <xf numFmtId="44" fontId="0" fillId="0" borderId="17" xfId="3" applyFont="1" applyBorder="1"/>
    <xf numFmtId="44" fontId="0" fillId="0" borderId="18" xfId="0" applyNumberFormat="1" applyBorder="1"/>
    <xf numFmtId="0" fontId="0" fillId="0" borderId="19" xfId="0" applyBorder="1"/>
    <xf numFmtId="0" fontId="0" fillId="0" borderId="20" xfId="0" applyBorder="1"/>
    <xf numFmtId="44" fontId="0" fillId="0" borderId="20" xfId="3" applyFont="1" applyBorder="1"/>
    <xf numFmtId="44" fontId="0" fillId="0" borderId="21" xfId="0" applyNumberFormat="1" applyBorder="1"/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8" fillId="0" borderId="25" xfId="0" applyFont="1" applyBorder="1"/>
    <xf numFmtId="0" fontId="8" fillId="0" borderId="26" xfId="0" applyFont="1" applyBorder="1"/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0" fontId="8" fillId="0" borderId="0" xfId="0" applyFont="1" applyBorder="1"/>
    <xf numFmtId="44" fontId="0" fillId="0" borderId="0" xfId="0" applyNumberFormat="1" applyBorder="1"/>
    <xf numFmtId="44" fontId="0" fillId="0" borderId="29" xfId="3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35" xfId="0" applyFont="1" applyBorder="1"/>
    <xf numFmtId="0" fontId="8" fillId="0" borderId="31" xfId="0" applyFont="1" applyBorder="1"/>
    <xf numFmtId="44" fontId="0" fillId="0" borderId="32" xfId="0" applyNumberFormat="1" applyBorder="1"/>
    <xf numFmtId="0" fontId="8" fillId="0" borderId="36" xfId="0" applyFon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8" fillId="0" borderId="39" xfId="0" applyFont="1" applyBorder="1"/>
    <xf numFmtId="0" fontId="8" fillId="0" borderId="40" xfId="0" applyFont="1" applyBorder="1"/>
    <xf numFmtId="0" fontId="0" fillId="0" borderId="36" xfId="0" applyBorder="1"/>
    <xf numFmtId="0" fontId="0" fillId="4" borderId="0" xfId="0" applyFill="1"/>
    <xf numFmtId="0" fontId="0" fillId="0" borderId="41" xfId="0" applyBorder="1"/>
    <xf numFmtId="165" fontId="0" fillId="0" borderId="0" xfId="0" applyNumberFormat="1"/>
    <xf numFmtId="167" fontId="0" fillId="0" borderId="0" xfId="0" applyNumberFormat="1"/>
    <xf numFmtId="2" fontId="8" fillId="0" borderId="0" xfId="0" applyNumberFormat="1" applyFont="1"/>
    <xf numFmtId="44" fontId="8" fillId="0" borderId="0" xfId="0" applyNumberFormat="1" applyFont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/>
    <xf numFmtId="0" fontId="9" fillId="0" borderId="29" xfId="0" applyFont="1" applyBorder="1"/>
    <xf numFmtId="0" fontId="9" fillId="0" borderId="30" xfId="0" applyFont="1" applyBorder="1"/>
    <xf numFmtId="0" fontId="9" fillId="0" borderId="31" xfId="0" applyFont="1" applyBorder="1"/>
    <xf numFmtId="0" fontId="9" fillId="0" borderId="32" xfId="0" applyFont="1" applyBorder="1"/>
    <xf numFmtId="0" fontId="0" fillId="4" borderId="28" xfId="0" applyFill="1" applyBorder="1"/>
    <xf numFmtId="168" fontId="0" fillId="0" borderId="30" xfId="0" applyNumberFormat="1" applyBorder="1"/>
    <xf numFmtId="165" fontId="0" fillId="0" borderId="0" xfId="0" applyNumberFormat="1" applyBorder="1"/>
    <xf numFmtId="165" fontId="0" fillId="0" borderId="30" xfId="0" applyNumberFormat="1" applyBorder="1"/>
    <xf numFmtId="0" fontId="0" fillId="0" borderId="0" xfId="0" applyFill="1" applyBorder="1"/>
    <xf numFmtId="9" fontId="0" fillId="0" borderId="0" xfId="0" applyNumberFormat="1" applyBorder="1"/>
    <xf numFmtId="167" fontId="0" fillId="0" borderId="0" xfId="0" applyNumberFormat="1" applyAlignment="1">
      <alignment horizontal="left" indent="1"/>
    </xf>
    <xf numFmtId="0" fontId="0" fillId="5" borderId="44" xfId="0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 applyProtection="1">
      <alignment horizontal="center" vertical="center"/>
      <protection locked="0"/>
    </xf>
    <xf numFmtId="4" fontId="6" fillId="2" borderId="0" xfId="0" applyNumberFormat="1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horizontal="left" vertical="center"/>
    </xf>
    <xf numFmtId="0" fontId="10" fillId="0" borderId="45" xfId="0" applyFont="1" applyBorder="1" applyAlignment="1">
      <alignment horizontal="left" vertical="top"/>
    </xf>
    <xf numFmtId="0" fontId="10" fillId="0" borderId="53" xfId="0" applyFont="1" applyBorder="1" applyAlignment="1">
      <alignment horizontal="left" vertical="top"/>
    </xf>
    <xf numFmtId="0" fontId="10" fillId="0" borderId="51" xfId="0" applyFont="1" applyBorder="1"/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6" xfId="0" applyFont="1" applyBorder="1"/>
    <xf numFmtId="0" fontId="10" fillId="0" borderId="54" xfId="0" applyFont="1" applyBorder="1" applyAlignment="1">
      <alignment horizontal="left" vertical="top"/>
    </xf>
    <xf numFmtId="0" fontId="10" fillId="0" borderId="32" xfId="0" applyFont="1" applyBorder="1" applyAlignment="1">
      <alignment horizontal="left" vertical="top"/>
    </xf>
    <xf numFmtId="0" fontId="10" fillId="0" borderId="0" xfId="0" applyFont="1" applyBorder="1"/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8" xfId="0" applyFont="1" applyBorder="1"/>
    <xf numFmtId="0" fontId="10" fillId="0" borderId="55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0" fillId="0" borderId="5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56" xfId="0" applyFont="1" applyBorder="1"/>
    <xf numFmtId="0" fontId="10" fillId="0" borderId="57" xfId="0" applyFont="1" applyBorder="1"/>
    <xf numFmtId="0" fontId="10" fillId="0" borderId="25" xfId="0" applyFont="1" applyBorder="1"/>
    <xf numFmtId="0" fontId="10" fillId="0" borderId="27" xfId="0" applyFont="1" applyBorder="1"/>
    <xf numFmtId="0" fontId="10" fillId="0" borderId="49" xfId="0" applyFont="1" applyBorder="1"/>
    <xf numFmtId="0" fontId="10" fillId="0" borderId="52" xfId="0" applyFont="1" applyBorder="1"/>
    <xf numFmtId="0" fontId="10" fillId="0" borderId="30" xfId="0" applyFont="1" applyBorder="1"/>
    <xf numFmtId="0" fontId="10" fillId="0" borderId="32" xfId="0" applyFont="1" applyBorder="1"/>
    <xf numFmtId="0" fontId="10" fillId="0" borderId="0" xfId="0" applyFont="1"/>
    <xf numFmtId="0" fontId="0" fillId="2" borderId="0" xfId="0" applyFill="1"/>
    <xf numFmtId="0" fontId="11" fillId="0" borderId="0" xfId="0" applyFont="1"/>
    <xf numFmtId="165" fontId="0" fillId="0" borderId="13" xfId="0" applyNumberFormat="1" applyBorder="1"/>
    <xf numFmtId="44" fontId="0" fillId="0" borderId="15" xfId="3" applyFont="1" applyBorder="1"/>
    <xf numFmtId="0" fontId="0" fillId="0" borderId="15" xfId="0" applyBorder="1"/>
    <xf numFmtId="0" fontId="0" fillId="0" borderId="18" xfId="0" applyBorder="1"/>
    <xf numFmtId="165" fontId="0" fillId="0" borderId="20" xfId="0" applyNumberFormat="1" applyBorder="1"/>
    <xf numFmtId="44" fontId="0" fillId="0" borderId="21" xfId="3" applyFont="1" applyBorder="1"/>
    <xf numFmtId="0" fontId="8" fillId="0" borderId="22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44" fontId="0" fillId="0" borderId="13" xfId="0" applyNumberFormat="1" applyBorder="1"/>
    <xf numFmtId="0" fontId="0" fillId="0" borderId="21" xfId="0" applyBorder="1"/>
    <xf numFmtId="0" fontId="0" fillId="8" borderId="14" xfId="0" applyFill="1" applyBorder="1"/>
    <xf numFmtId="0" fontId="0" fillId="8" borderId="13" xfId="0" applyFill="1" applyBorder="1"/>
    <xf numFmtId="44" fontId="0" fillId="8" borderId="13" xfId="0" applyNumberFormat="1" applyFill="1" applyBorder="1"/>
    <xf numFmtId="0" fontId="0" fillId="0" borderId="14" xfId="0" applyFill="1" applyBorder="1"/>
    <xf numFmtId="0" fontId="0" fillId="0" borderId="13" xfId="0" applyFill="1" applyBorder="1"/>
    <xf numFmtId="44" fontId="0" fillId="0" borderId="13" xfId="0" applyNumberFormat="1" applyFill="1" applyBorder="1"/>
    <xf numFmtId="0" fontId="0" fillId="0" borderId="58" xfId="0" applyBorder="1"/>
    <xf numFmtId="0" fontId="0" fillId="0" borderId="59" xfId="0" applyBorder="1" applyAlignment="1">
      <alignment vertical="top" wrapText="1"/>
    </xf>
    <xf numFmtId="44" fontId="0" fillId="0" borderId="59" xfId="0" applyNumberFormat="1" applyBorder="1"/>
    <xf numFmtId="0" fontId="0" fillId="0" borderId="59" xfId="0" applyBorder="1"/>
    <xf numFmtId="0" fontId="0" fillId="0" borderId="60" xfId="0" applyBorder="1"/>
    <xf numFmtId="0" fontId="0" fillId="0" borderId="13" xfId="0" applyBorder="1" applyAlignment="1">
      <alignment vertical="top" wrapText="1"/>
    </xf>
    <xf numFmtId="44" fontId="0" fillId="0" borderId="17" xfId="0" applyNumberForma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9" xfId="0" applyFont="1" applyBorder="1"/>
    <xf numFmtId="9" fontId="0" fillId="0" borderId="29" xfId="0" applyNumberFormat="1" applyBorder="1"/>
    <xf numFmtId="0" fontId="0" fillId="0" borderId="39" xfId="0" applyFill="1" applyBorder="1"/>
    <xf numFmtId="0" fontId="0" fillId="0" borderId="40" xfId="0" applyFill="1" applyBorder="1"/>
    <xf numFmtId="0" fontId="0" fillId="0" borderId="0" xfId="0" applyFill="1"/>
    <xf numFmtId="0" fontId="8" fillId="0" borderId="0" xfId="0" applyFont="1" applyFill="1"/>
    <xf numFmtId="0" fontId="0" fillId="0" borderId="28" xfId="0" applyFill="1" applyBorder="1"/>
    <xf numFmtId="0" fontId="8" fillId="0" borderId="36" xfId="0" applyFont="1" applyFill="1" applyBorder="1"/>
    <xf numFmtId="0" fontId="0" fillId="0" borderId="37" xfId="0" applyFill="1" applyBorder="1"/>
    <xf numFmtId="0" fontId="0" fillId="0" borderId="36" xfId="0" applyFill="1" applyBorder="1"/>
    <xf numFmtId="0" fontId="8" fillId="6" borderId="41" xfId="0" applyFont="1" applyFill="1" applyBorder="1"/>
    <xf numFmtId="0" fontId="0" fillId="6" borderId="42" xfId="0" applyFill="1" applyBorder="1"/>
    <xf numFmtId="165" fontId="0" fillId="6" borderId="43" xfId="0" applyNumberFormat="1" applyFill="1" applyBorder="1"/>
    <xf numFmtId="0" fontId="0" fillId="6" borderId="43" xfId="0" applyFill="1" applyBorder="1"/>
    <xf numFmtId="0" fontId="8" fillId="6" borderId="39" xfId="0" applyFont="1" applyFill="1" applyBorder="1"/>
    <xf numFmtId="0" fontId="8" fillId="6" borderId="0" xfId="0" applyFont="1" applyFill="1" applyBorder="1"/>
    <xf numFmtId="0" fontId="8" fillId="6" borderId="40" xfId="0" applyFont="1" applyFill="1" applyBorder="1"/>
    <xf numFmtId="0" fontId="0" fillId="6" borderId="0" xfId="0" applyFill="1" applyBorder="1"/>
    <xf numFmtId="0" fontId="8" fillId="9" borderId="22" xfId="0" applyFont="1" applyFill="1" applyBorder="1" applyAlignment="1">
      <alignment vertical="top" wrapText="1"/>
    </xf>
    <xf numFmtId="0" fontId="8" fillId="9" borderId="23" xfId="0" applyFont="1" applyFill="1" applyBorder="1" applyAlignment="1">
      <alignment vertical="top" wrapText="1"/>
    </xf>
    <xf numFmtId="165" fontId="0" fillId="0" borderId="13" xfId="0" applyNumberFormat="1" applyFill="1" applyBorder="1"/>
    <xf numFmtId="44" fontId="0" fillId="0" borderId="13" xfId="3" applyFont="1" applyFill="1" applyBorder="1"/>
    <xf numFmtId="0" fontId="0" fillId="0" borderId="61" xfId="0" applyFill="1" applyBorder="1"/>
    <xf numFmtId="0" fontId="8" fillId="10" borderId="23" xfId="0" applyFont="1" applyFill="1" applyBorder="1" applyAlignment="1">
      <alignment vertical="top" wrapText="1"/>
    </xf>
    <xf numFmtId="0" fontId="8" fillId="11" borderId="23" xfId="0" applyFont="1" applyFill="1" applyBorder="1" applyAlignment="1">
      <alignment vertical="top" wrapText="1"/>
    </xf>
    <xf numFmtId="0" fontId="8" fillId="12" borderId="23" xfId="0" applyFont="1" applyFill="1" applyBorder="1" applyAlignment="1">
      <alignment vertical="top" wrapText="1"/>
    </xf>
    <xf numFmtId="0" fontId="8" fillId="13" borderId="23" xfId="0" applyFont="1" applyFill="1" applyBorder="1" applyAlignment="1">
      <alignment vertical="top" wrapText="1"/>
    </xf>
    <xf numFmtId="0" fontId="8" fillId="14" borderId="23" xfId="0" applyFont="1" applyFill="1" applyBorder="1" applyAlignment="1">
      <alignment vertical="top" wrapText="1"/>
    </xf>
    <xf numFmtId="0" fontId="8" fillId="15" borderId="23" xfId="0" applyFont="1" applyFill="1" applyBorder="1" applyAlignment="1">
      <alignment vertical="top" wrapText="1"/>
    </xf>
    <xf numFmtId="0" fontId="8" fillId="7" borderId="23" xfId="0" applyFont="1" applyFill="1" applyBorder="1" applyAlignment="1">
      <alignment vertical="top" wrapText="1"/>
    </xf>
    <xf numFmtId="0" fontId="8" fillId="4" borderId="23" xfId="0" applyFont="1" applyFill="1" applyBorder="1" applyAlignment="1">
      <alignment vertical="top" wrapText="1"/>
    </xf>
    <xf numFmtId="0" fontId="8" fillId="16" borderId="23" xfId="0" applyFont="1" applyFill="1" applyBorder="1" applyAlignment="1">
      <alignment vertical="top" wrapText="1"/>
    </xf>
    <xf numFmtId="0" fontId="8" fillId="5" borderId="23" xfId="0" applyFont="1" applyFill="1" applyBorder="1" applyAlignment="1">
      <alignment vertical="top" wrapText="1"/>
    </xf>
    <xf numFmtId="0" fontId="8" fillId="17" borderId="23" xfId="0" applyFont="1" applyFill="1" applyBorder="1" applyAlignment="1">
      <alignment vertical="top" wrapText="1"/>
    </xf>
    <xf numFmtId="0" fontId="8" fillId="18" borderId="23" xfId="0" applyFont="1" applyFill="1" applyBorder="1" applyAlignment="1">
      <alignment vertical="top" wrapText="1"/>
    </xf>
    <xf numFmtId="0" fontId="8" fillId="18" borderId="24" xfId="0" applyFont="1" applyFill="1" applyBorder="1" applyAlignment="1">
      <alignment vertical="top" wrapText="1"/>
    </xf>
    <xf numFmtId="166" fontId="8" fillId="19" borderId="65" xfId="0" applyNumberFormat="1" applyFont="1" applyFill="1" applyBorder="1"/>
    <xf numFmtId="0" fontId="0" fillId="8" borderId="19" xfId="0" applyFill="1" applyBorder="1"/>
    <xf numFmtId="0" fontId="0" fillId="8" borderId="20" xfId="0" applyFill="1" applyBorder="1"/>
    <xf numFmtId="44" fontId="0" fillId="8" borderId="20" xfId="0" applyNumberFormat="1" applyFill="1" applyBorder="1"/>
    <xf numFmtId="165" fontId="0" fillId="8" borderId="20" xfId="0" applyNumberFormat="1" applyFill="1" applyBorder="1"/>
    <xf numFmtId="44" fontId="0" fillId="8" borderId="20" xfId="3" applyFont="1" applyFill="1" applyBorder="1"/>
    <xf numFmtId="165" fontId="0" fillId="8" borderId="13" xfId="0" applyNumberFormat="1" applyFill="1" applyBorder="1"/>
    <xf numFmtId="44" fontId="0" fillId="8" borderId="13" xfId="3" applyFont="1" applyFill="1" applyBorder="1"/>
    <xf numFmtId="0" fontId="0" fillId="20" borderId="14" xfId="0" applyFill="1" applyBorder="1"/>
    <xf numFmtId="0" fontId="0" fillId="20" borderId="13" xfId="0" applyFill="1" applyBorder="1"/>
    <xf numFmtId="44" fontId="0" fillId="20" borderId="13" xfId="0" applyNumberFormat="1" applyFill="1" applyBorder="1"/>
    <xf numFmtId="165" fontId="0" fillId="20" borderId="13" xfId="0" applyNumberFormat="1" applyFill="1" applyBorder="1"/>
    <xf numFmtId="44" fontId="0" fillId="20" borderId="13" xfId="3" applyFont="1" applyFill="1" applyBorder="1"/>
    <xf numFmtId="0" fontId="0" fillId="10" borderId="14" xfId="0" applyFill="1" applyBorder="1"/>
    <xf numFmtId="0" fontId="0" fillId="10" borderId="13" xfId="0" applyFill="1" applyBorder="1"/>
    <xf numFmtId="44" fontId="0" fillId="10" borderId="13" xfId="0" applyNumberFormat="1" applyFill="1" applyBorder="1"/>
    <xf numFmtId="165" fontId="0" fillId="10" borderId="13" xfId="0" applyNumberFormat="1" applyFill="1" applyBorder="1"/>
    <xf numFmtId="44" fontId="0" fillId="10" borderId="13" xfId="3" applyFont="1" applyFill="1" applyBorder="1"/>
    <xf numFmtId="0" fontId="0" fillId="16" borderId="14" xfId="0" applyFill="1" applyBorder="1"/>
    <xf numFmtId="0" fontId="0" fillId="16" borderId="13" xfId="0" applyFill="1" applyBorder="1"/>
    <xf numFmtId="44" fontId="0" fillId="16" borderId="13" xfId="0" applyNumberFormat="1" applyFill="1" applyBorder="1"/>
    <xf numFmtId="165" fontId="0" fillId="16" borderId="13" xfId="0" applyNumberFormat="1" applyFill="1" applyBorder="1"/>
    <xf numFmtId="44" fontId="0" fillId="16" borderId="13" xfId="3" applyFont="1" applyFill="1" applyBorder="1"/>
    <xf numFmtId="167" fontId="0" fillId="21" borderId="20" xfId="0" applyNumberFormat="1" applyFill="1" applyBorder="1"/>
    <xf numFmtId="0" fontId="0" fillId="21" borderId="21" xfId="0" applyFill="1" applyBorder="1"/>
    <xf numFmtId="167" fontId="0" fillId="21" borderId="13" xfId="0" applyNumberFormat="1" applyFill="1" applyBorder="1"/>
    <xf numFmtId="0" fontId="0" fillId="21" borderId="15" xfId="0" applyFill="1" applyBorder="1"/>
    <xf numFmtId="166" fontId="0" fillId="6" borderId="62" xfId="0" applyNumberFormat="1" applyFill="1" applyBorder="1" applyAlignment="1"/>
    <xf numFmtId="166" fontId="0" fillId="15" borderId="63" xfId="0" applyNumberFormat="1" applyFill="1" applyBorder="1" applyAlignment="1"/>
    <xf numFmtId="166" fontId="0" fillId="15" borderId="66" xfId="0" applyNumberFormat="1" applyFill="1" applyBorder="1" applyAlignment="1"/>
    <xf numFmtId="0" fontId="0" fillId="0" borderId="0" xfId="0" applyFill="1" applyAlignment="1">
      <alignment horizontal="left" vertical="center" wrapText="1"/>
    </xf>
    <xf numFmtId="0" fontId="0" fillId="0" borderId="13" xfId="0" applyFill="1" applyBorder="1" applyAlignment="1">
      <alignment vertical="top" wrapText="1"/>
    </xf>
    <xf numFmtId="0" fontId="0" fillId="0" borderId="16" xfId="0" applyFill="1" applyBorder="1"/>
    <xf numFmtId="0" fontId="0" fillId="0" borderId="17" xfId="0" applyFill="1" applyBorder="1" applyAlignment="1">
      <alignment vertical="top" wrapText="1"/>
    </xf>
    <xf numFmtId="0" fontId="8" fillId="0" borderId="13" xfId="0" applyFont="1" applyBorder="1"/>
    <xf numFmtId="0" fontId="12" fillId="0" borderId="0" xfId="0" applyFont="1" applyBorder="1"/>
    <xf numFmtId="0" fontId="0" fillId="0" borderId="67" xfId="0" applyBorder="1" applyAlignment="1">
      <alignment wrapText="1"/>
    </xf>
    <xf numFmtId="3" fontId="0" fillId="0" borderId="68" xfId="0" applyNumberFormat="1" applyBorder="1"/>
    <xf numFmtId="0" fontId="0" fillId="0" borderId="68" xfId="0" applyBorder="1"/>
    <xf numFmtId="0" fontId="0" fillId="0" borderId="69" xfId="0" applyBorder="1"/>
    <xf numFmtId="0" fontId="0" fillId="0" borderId="70" xfId="0" applyBorder="1" applyAlignment="1">
      <alignment wrapText="1"/>
    </xf>
    <xf numFmtId="0" fontId="0" fillId="0" borderId="71" xfId="0" applyBorder="1"/>
    <xf numFmtId="0" fontId="0" fillId="0" borderId="72" xfId="0" applyBorder="1" applyAlignment="1">
      <alignment wrapText="1"/>
    </xf>
    <xf numFmtId="0" fontId="0" fillId="0" borderId="73" xfId="0" applyBorder="1"/>
    <xf numFmtId="0" fontId="0" fillId="0" borderId="74" xfId="0" applyBorder="1"/>
    <xf numFmtId="0" fontId="0" fillId="0" borderId="0" xfId="0" applyBorder="1" applyAlignment="1">
      <alignment wrapText="1"/>
    </xf>
    <xf numFmtId="9" fontId="0" fillId="0" borderId="13" xfId="0" applyNumberFormat="1" applyBorder="1"/>
    <xf numFmtId="10" fontId="0" fillId="0" borderId="13" xfId="0" applyNumberFormat="1" applyBorder="1"/>
    <xf numFmtId="1" fontId="0" fillId="0" borderId="13" xfId="0" applyNumberFormat="1" applyBorder="1"/>
    <xf numFmtId="44" fontId="0" fillId="0" borderId="68" xfId="3" applyFont="1" applyBorder="1"/>
    <xf numFmtId="44" fontId="0" fillId="0" borderId="71" xfId="3" applyFont="1" applyBorder="1"/>
    <xf numFmtId="0" fontId="0" fillId="0" borderId="25" xfId="0" applyBorder="1" applyAlignment="1">
      <alignment wrapText="1"/>
    </xf>
    <xf numFmtId="0" fontId="8" fillId="0" borderId="68" xfId="0" applyFont="1" applyBorder="1"/>
    <xf numFmtId="2" fontId="0" fillId="0" borderId="13" xfId="0" applyNumberFormat="1" applyBorder="1"/>
    <xf numFmtId="0" fontId="0" fillId="0" borderId="70" xfId="0" applyBorder="1"/>
    <xf numFmtId="0" fontId="0" fillId="0" borderId="72" xfId="0" applyBorder="1"/>
    <xf numFmtId="0" fontId="8" fillId="0" borderId="73" xfId="0" applyFont="1" applyBorder="1"/>
    <xf numFmtId="2" fontId="8" fillId="0" borderId="73" xfId="0" applyNumberFormat="1" applyFont="1" applyBorder="1"/>
    <xf numFmtId="0" fontId="0" fillId="0" borderId="67" xfId="0" applyBorder="1"/>
    <xf numFmtId="2" fontId="0" fillId="0" borderId="68" xfId="0" applyNumberFormat="1" applyBorder="1"/>
    <xf numFmtId="2" fontId="8" fillId="0" borderId="34" xfId="0" applyNumberFormat="1" applyFont="1" applyBorder="1"/>
    <xf numFmtId="0" fontId="8" fillId="0" borderId="67" xfId="0" applyFont="1" applyBorder="1" applyAlignment="1">
      <alignment wrapText="1"/>
    </xf>
    <xf numFmtId="0" fontId="8" fillId="0" borderId="70" xfId="0" applyFont="1" applyBorder="1" applyAlignment="1">
      <alignment wrapText="1"/>
    </xf>
    <xf numFmtId="0" fontId="8" fillId="0" borderId="72" xfId="0" applyFont="1" applyBorder="1" applyAlignment="1">
      <alignment wrapText="1"/>
    </xf>
    <xf numFmtId="2" fontId="8" fillId="0" borderId="0" xfId="0" applyNumberFormat="1" applyFont="1" applyFill="1"/>
    <xf numFmtId="44" fontId="8" fillId="0" borderId="0" xfId="0" applyNumberFormat="1" applyFont="1" applyFill="1"/>
    <xf numFmtId="0" fontId="8" fillId="0" borderId="75" xfId="0" applyFont="1" applyBorder="1" applyAlignment="1">
      <alignment vertical="top" wrapText="1"/>
    </xf>
    <xf numFmtId="0" fontId="8" fillId="0" borderId="76" xfId="0" applyFont="1" applyBorder="1" applyAlignment="1">
      <alignment vertical="top" wrapText="1"/>
    </xf>
    <xf numFmtId="0" fontId="8" fillId="0" borderId="77" xfId="0" applyFont="1" applyBorder="1"/>
    <xf numFmtId="0" fontId="8" fillId="0" borderId="67" xfId="0" applyFont="1" applyBorder="1"/>
    <xf numFmtId="0" fontId="0" fillId="0" borderId="78" xfId="0" applyBorder="1"/>
    <xf numFmtId="0" fontId="0" fillId="0" borderId="79" xfId="0" applyBorder="1" applyAlignment="1">
      <alignment vertical="top" wrapText="1"/>
    </xf>
    <xf numFmtId="1" fontId="0" fillId="0" borderId="13" xfId="0" applyNumberFormat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80" xfId="0" applyBorder="1" applyAlignment="1">
      <alignment vertical="top"/>
    </xf>
    <xf numFmtId="0" fontId="0" fillId="0" borderId="7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 applyAlignment="1">
      <alignment wrapText="1"/>
    </xf>
    <xf numFmtId="0" fontId="12" fillId="0" borderId="0" xfId="0" applyFont="1" applyFill="1" applyBorder="1"/>
    <xf numFmtId="0" fontId="8" fillId="0" borderId="33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2" fontId="8" fillId="0" borderId="13" xfId="0" applyNumberFormat="1" applyFont="1" applyBorder="1"/>
    <xf numFmtId="0" fontId="8" fillId="0" borderId="70" xfId="0" applyFont="1" applyBorder="1"/>
    <xf numFmtId="0" fontId="0" fillId="11" borderId="68" xfId="0" applyFill="1" applyBorder="1"/>
    <xf numFmtId="44" fontId="0" fillId="11" borderId="13" xfId="3" applyFont="1" applyFill="1" applyBorder="1"/>
    <xf numFmtId="0" fontId="0" fillId="11" borderId="13" xfId="0" applyFill="1" applyBorder="1"/>
    <xf numFmtId="44" fontId="0" fillId="11" borderId="13" xfId="0" applyNumberFormat="1" applyFill="1" applyBorder="1"/>
    <xf numFmtId="44" fontId="8" fillId="11" borderId="73" xfId="0" applyNumberFormat="1" applyFont="1" applyFill="1" applyBorder="1"/>
    <xf numFmtId="44" fontId="0" fillId="11" borderId="68" xfId="0" applyNumberFormat="1" applyFill="1" applyBorder="1"/>
    <xf numFmtId="44" fontId="8" fillId="11" borderId="35" xfId="0" applyNumberFormat="1" applyFont="1" applyFill="1" applyBorder="1"/>
    <xf numFmtId="0" fontId="0" fillId="11" borderId="0" xfId="0" applyFill="1"/>
    <xf numFmtId="44" fontId="8" fillId="11" borderId="13" xfId="0" applyNumberFormat="1" applyFont="1" applyFill="1" applyBorder="1"/>
    <xf numFmtId="0" fontId="0" fillId="0" borderId="68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7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68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73" xfId="0" applyFont="1" applyBorder="1" applyAlignment="1">
      <alignment horizontal="left" vertical="top" wrapText="1"/>
    </xf>
    <xf numFmtId="0" fontId="0" fillId="0" borderId="81" xfId="0" applyBorder="1" applyAlignment="1">
      <alignment horizontal="left" vertical="top" wrapText="1"/>
    </xf>
    <xf numFmtId="0" fontId="8" fillId="0" borderId="84" xfId="0" applyFont="1" applyBorder="1"/>
    <xf numFmtId="0" fontId="0" fillId="0" borderId="85" xfId="0" applyBorder="1" applyAlignment="1">
      <alignment vertical="top" wrapText="1"/>
    </xf>
    <xf numFmtId="0" fontId="8" fillId="0" borderId="86" xfId="0" applyFont="1" applyBorder="1" applyAlignment="1">
      <alignment horizontal="center" vertical="top" wrapText="1"/>
    </xf>
    <xf numFmtId="0" fontId="8" fillId="0" borderId="87" xfId="0" applyFont="1" applyBorder="1" applyAlignment="1">
      <alignment horizontal="center" vertical="top" wrapText="1"/>
    </xf>
    <xf numFmtId="0" fontId="0" fillId="5" borderId="56" xfId="0" applyFill="1" applyBorder="1"/>
    <xf numFmtId="0" fontId="8" fillId="5" borderId="88" xfId="0" applyFont="1" applyFill="1" applyBorder="1"/>
    <xf numFmtId="0" fontId="0" fillId="5" borderId="88" xfId="0" applyFill="1" applyBorder="1"/>
    <xf numFmtId="0" fontId="0" fillId="5" borderId="57" xfId="0" applyFill="1" applyBorder="1"/>
    <xf numFmtId="0" fontId="10" fillId="0" borderId="45" xfId="0" applyFont="1" applyBorder="1" applyAlignment="1">
      <alignment horizontal="left" vertical="top"/>
    </xf>
    <xf numFmtId="0" fontId="10" fillId="0" borderId="53" xfId="0" applyFont="1" applyBorder="1" applyAlignment="1">
      <alignment horizontal="left" vertical="top"/>
    </xf>
    <xf numFmtId="0" fontId="10" fillId="0" borderId="54" xfId="0" applyFont="1" applyBorder="1" applyAlignment="1">
      <alignment horizontal="left" vertical="top"/>
    </xf>
    <xf numFmtId="0" fontId="10" fillId="0" borderId="32" xfId="0" applyFont="1" applyBorder="1" applyAlignment="1">
      <alignment horizontal="left" vertical="top"/>
    </xf>
    <xf numFmtId="0" fontId="10" fillId="0" borderId="55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0" fillId="0" borderId="5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4" borderId="25" xfId="0" applyFill="1" applyBorder="1" applyAlignment="1">
      <alignment horizontal="left" vertical="top" wrapText="1"/>
    </xf>
    <xf numFmtId="0" fontId="0" fillId="4" borderId="26" xfId="0" applyFill="1" applyBorder="1" applyAlignment="1">
      <alignment horizontal="left" vertical="top" wrapText="1"/>
    </xf>
    <xf numFmtId="0" fontId="0" fillId="4" borderId="27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  <xf numFmtId="0" fontId="0" fillId="4" borderId="31" xfId="0" applyFill="1" applyBorder="1" applyAlignment="1">
      <alignment horizontal="left" vertical="top" wrapText="1"/>
    </xf>
    <xf numFmtId="0" fontId="0" fillId="4" borderId="32" xfId="0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9" borderId="23" xfId="0" applyFont="1" applyFill="1" applyBorder="1" applyAlignment="1">
      <alignment horizontal="center" vertical="top" wrapText="1"/>
    </xf>
    <xf numFmtId="0" fontId="0" fillId="0" borderId="37" xfId="0" applyFill="1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8" fillId="0" borderId="62" xfId="0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/>
    </xf>
    <xf numFmtId="0" fontId="0" fillId="4" borderId="30" xfId="0" applyFill="1" applyBorder="1" applyAlignment="1">
      <alignment vertical="top" wrapText="1"/>
    </xf>
    <xf numFmtId="44" fontId="0" fillId="0" borderId="0" xfId="3" applyFont="1" applyBorder="1"/>
    <xf numFmtId="0" fontId="0" fillId="4" borderId="85" xfId="0" applyFill="1" applyBorder="1" applyAlignment="1">
      <alignment vertical="top" wrapText="1"/>
    </xf>
    <xf numFmtId="170" fontId="0" fillId="0" borderId="0" xfId="0" applyNumberFormat="1" applyFill="1" applyBorder="1"/>
    <xf numFmtId="170" fontId="0" fillId="0" borderId="0" xfId="0" applyNumberFormat="1" applyBorder="1"/>
    <xf numFmtId="0" fontId="8" fillId="4" borderId="0" xfId="0" applyFont="1" applyFill="1" applyBorder="1"/>
    <xf numFmtId="0" fontId="0" fillId="4" borderId="0" xfId="0" applyFill="1" applyBorder="1"/>
    <xf numFmtId="44" fontId="0" fillId="4" borderId="29" xfId="3" applyFont="1" applyFill="1" applyBorder="1"/>
    <xf numFmtId="0" fontId="8" fillId="4" borderId="68" xfId="0" applyFont="1" applyFill="1" applyBorder="1"/>
    <xf numFmtId="0" fontId="8" fillId="4" borderId="0" xfId="0" applyFont="1" applyFill="1"/>
    <xf numFmtId="164" fontId="0" fillId="0" borderId="0" xfId="0" applyNumberFormat="1" applyBorder="1"/>
  </cellXfs>
  <cellStyles count="4">
    <cellStyle name="Moneda" xfId="3" builtinId="4"/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803414</xdr:colOff>
      <xdr:row>217</xdr:row>
      <xdr:rowOff>190500</xdr:rowOff>
    </xdr:from>
    <xdr:to>
      <xdr:col>1</xdr:col>
      <xdr:colOff>849133</xdr:colOff>
      <xdr:row>218</xdr:row>
      <xdr:rowOff>37436</xdr:rowOff>
    </xdr:to>
    <xdr:sp macro="" textlink="">
      <xdr:nvSpPr>
        <xdr:cNvPr id="2" name="Conector 1"/>
        <xdr:cNvSpPr/>
      </xdr:nvSpPr>
      <xdr:spPr>
        <a:xfrm>
          <a:off x="8013839" y="44843700"/>
          <a:ext cx="0" cy="46961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33131</xdr:colOff>
      <xdr:row>219</xdr:row>
      <xdr:rowOff>223631</xdr:rowOff>
    </xdr:from>
    <xdr:to>
      <xdr:col>2</xdr:col>
      <xdr:colOff>82826</xdr:colOff>
      <xdr:row>219</xdr:row>
      <xdr:rowOff>306457</xdr:rowOff>
    </xdr:to>
    <xdr:sp macro="" textlink="">
      <xdr:nvSpPr>
        <xdr:cNvPr id="3" name="Conector 2"/>
        <xdr:cNvSpPr/>
      </xdr:nvSpPr>
      <xdr:spPr>
        <a:xfrm>
          <a:off x="8043656" y="45248306"/>
          <a:ext cx="49695" cy="82826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795130</xdr:colOff>
      <xdr:row>219</xdr:row>
      <xdr:rowOff>621196</xdr:rowOff>
    </xdr:from>
    <xdr:to>
      <xdr:col>1</xdr:col>
      <xdr:colOff>840849</xdr:colOff>
      <xdr:row>219</xdr:row>
      <xdr:rowOff>666915</xdr:rowOff>
    </xdr:to>
    <xdr:sp macro="" textlink="">
      <xdr:nvSpPr>
        <xdr:cNvPr id="4" name="Conector 3"/>
        <xdr:cNvSpPr/>
      </xdr:nvSpPr>
      <xdr:spPr>
        <a:xfrm>
          <a:off x="8015080" y="45645871"/>
          <a:ext cx="0" cy="45719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19878</xdr:colOff>
      <xdr:row>221</xdr:row>
      <xdr:rowOff>135835</xdr:rowOff>
    </xdr:from>
    <xdr:to>
      <xdr:col>2</xdr:col>
      <xdr:colOff>65597</xdr:colOff>
      <xdr:row>221</xdr:row>
      <xdr:rowOff>181554</xdr:rowOff>
    </xdr:to>
    <xdr:sp macro="" textlink="">
      <xdr:nvSpPr>
        <xdr:cNvPr id="5" name="Conector 4"/>
        <xdr:cNvSpPr/>
      </xdr:nvSpPr>
      <xdr:spPr>
        <a:xfrm>
          <a:off x="8030403" y="46132060"/>
          <a:ext cx="45719" cy="45719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834887</xdr:colOff>
      <xdr:row>224</xdr:row>
      <xdr:rowOff>39757</xdr:rowOff>
    </xdr:from>
    <xdr:to>
      <xdr:col>2</xdr:col>
      <xdr:colOff>10932</xdr:colOff>
      <xdr:row>224</xdr:row>
      <xdr:rowOff>85476</xdr:rowOff>
    </xdr:to>
    <xdr:sp macro="" textlink="">
      <xdr:nvSpPr>
        <xdr:cNvPr id="6" name="Conector 5"/>
        <xdr:cNvSpPr/>
      </xdr:nvSpPr>
      <xdr:spPr>
        <a:xfrm>
          <a:off x="8007212" y="46617007"/>
          <a:ext cx="14245" cy="45719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26504</xdr:colOff>
      <xdr:row>226</xdr:row>
      <xdr:rowOff>117613</xdr:rowOff>
    </xdr:from>
    <xdr:to>
      <xdr:col>2</xdr:col>
      <xdr:colOff>72223</xdr:colOff>
      <xdr:row>226</xdr:row>
      <xdr:rowOff>163332</xdr:rowOff>
    </xdr:to>
    <xdr:sp macro="" textlink="">
      <xdr:nvSpPr>
        <xdr:cNvPr id="7" name="Conector 6"/>
        <xdr:cNvSpPr/>
      </xdr:nvSpPr>
      <xdr:spPr>
        <a:xfrm>
          <a:off x="8037029" y="47075863"/>
          <a:ext cx="45719" cy="45719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708991</xdr:colOff>
      <xdr:row>226</xdr:row>
      <xdr:rowOff>104361</xdr:rowOff>
    </xdr:from>
    <xdr:to>
      <xdr:col>2</xdr:col>
      <xdr:colOff>754710</xdr:colOff>
      <xdr:row>226</xdr:row>
      <xdr:rowOff>150080</xdr:rowOff>
    </xdr:to>
    <xdr:sp macro="" textlink="">
      <xdr:nvSpPr>
        <xdr:cNvPr id="8" name="Conector 7"/>
        <xdr:cNvSpPr/>
      </xdr:nvSpPr>
      <xdr:spPr>
        <a:xfrm>
          <a:off x="8719516" y="47062611"/>
          <a:ext cx="45719" cy="45719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99391</xdr:colOff>
      <xdr:row>227</xdr:row>
      <xdr:rowOff>66261</xdr:rowOff>
    </xdr:from>
    <xdr:to>
      <xdr:col>3</xdr:col>
      <xdr:colOff>145110</xdr:colOff>
      <xdr:row>227</xdr:row>
      <xdr:rowOff>111980</xdr:rowOff>
    </xdr:to>
    <xdr:sp macro="" textlink="">
      <xdr:nvSpPr>
        <xdr:cNvPr id="9" name="Conector 8"/>
        <xdr:cNvSpPr/>
      </xdr:nvSpPr>
      <xdr:spPr>
        <a:xfrm>
          <a:off x="8871916" y="47215011"/>
          <a:ext cx="45719" cy="45719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24848</xdr:colOff>
      <xdr:row>224</xdr:row>
      <xdr:rowOff>57978</xdr:rowOff>
    </xdr:from>
    <xdr:to>
      <xdr:col>3</xdr:col>
      <xdr:colOff>70567</xdr:colOff>
      <xdr:row>224</xdr:row>
      <xdr:rowOff>103697</xdr:rowOff>
    </xdr:to>
    <xdr:sp macro="" textlink="">
      <xdr:nvSpPr>
        <xdr:cNvPr id="10" name="Conector 9"/>
        <xdr:cNvSpPr/>
      </xdr:nvSpPr>
      <xdr:spPr>
        <a:xfrm>
          <a:off x="8797373" y="46635228"/>
          <a:ext cx="45719" cy="45719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702365</xdr:colOff>
      <xdr:row>221</xdr:row>
      <xdr:rowOff>139148</xdr:rowOff>
    </xdr:from>
    <xdr:to>
      <xdr:col>2</xdr:col>
      <xdr:colOff>748084</xdr:colOff>
      <xdr:row>221</xdr:row>
      <xdr:rowOff>184867</xdr:rowOff>
    </xdr:to>
    <xdr:sp macro="" textlink="">
      <xdr:nvSpPr>
        <xdr:cNvPr id="11" name="Conector 10"/>
        <xdr:cNvSpPr/>
      </xdr:nvSpPr>
      <xdr:spPr>
        <a:xfrm>
          <a:off x="8712890" y="46135373"/>
          <a:ext cx="45719" cy="45719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9938</xdr:colOff>
      <xdr:row>219</xdr:row>
      <xdr:rowOff>622853</xdr:rowOff>
    </xdr:from>
    <xdr:to>
      <xdr:col>3</xdr:col>
      <xdr:colOff>55657</xdr:colOff>
      <xdr:row>219</xdr:row>
      <xdr:rowOff>668572</xdr:rowOff>
    </xdr:to>
    <xdr:sp macro="" textlink="">
      <xdr:nvSpPr>
        <xdr:cNvPr id="12" name="Conector 11"/>
        <xdr:cNvSpPr/>
      </xdr:nvSpPr>
      <xdr:spPr>
        <a:xfrm>
          <a:off x="8782463" y="45647528"/>
          <a:ext cx="45719" cy="45719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F16" sqref="F16"/>
    </sheetView>
  </sheetViews>
  <sheetFormatPr baseColWidth="10" defaultRowHeight="15" x14ac:dyDescent="0.25"/>
  <cols>
    <col min="1" max="1" width="3.28515625" customWidth="1"/>
    <col min="2" max="2" width="10.42578125" customWidth="1"/>
    <col min="3" max="3" width="63.28515625" customWidth="1"/>
    <col min="5" max="5" width="9.85546875" customWidth="1"/>
    <col min="6" max="6" width="12" customWidth="1"/>
    <col min="7" max="7" width="13.42578125" customWidth="1"/>
    <col min="8" max="8" width="4.28515625" customWidth="1"/>
  </cols>
  <sheetData>
    <row r="1" spans="1:8" ht="15.75" thickTop="1" x14ac:dyDescent="0.25">
      <c r="A1" s="130"/>
      <c r="B1" s="307" t="s">
        <v>341</v>
      </c>
      <c r="C1" s="308"/>
      <c r="D1" s="108"/>
      <c r="E1" s="315" t="s">
        <v>340</v>
      </c>
      <c r="F1" s="316"/>
      <c r="G1" s="111" t="s">
        <v>349</v>
      </c>
    </row>
    <row r="2" spans="1:8" ht="15.75" thickBot="1" x14ac:dyDescent="0.3">
      <c r="A2" s="130"/>
      <c r="B2" s="309"/>
      <c r="C2" s="310"/>
      <c r="D2" s="114"/>
      <c r="E2" s="317"/>
      <c r="F2" s="318"/>
      <c r="G2" s="117"/>
    </row>
    <row r="3" spans="1:8" x14ac:dyDescent="0.25">
      <c r="A3" s="130"/>
      <c r="B3" s="311" t="s">
        <v>342</v>
      </c>
      <c r="C3" s="312"/>
      <c r="D3" s="114"/>
      <c r="E3" s="317"/>
      <c r="F3" s="318"/>
      <c r="G3" s="117"/>
    </row>
    <row r="4" spans="1:8" ht="15.75" thickBot="1" x14ac:dyDescent="0.3">
      <c r="A4" s="130"/>
      <c r="B4" s="309"/>
      <c r="C4" s="310"/>
      <c r="D4" s="114"/>
      <c r="E4" s="317"/>
      <c r="F4" s="318"/>
      <c r="G4" s="117"/>
    </row>
    <row r="5" spans="1:8" ht="15.75" thickBot="1" x14ac:dyDescent="0.3">
      <c r="A5" s="130"/>
      <c r="B5" s="313" t="s">
        <v>343</v>
      </c>
      <c r="C5" s="314"/>
      <c r="D5" s="122" t="s">
        <v>345</v>
      </c>
      <c r="E5" s="123"/>
      <c r="F5" s="124" t="s">
        <v>346</v>
      </c>
      <c r="G5" s="125"/>
    </row>
    <row r="6" spans="1:8" ht="15.75" thickBot="1" x14ac:dyDescent="0.3">
      <c r="A6" s="130"/>
      <c r="B6" s="126" t="s">
        <v>344</v>
      </c>
      <c r="C6" s="127"/>
      <c r="D6" s="122" t="s">
        <v>347</v>
      </c>
      <c r="E6" s="123"/>
      <c r="F6" s="128" t="s">
        <v>348</v>
      </c>
      <c r="G6" s="129"/>
    </row>
    <row r="7" spans="1:8" ht="16.5" thickTop="1" thickBot="1" x14ac:dyDescent="0.3"/>
    <row r="8" spans="1:8" ht="17.25" thickTop="1" thickBot="1" x14ac:dyDescent="0.3">
      <c r="A8" s="1"/>
      <c r="B8" s="131"/>
      <c r="C8" s="25" t="s">
        <v>338</v>
      </c>
      <c r="D8" s="26"/>
      <c r="E8" s="26"/>
      <c r="F8" s="26"/>
      <c r="G8" s="27"/>
    </row>
    <row r="9" spans="1:8" ht="16.5" thickTop="1" thickBot="1" x14ac:dyDescent="0.3">
      <c r="A9" s="1"/>
      <c r="B9" s="2" t="s">
        <v>0</v>
      </c>
      <c r="C9" s="3" t="s">
        <v>1</v>
      </c>
      <c r="D9" s="3" t="s">
        <v>2</v>
      </c>
      <c r="E9" s="4" t="s">
        <v>3</v>
      </c>
      <c r="F9" s="16" t="s">
        <v>27</v>
      </c>
      <c r="G9" s="5" t="s">
        <v>4</v>
      </c>
    </row>
    <row r="10" spans="1:8" ht="15.75" thickTop="1" x14ac:dyDescent="0.25">
      <c r="A10" s="1"/>
      <c r="B10" s="102"/>
      <c r="C10" s="105" t="s">
        <v>339</v>
      </c>
      <c r="D10" s="102"/>
      <c r="E10" s="103"/>
      <c r="F10" s="103"/>
      <c r="G10" s="104"/>
    </row>
    <row r="11" spans="1:8" ht="15.75" x14ac:dyDescent="0.25">
      <c r="A11" s="1"/>
      <c r="B11" s="6">
        <v>1</v>
      </c>
      <c r="C11" s="7" t="s">
        <v>7</v>
      </c>
      <c r="D11" s="8"/>
      <c r="E11" s="9"/>
      <c r="F11" s="9"/>
      <c r="G11" s="10">
        <f>SUM(G12:G13)</f>
        <v>17216.033293728397</v>
      </c>
    </row>
    <row r="12" spans="1:8" ht="50.25" customHeight="1" x14ac:dyDescent="0.25">
      <c r="A12" s="1"/>
      <c r="B12" s="11">
        <v>1.0009999999999999</v>
      </c>
      <c r="C12" s="12" t="s">
        <v>17</v>
      </c>
      <c r="D12" s="11" t="s">
        <v>5</v>
      </c>
      <c r="E12" s="13">
        <v>361.15</v>
      </c>
      <c r="F12" s="13">
        <f>+'9 MATRIZ DE PU'!F44</f>
        <v>35.62444119296272</v>
      </c>
      <c r="G12" s="14">
        <f>+E12*F12</f>
        <v>12865.766936838485</v>
      </c>
      <c r="H12" s="15"/>
    </row>
    <row r="13" spans="1:8" ht="41.25" customHeight="1" x14ac:dyDescent="0.25">
      <c r="B13" s="11">
        <v>1.002</v>
      </c>
      <c r="C13" s="12" t="s">
        <v>8</v>
      </c>
      <c r="D13" s="11" t="s">
        <v>5</v>
      </c>
      <c r="E13" s="13">
        <v>361.15</v>
      </c>
      <c r="F13" s="13">
        <f>+'9 MATRIZ DE PU'!F127</f>
        <v>12.045594232008622</v>
      </c>
      <c r="G13" s="14">
        <f>+E13*F13</f>
        <v>4350.2663568899134</v>
      </c>
    </row>
    <row r="14" spans="1:8" ht="19.5" customHeight="1" x14ac:dyDescent="0.25">
      <c r="B14" s="11"/>
      <c r="C14" s="12"/>
      <c r="D14" s="11"/>
      <c r="E14" s="13"/>
      <c r="F14" s="13"/>
      <c r="G14" s="14"/>
    </row>
    <row r="15" spans="1:8" ht="15.75" x14ac:dyDescent="0.25">
      <c r="A15" s="1"/>
      <c r="B15" s="6">
        <v>2</v>
      </c>
      <c r="C15" s="7" t="s">
        <v>16</v>
      </c>
      <c r="D15" s="8"/>
      <c r="E15" s="9"/>
      <c r="F15" s="9"/>
      <c r="G15" s="10">
        <f>SUM(G16:G17)</f>
        <v>18246.523234824999</v>
      </c>
    </row>
    <row r="16" spans="1:8" ht="60" x14ac:dyDescent="0.25">
      <c r="B16" s="18">
        <v>2.0019999999999998</v>
      </c>
      <c r="C16" s="17" t="s">
        <v>19</v>
      </c>
      <c r="D16" s="18" t="s">
        <v>6</v>
      </c>
      <c r="E16" s="18">
        <v>247.02</v>
      </c>
      <c r="F16" s="24">
        <f>+'9 MATRIZ DE PU'!F171</f>
        <v>72.647491616163805</v>
      </c>
      <c r="G16" s="14">
        <f t="shared" ref="G16:G17" si="0">+E16*F16</f>
        <v>17945.383379024785</v>
      </c>
    </row>
    <row r="17" spans="1:7" ht="60" x14ac:dyDescent="0.25">
      <c r="B17" s="18">
        <v>2.0030000000000001</v>
      </c>
      <c r="C17" s="19" t="s">
        <v>18</v>
      </c>
      <c r="D17" s="18" t="s">
        <v>6</v>
      </c>
      <c r="E17" s="18">
        <v>1</v>
      </c>
      <c r="F17" s="24">
        <f>+'9 MATRIZ DE PU'!F212</f>
        <v>301.13985580021551</v>
      </c>
      <c r="G17" s="14">
        <f t="shared" si="0"/>
        <v>301.13985580021551</v>
      </c>
    </row>
    <row r="18" spans="1:7" x14ac:dyDescent="0.25">
      <c r="B18" s="18"/>
      <c r="C18" s="20"/>
      <c r="D18" s="18"/>
      <c r="E18" s="18"/>
      <c r="F18" s="18"/>
    </row>
    <row r="19" spans="1:7" ht="15.75" x14ac:dyDescent="0.25">
      <c r="A19" s="1"/>
      <c r="B19" s="6">
        <v>3</v>
      </c>
      <c r="C19" s="7" t="s">
        <v>10</v>
      </c>
      <c r="D19" s="8"/>
      <c r="E19" s="9"/>
      <c r="F19" s="9"/>
      <c r="G19" s="10">
        <f>SUM(G20:G21)</f>
        <v>361057.69896784739</v>
      </c>
    </row>
    <row r="20" spans="1:7" ht="45" x14ac:dyDescent="0.25">
      <c r="B20" s="18">
        <v>3.0009999999999999</v>
      </c>
      <c r="C20" s="20" t="s">
        <v>11</v>
      </c>
      <c r="D20" s="18" t="s">
        <v>5</v>
      </c>
      <c r="E20" s="18">
        <v>160.25</v>
      </c>
      <c r="F20" s="24">
        <f>+'9 MATRIZ DE PU'!F253</f>
        <v>225.83162458717123</v>
      </c>
      <c r="G20" s="14">
        <f t="shared" ref="G20:G21" si="1">+E20*F20</f>
        <v>36189.517840094188</v>
      </c>
    </row>
    <row r="21" spans="1:7" ht="45" x14ac:dyDescent="0.25">
      <c r="B21" s="18">
        <v>3.0019999999999998</v>
      </c>
      <c r="C21" s="226" t="s">
        <v>12</v>
      </c>
      <c r="D21" s="18" t="s">
        <v>6</v>
      </c>
      <c r="E21" s="18">
        <v>156.53</v>
      </c>
      <c r="F21" s="24">
        <f>+'9 MATRIZ DE PU'!F296</f>
        <v>2075.4371757985896</v>
      </c>
      <c r="G21" s="14">
        <f t="shared" si="1"/>
        <v>324868.18112775323</v>
      </c>
    </row>
    <row r="22" spans="1:7" x14ac:dyDescent="0.25">
      <c r="B22" s="18"/>
      <c r="C22" s="20"/>
      <c r="D22" s="18"/>
      <c r="E22" s="18"/>
      <c r="F22" s="18"/>
    </row>
    <row r="23" spans="1:7" ht="15.75" x14ac:dyDescent="0.25">
      <c r="B23" s="6">
        <v>4</v>
      </c>
      <c r="C23" s="7" t="s">
        <v>13</v>
      </c>
      <c r="D23" s="8"/>
      <c r="E23" s="9"/>
      <c r="F23" s="9"/>
      <c r="G23" s="10">
        <f>SUM(G24:G25)</f>
        <v>114073.14457200447</v>
      </c>
    </row>
    <row r="24" spans="1:7" ht="75" x14ac:dyDescent="0.25">
      <c r="B24" s="18">
        <v>4.0010000000000003</v>
      </c>
      <c r="C24" s="226" t="s">
        <v>14</v>
      </c>
      <c r="D24" s="18" t="s">
        <v>20</v>
      </c>
      <c r="E24" s="18">
        <v>204.42</v>
      </c>
      <c r="F24" s="24">
        <f>+'9 MATRIZ DE PU'!F342</f>
        <v>465.51533397908463</v>
      </c>
      <c r="G24" s="14">
        <f t="shared" ref="G24:G25" si="2">+E24*F24</f>
        <v>95160.644572004472</v>
      </c>
    </row>
    <row r="25" spans="1:7" ht="75" x14ac:dyDescent="0.25">
      <c r="B25" s="18">
        <v>4.0019999999999998</v>
      </c>
      <c r="C25" s="20" t="s">
        <v>15</v>
      </c>
      <c r="D25" s="18" t="s">
        <v>20</v>
      </c>
      <c r="E25" s="18">
        <v>22.25</v>
      </c>
      <c r="F25" s="24">
        <v>850</v>
      </c>
      <c r="G25" s="14">
        <f t="shared" si="2"/>
        <v>18912.5</v>
      </c>
    </row>
    <row r="26" spans="1:7" x14ac:dyDescent="0.25">
      <c r="C26" s="21" t="s">
        <v>22</v>
      </c>
      <c r="D26" s="18"/>
      <c r="E26" s="18"/>
      <c r="F26" s="18"/>
      <c r="G26" s="22">
        <f>+G23+G19+G15+G11</f>
        <v>510593.4000684052</v>
      </c>
    </row>
    <row r="27" spans="1:7" x14ac:dyDescent="0.25">
      <c r="C27" t="s">
        <v>23</v>
      </c>
      <c r="D27" s="18"/>
      <c r="E27" s="18"/>
      <c r="F27" s="18"/>
      <c r="G27" s="22">
        <f>+G26*0.16</f>
        <v>81694.944010944833</v>
      </c>
    </row>
    <row r="28" spans="1:7" x14ac:dyDescent="0.25">
      <c r="C28" t="s">
        <v>21</v>
      </c>
      <c r="D28" s="18"/>
      <c r="E28" s="18"/>
      <c r="F28" s="18"/>
      <c r="G28" s="23">
        <f>+G26+G27</f>
        <v>592288.34407935</v>
      </c>
    </row>
    <row r="29" spans="1:7" x14ac:dyDescent="0.25">
      <c r="C29" s="132" t="s">
        <v>350</v>
      </c>
    </row>
  </sheetData>
  <mergeCells count="4">
    <mergeCell ref="B1:C2"/>
    <mergeCell ref="E1:F4"/>
    <mergeCell ref="B3:C4"/>
    <mergeCell ref="B5:C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abSelected="1" view="pageBreakPreview" topLeftCell="A40" zoomScale="130" zoomScaleNormal="115" zoomScaleSheetLayoutView="130" workbookViewId="0">
      <selection activeCell="C48" sqref="C48"/>
    </sheetView>
  </sheetViews>
  <sheetFormatPr baseColWidth="10" defaultRowHeight="15" x14ac:dyDescent="0.25"/>
  <cols>
    <col min="1" max="1" width="11.85546875" customWidth="1"/>
    <col min="2" max="2" width="39.42578125" customWidth="1"/>
    <col min="3" max="3" width="10.28515625" customWidth="1"/>
    <col min="4" max="4" width="11.85546875" customWidth="1"/>
    <col min="5" max="5" width="13.28515625" customWidth="1"/>
    <col min="6" max="6" width="15" customWidth="1"/>
    <col min="14" max="14" width="24.7109375" customWidth="1"/>
  </cols>
  <sheetData>
    <row r="1" spans="1:6" ht="15.75" thickTop="1" x14ac:dyDescent="0.25">
      <c r="A1" s="106" t="s">
        <v>341</v>
      </c>
      <c r="B1" s="107"/>
      <c r="C1" s="108"/>
      <c r="D1" s="109" t="s">
        <v>340</v>
      </c>
      <c r="E1" s="110"/>
      <c r="F1" s="111" t="s">
        <v>349</v>
      </c>
    </row>
    <row r="2" spans="1:6" ht="11.25" customHeight="1" thickBot="1" x14ac:dyDescent="0.3">
      <c r="A2" s="112"/>
      <c r="B2" s="113"/>
      <c r="C2" s="114"/>
      <c r="D2" s="115"/>
      <c r="E2" s="116"/>
      <c r="F2" s="117"/>
    </row>
    <row r="3" spans="1:6" x14ac:dyDescent="0.25">
      <c r="A3" s="118" t="s">
        <v>342</v>
      </c>
      <c r="B3" s="119"/>
      <c r="C3" s="114"/>
      <c r="D3" s="115"/>
      <c r="E3" s="116"/>
      <c r="F3" s="117"/>
    </row>
    <row r="4" spans="1:6" ht="9" customHeight="1" thickBot="1" x14ac:dyDescent="0.3">
      <c r="A4" s="112"/>
      <c r="B4" s="113"/>
      <c r="C4" s="114"/>
      <c r="D4" s="115"/>
      <c r="E4" s="116"/>
      <c r="F4" s="117"/>
    </row>
    <row r="5" spans="1:6" ht="15.75" thickBot="1" x14ac:dyDescent="0.3">
      <c r="A5" s="120" t="s">
        <v>343</v>
      </c>
      <c r="B5" s="121"/>
      <c r="C5" s="122" t="s">
        <v>345</v>
      </c>
      <c r="D5" s="123"/>
      <c r="E5" s="124" t="s">
        <v>346</v>
      </c>
      <c r="F5" s="125"/>
    </row>
    <row r="6" spans="1:6" ht="15.75" thickBot="1" x14ac:dyDescent="0.3">
      <c r="A6" s="126" t="s">
        <v>344</v>
      </c>
      <c r="B6" s="127"/>
      <c r="C6" s="122" t="s">
        <v>347</v>
      </c>
      <c r="D6" s="123"/>
      <c r="E6" s="128" t="s">
        <v>348</v>
      </c>
      <c r="F6" s="129"/>
    </row>
    <row r="7" spans="1:6" ht="6.75" customHeight="1" thickTop="1" x14ac:dyDescent="0.25">
      <c r="A7" s="114"/>
      <c r="B7" s="114"/>
      <c r="C7" s="114"/>
      <c r="D7" s="114"/>
      <c r="E7" s="114"/>
      <c r="F7" s="114"/>
    </row>
    <row r="8" spans="1:6" ht="15.75" x14ac:dyDescent="0.25">
      <c r="A8" s="114"/>
      <c r="B8" s="231" t="s">
        <v>366</v>
      </c>
      <c r="C8" s="114"/>
      <c r="D8" s="114"/>
      <c r="E8" s="114"/>
      <c r="F8" s="114"/>
    </row>
    <row r="9" spans="1:6" ht="15.75" thickBot="1" x14ac:dyDescent="0.3">
      <c r="A9" s="85"/>
      <c r="B9" s="86"/>
      <c r="C9" s="86"/>
      <c r="D9" s="86"/>
      <c r="E9" s="86"/>
      <c r="F9" s="87"/>
    </row>
    <row r="10" spans="1:6" x14ac:dyDescent="0.25">
      <c r="A10" s="299" t="s">
        <v>154</v>
      </c>
      <c r="B10" s="299" t="s">
        <v>25</v>
      </c>
      <c r="C10" s="299" t="s">
        <v>26</v>
      </c>
      <c r="D10" s="44"/>
      <c r="E10" s="44"/>
      <c r="F10" s="45"/>
    </row>
    <row r="11" spans="1:6" ht="60.75" thickBot="1" x14ac:dyDescent="0.3">
      <c r="A11" s="300">
        <f>+'1 CAT. CONCEPTOS_PRESUPUESTO_'!B12</f>
        <v>1.0009999999999999</v>
      </c>
      <c r="B11" s="300" t="str">
        <f>+'1 CAT. CONCEPTOS_PRESUPUESTO_'!C12</f>
        <v xml:space="preserve">      Trazo y nivelación de terreno con equipo topográfico, estableciendo ejes de referencia . Incluye: consumos, mano de obra, herramienta y equipo.</v>
      </c>
      <c r="C11" s="336" t="str">
        <f>+'1 CAT. CONCEPTOS_PRESUPUESTO_'!D12</f>
        <v>m2</v>
      </c>
      <c r="D11" s="50"/>
      <c r="E11" s="50"/>
      <c r="F11" s="51"/>
    </row>
    <row r="12" spans="1:6" ht="15.75" thickBot="1" x14ac:dyDescent="0.3"/>
    <row r="13" spans="1:6" ht="15.75" thickBot="1" x14ac:dyDescent="0.3">
      <c r="A13" s="60" t="s">
        <v>154</v>
      </c>
      <c r="B13" s="61" t="s">
        <v>25</v>
      </c>
      <c r="C13" s="61" t="s">
        <v>26</v>
      </c>
      <c r="D13" s="61" t="s">
        <v>27</v>
      </c>
      <c r="E13" s="61" t="s">
        <v>155</v>
      </c>
      <c r="F13" s="62" t="s">
        <v>156</v>
      </c>
    </row>
    <row r="14" spans="1:6" x14ac:dyDescent="0.25">
      <c r="A14" s="43"/>
      <c r="B14" s="53" t="s">
        <v>157</v>
      </c>
      <c r="C14" s="44"/>
      <c r="D14" s="44"/>
      <c r="E14" s="44"/>
      <c r="F14" s="45"/>
    </row>
    <row r="15" spans="1:6" x14ac:dyDescent="0.25">
      <c r="A15" s="46" t="str">
        <f>+'2 CATÁLOGO DE MAT.'!A11</f>
        <v>MACEM001</v>
      </c>
      <c r="B15" s="46" t="str">
        <f>+'2 CATÁLOGO DE MAT.'!B11</f>
        <v>CALHIDRA</v>
      </c>
      <c r="C15" s="46" t="str">
        <f>+'2 CATÁLOGO DE MAT.'!C11</f>
        <v>TON</v>
      </c>
      <c r="D15" s="58">
        <f>+'2 CATÁLOGO DE MAT.'!D11</f>
        <v>3103.4482758620693</v>
      </c>
      <c r="E15" s="47">
        <f>0.05/1000</f>
        <v>5.0000000000000002E-5</v>
      </c>
      <c r="F15" s="59">
        <f t="shared" ref="F15:F25" si="0">+D15*E15</f>
        <v>0.15517241379310348</v>
      </c>
    </row>
    <row r="16" spans="1:6" x14ac:dyDescent="0.25">
      <c r="A16" s="46" t="str">
        <f>+'2 CATÁLOGO DE MAT.'!A12</f>
        <v>MAMEN001</v>
      </c>
      <c r="B16" s="46" t="str">
        <f>+'2 CATÁLOGO DE MAT.'!B12</f>
        <v>HILO CAÑAMO</v>
      </c>
      <c r="C16" s="46" t="str">
        <f>+'2 CATÁLOGO DE MAT.'!C12</f>
        <v>PZA</v>
      </c>
      <c r="D16" s="58">
        <f>+'2 CATÁLOGO DE MAT.'!D12</f>
        <v>51.724137931034484</v>
      </c>
      <c r="E16" s="90">
        <f>+'OPERACIONES PU'!F14</f>
        <v>8.9931573802541544E-3</v>
      </c>
      <c r="F16" s="59">
        <f t="shared" si="0"/>
        <v>0.46516331277176665</v>
      </c>
    </row>
    <row r="17" spans="1:6" x14ac:dyDescent="0.25">
      <c r="A17" s="46" t="str">
        <f>+'2 CATÁLOGO DE MAT.'!A13</f>
        <v>MAMAD001</v>
      </c>
      <c r="B17" s="46" t="str">
        <f>+'2 CATÁLOGO DE MAT.'!B13</f>
        <v xml:space="preserve">DUELA DE PINO DE 3A. </v>
      </c>
      <c r="C17" s="46" t="str">
        <f>+'2 CATÁLOGO DE MAT.'!C13</f>
        <v>PZA</v>
      </c>
      <c r="D17" s="58">
        <f>+'2 CATÁLOGO DE MAT.'!D13</f>
        <v>76.637931034482776</v>
      </c>
      <c r="E17" s="90">
        <f>+'OPERACIONES PU'!C44*1.1</f>
        <v>7.0967741935483875E-3</v>
      </c>
      <c r="F17" s="59">
        <f t="shared" si="0"/>
        <v>0.54388209121245845</v>
      </c>
    </row>
    <row r="18" spans="1:6" x14ac:dyDescent="0.25">
      <c r="A18" s="46" t="str">
        <f>+'2 CATÁLOGO DE MAT.'!A14</f>
        <v>MAMAD002</v>
      </c>
      <c r="B18" s="46" t="str">
        <f>+'2 CATÁLOGO DE MAT.'!B14</f>
        <v>BARROTE DE PINO DE 3A.</v>
      </c>
      <c r="C18" s="46" t="str">
        <f>+'2 CATÁLOGO DE MAT.'!C14</f>
        <v>PZA</v>
      </c>
      <c r="D18" s="58">
        <f>+'2 CATÁLOGO DE MAT.'!D14</f>
        <v>54.310344827586214</v>
      </c>
      <c r="E18" s="90">
        <f>+'OPERACIONES PU'!C40*1.1</f>
        <v>1.4193548387096775E-2</v>
      </c>
      <c r="F18" s="59">
        <f t="shared" si="0"/>
        <v>0.77085650723025601</v>
      </c>
    </row>
    <row r="19" spans="1:6" x14ac:dyDescent="0.25">
      <c r="A19" s="46" t="str">
        <f>+'2 CATÁLOGO DE MAT.'!A30</f>
        <v>MAACE007</v>
      </c>
      <c r="B19" s="46" t="str">
        <f>+'2 CATÁLOGO DE MAT.'!B30</f>
        <v>CLAVO DE 4"</v>
      </c>
      <c r="C19" s="46" t="str">
        <f>+'2 CATÁLOGO DE MAT.'!C30</f>
        <v>KG</v>
      </c>
      <c r="D19" s="58">
        <f>+'2 CATÁLOGO DE MAT.'!D30</f>
        <v>41.379310344827587</v>
      </c>
      <c r="E19" s="90">
        <f>+'OPERACIONES PU'!B9*1.05/62</f>
        <v>2.1169354838709679E-3</v>
      </c>
      <c r="F19" s="59">
        <f t="shared" si="0"/>
        <v>8.7597330367074538E-2</v>
      </c>
    </row>
    <row r="20" spans="1:6" x14ac:dyDescent="0.25">
      <c r="A20" s="46" t="str">
        <f>+'2 CATÁLOGO DE MAT.'!A16</f>
        <v>MAACE001</v>
      </c>
      <c r="B20" s="46" t="str">
        <f>+'2 CATÁLOGO DE MAT.'!B16</f>
        <v>CLAVOS DE 2 1/2"</v>
      </c>
      <c r="C20" s="46" t="str">
        <f>+'2 CATÁLOGO DE MAT.'!C16</f>
        <v>KG</v>
      </c>
      <c r="D20" s="58">
        <f>+'2 CATÁLOGO DE MAT.'!D16</f>
        <v>41.379310344827587</v>
      </c>
      <c r="E20" s="90">
        <f>+'OPERACIONES PU'!E9*1.05</f>
        <v>3.8571920560211228E-3</v>
      </c>
      <c r="F20" s="59">
        <f t="shared" si="0"/>
        <v>0.15960794714570165</v>
      </c>
    </row>
    <row r="21" spans="1:6" x14ac:dyDescent="0.25">
      <c r="A21" s="46" t="str">
        <f>+'2 CATÁLOGO DE MAT.'!A18</f>
        <v>MAACE003</v>
      </c>
      <c r="B21" s="166" t="str">
        <f>+'2 CATÁLOGO DE MAT.'!B18</f>
        <v>VARILLA DE 3/8"</v>
      </c>
      <c r="C21" s="46" t="str">
        <f>+'2 CATÁLOGO DE MAT.'!C18</f>
        <v>KG</v>
      </c>
      <c r="D21" s="58">
        <f>+'2 CATÁLOGO DE MAT.'!D18</f>
        <v>20.21</v>
      </c>
      <c r="E21" s="90">
        <f>+'OPERACIONES PU'!C16</f>
        <v>1.0780645161290325E-2</v>
      </c>
      <c r="F21" s="59">
        <f t="shared" si="0"/>
        <v>0.21787683870967747</v>
      </c>
    </row>
    <row r="22" spans="1:6" x14ac:dyDescent="0.25">
      <c r="A22" s="46" t="str">
        <f>+'2 CATÁLOGO DE MAT.'!A23</f>
        <v>MAPIN001</v>
      </c>
      <c r="B22" s="166" t="str">
        <f>+'2 CATÁLOGO DE MAT.'!B23</f>
        <v>PINTURA EN AEROSOL</v>
      </c>
      <c r="C22" s="46" t="str">
        <f>+'2 CATÁLOGO DE MAT.'!C23</f>
        <v>PZA</v>
      </c>
      <c r="D22" s="58">
        <f>+'2 CATÁLOGO DE MAT.'!D23</f>
        <v>54.310344827586214</v>
      </c>
      <c r="E22" s="90">
        <f>+'OPERACIONES PU'!B22*1.1</f>
        <v>3.5483870967741938E-3</v>
      </c>
      <c r="F22" s="59">
        <f t="shared" si="0"/>
        <v>0.192714126807564</v>
      </c>
    </row>
    <row r="23" spans="1:6" x14ac:dyDescent="0.25">
      <c r="A23" s="46" t="str">
        <f>+'2 CATÁLOGO DE MAT.'!A24</f>
        <v>MAMEN002</v>
      </c>
      <c r="B23" s="166" t="str">
        <f>+'2 CATÁLOGO DE MAT.'!B24</f>
        <v>MANGUERA DE NIVEL</v>
      </c>
      <c r="C23" s="46" t="str">
        <f>+'2 CATÁLOGO DE MAT.'!C24</f>
        <v>M</v>
      </c>
      <c r="D23" s="58">
        <f>+'2 CATÁLOGO DE MAT.'!D24</f>
        <v>7</v>
      </c>
      <c r="E23" s="75">
        <f>+'OPERACIONES PU'!F21</f>
        <v>5.3763440860215055E-2</v>
      </c>
      <c r="F23" s="59">
        <f t="shared" si="0"/>
        <v>0.37634408602150538</v>
      </c>
    </row>
    <row r="24" spans="1:6" x14ac:dyDescent="0.25">
      <c r="A24" s="46" t="str">
        <f>+'2 CATÁLOGO DE MAT.'!A26</f>
        <v>MAMEN003</v>
      </c>
      <c r="B24" s="166" t="str">
        <f>+'2 CATÁLOGO DE MAT.'!B26</f>
        <v>LAPIZ DE COLOR</v>
      </c>
      <c r="C24" s="46" t="str">
        <f>+'2 CATÁLOGO DE MAT.'!C26</f>
        <v>PZA</v>
      </c>
      <c r="D24" s="58">
        <f>+'2 CATÁLOGO DE MAT.'!D26</f>
        <v>12</v>
      </c>
      <c r="E24" s="90">
        <f>+'OPERACIONES PU'!B26</f>
        <v>1.6129032258064516E-3</v>
      </c>
      <c r="F24" s="59">
        <f t="shared" si="0"/>
        <v>1.935483870967742E-2</v>
      </c>
    </row>
    <row r="25" spans="1:6" x14ac:dyDescent="0.25">
      <c r="A25" s="46" t="str">
        <f>+'2 CATÁLOGO DE MAT.'!A25</f>
        <v>MAACE004</v>
      </c>
      <c r="B25" s="166" t="str">
        <f>+'2 CATÁLOGO DE MAT.'!B25</f>
        <v>CLAVOS DE CONCRETO DE 2"</v>
      </c>
      <c r="C25" s="46" t="str">
        <f>+'2 CATÁLOGO DE MAT.'!C25</f>
        <v>KG</v>
      </c>
      <c r="D25" s="58">
        <f>+'2 CATÁLOGO DE MAT.'!D25</f>
        <v>86</v>
      </c>
      <c r="E25" s="90">
        <f>+'OPERACIONES PU'!B32*1.05</f>
        <v>6.3015753938484625E-4</v>
      </c>
      <c r="F25" s="59">
        <f t="shared" si="0"/>
        <v>5.4193548387096779E-2</v>
      </c>
    </row>
    <row r="26" spans="1:6" ht="15.75" thickBot="1" x14ac:dyDescent="0.3">
      <c r="A26" s="49"/>
      <c r="B26" s="63" t="s">
        <v>158</v>
      </c>
      <c r="C26" s="50"/>
      <c r="D26" s="50"/>
      <c r="E26" s="50"/>
      <c r="F26" s="64">
        <f>SUM(F15:F25)</f>
        <v>3.0427630411558826</v>
      </c>
    </row>
    <row r="27" spans="1:6" ht="15.75" thickBot="1" x14ac:dyDescent="0.3">
      <c r="A27" s="46"/>
      <c r="B27" s="47"/>
      <c r="C27" s="47"/>
      <c r="D27" s="47"/>
      <c r="E27" s="47"/>
      <c r="F27" s="48"/>
    </row>
    <row r="28" spans="1:6" x14ac:dyDescent="0.25">
      <c r="A28" s="43"/>
      <c r="B28" s="53" t="s">
        <v>159</v>
      </c>
      <c r="C28" s="44"/>
      <c r="D28" s="44"/>
      <c r="E28" s="44"/>
      <c r="F28" s="45"/>
    </row>
    <row r="29" spans="1:6" x14ac:dyDescent="0.25">
      <c r="A29" s="46" t="str">
        <f>+'5 CATÁLOGO DE BÁSICOS'!A12</f>
        <v>CUAD002</v>
      </c>
      <c r="B29" s="46" t="str">
        <f>+'5 CATÁLOGO DE BÁSICOS'!B12</f>
        <v>CUADRILLA No. 2 (1 OF. ALBAÑIL + 1 PEÓN + 2/20 DE CABO DE OFICIOS)</v>
      </c>
      <c r="C29" s="46" t="str">
        <f>+'5 CATÁLOGO DE BÁSICOS'!C12</f>
        <v>JOR</v>
      </c>
      <c r="D29" s="58">
        <f>+'5 CATÁLOGO DE BÁSICOS'!D12</f>
        <v>1431.9562658768475</v>
      </c>
      <c r="E29" s="337">
        <v>8.9999999999999993E-3</v>
      </c>
      <c r="F29" s="59">
        <f>+D29*E29</f>
        <v>12.887606392891627</v>
      </c>
    </row>
    <row r="30" spans="1:6" x14ac:dyDescent="0.25">
      <c r="A30" s="46" t="str">
        <f>+'5 CATÁLOGO DE BÁSICOS'!A16</f>
        <v>CUAD006</v>
      </c>
      <c r="B30" s="46" t="str">
        <f>+'5 CATÁLOGO DE BÁSICOS'!B16</f>
        <v>CUADRILLA No. 6 (1 TÉCNICO TOPÓGRAFO +2 AYUDANTES ESPECIALIZADOS)</v>
      </c>
      <c r="C30" s="46" t="str">
        <f>+'5 CATÁLOGO DE BÁSICOS'!C16</f>
        <v>JOR</v>
      </c>
      <c r="D30" s="58">
        <f>+'5 CATÁLOGO DE BÁSICOS'!D16</f>
        <v>2299.9932239655172</v>
      </c>
      <c r="E30" s="338">
        <v>3.8E-3</v>
      </c>
      <c r="F30" s="59">
        <f>+D30*E30</f>
        <v>8.7399742510689649</v>
      </c>
    </row>
    <row r="31" spans="1:6" ht="15.75" thickBot="1" x14ac:dyDescent="0.3">
      <c r="A31" s="49"/>
      <c r="B31" s="63" t="s">
        <v>160</v>
      </c>
      <c r="C31" s="50"/>
      <c r="D31" s="50"/>
      <c r="E31" s="50"/>
      <c r="F31" s="64">
        <f>SUM(F29:F30)</f>
        <v>21.627580643960592</v>
      </c>
    </row>
    <row r="32" spans="1:6" ht="15.75" thickBot="1" x14ac:dyDescent="0.3">
      <c r="A32" s="46"/>
      <c r="B32" s="47"/>
      <c r="C32" s="47"/>
      <c r="D32" s="47"/>
      <c r="E32" s="47"/>
      <c r="F32" s="48"/>
    </row>
    <row r="33" spans="1:6" x14ac:dyDescent="0.25">
      <c r="A33" s="43"/>
      <c r="B33" s="53" t="s">
        <v>161</v>
      </c>
      <c r="C33" s="44"/>
      <c r="D33" s="44"/>
      <c r="E33" s="44"/>
      <c r="F33" s="45"/>
    </row>
    <row r="34" spans="1:6" x14ac:dyDescent="0.25">
      <c r="A34" s="46" t="str">
        <f>+'4 CATÁLOGO DE EQ. Y HERR'!A14</f>
        <v>EQESTT01</v>
      </c>
      <c r="B34" s="46" t="str">
        <f>+'4 CATÁLOGO DE EQ. Y HERR'!B14</f>
        <v>ESTACIÓN TOTAL 1" Y EQUIPO DE TOPOGRAFÍA</v>
      </c>
      <c r="C34" s="46" t="str">
        <f>+'4 CATÁLOGO DE EQ. Y HERR'!C14</f>
        <v>HORA</v>
      </c>
      <c r="D34" s="58">
        <f>+'4 CATÁLOGO DE EQ. Y HERR'!D14</f>
        <v>307.78390143318967</v>
      </c>
      <c r="E34" s="47">
        <f>+'OPERACIONES PU'!E40</f>
        <v>3.0400000000000003E-2</v>
      </c>
      <c r="F34" s="59">
        <f>+D34*E34</f>
        <v>9.3566306035689664</v>
      </c>
    </row>
    <row r="35" spans="1:6" x14ac:dyDescent="0.25">
      <c r="A35" s="46" t="str">
        <f>+'4 CATÁLOGO DE EQ. Y HERR'!A11</f>
        <v>%MO01</v>
      </c>
      <c r="B35" s="46" t="str">
        <f>+'4 CATÁLOGO DE EQ. Y HERR'!B11</f>
        <v>HERRAMIENTA MENOR (3-5%)</v>
      </c>
      <c r="C35" s="46" t="str">
        <f>+'4 CATÁLOGO DE EQ. Y HERR'!C11</f>
        <v>%</v>
      </c>
      <c r="D35" s="58">
        <f>+F31</f>
        <v>21.627580643960592</v>
      </c>
      <c r="E35" s="47">
        <v>0.03</v>
      </c>
      <c r="F35" s="59">
        <f>+D35*E35</f>
        <v>0.64882741931881771</v>
      </c>
    </row>
    <row r="36" spans="1:6" x14ac:dyDescent="0.25">
      <c r="A36" s="46" t="str">
        <f>+'4 CATÁLOGO DE EQ. Y HERR'!A12</f>
        <v>%MO02</v>
      </c>
      <c r="B36" s="46" t="str">
        <f>+'4 CATÁLOGO DE EQ. Y HERR'!B12</f>
        <v>EQUIPO DE SEGURIDAD (2-3%</v>
      </c>
      <c r="C36" s="46" t="str">
        <f>+'4 CATÁLOGO DE EQ. Y HERR'!C12</f>
        <v>%</v>
      </c>
      <c r="D36" s="58">
        <f>+F31</f>
        <v>21.627580643960592</v>
      </c>
      <c r="E36" s="47">
        <v>0.02</v>
      </c>
      <c r="F36" s="59">
        <f>+D36*E36</f>
        <v>0.43255161287921184</v>
      </c>
    </row>
    <row r="37" spans="1:6" ht="15.75" thickBot="1" x14ac:dyDescent="0.3">
      <c r="A37" s="49"/>
      <c r="B37" s="63" t="s">
        <v>162</v>
      </c>
      <c r="C37" s="50"/>
      <c r="D37" s="50"/>
      <c r="E37" s="50"/>
      <c r="F37" s="64">
        <f>SUM(F34:F36)</f>
        <v>10.438009635766996</v>
      </c>
    </row>
    <row r="38" spans="1:6" ht="15.75" thickBot="1" x14ac:dyDescent="0.3">
      <c r="A38" s="46"/>
      <c r="B38" s="47"/>
      <c r="C38" s="47"/>
      <c r="D38" s="47"/>
      <c r="E38" s="47"/>
      <c r="F38" s="48"/>
    </row>
    <row r="39" spans="1:6" x14ac:dyDescent="0.25">
      <c r="A39" s="43"/>
      <c r="B39" s="53" t="s">
        <v>163</v>
      </c>
      <c r="C39" s="44"/>
      <c r="D39" s="44"/>
      <c r="E39" s="44"/>
      <c r="F39" s="45"/>
    </row>
    <row r="40" spans="1:6" x14ac:dyDescent="0.25">
      <c r="A40" s="46" t="str">
        <f>+'5 CATÁLOGO DE BÁSICOS'!A21</f>
        <v>BACON001</v>
      </c>
      <c r="B40" s="46" t="str">
        <f>+'5 CATÁLOGO DE BÁSICOS'!B21</f>
        <v>CONCRETO F'C= 100 KG/CM2, HECHO EN OBRA, A.M. 19 MM, REV. 10-12, R.N.</v>
      </c>
      <c r="C40" s="46" t="str">
        <f>+'5 CATÁLOGO DE BÁSICOS'!C21</f>
        <v>M3</v>
      </c>
      <c r="D40" s="58">
        <f>+'5 CATÁLOGO DE BÁSICOS'!D21</f>
        <v>2468.9388942063156</v>
      </c>
      <c r="E40" s="47">
        <f>+'OPERACIONES PU'!F45</f>
        <v>2.0903225806451613E-4</v>
      </c>
      <c r="F40" s="59">
        <f>+D40*E40</f>
        <v>0.51608787207925566</v>
      </c>
    </row>
    <row r="41" spans="1:6" x14ac:dyDescent="0.25">
      <c r="A41" s="46"/>
      <c r="B41" s="47"/>
      <c r="C41" s="47"/>
      <c r="D41" s="47"/>
      <c r="E41" s="47"/>
      <c r="F41" s="48"/>
    </row>
    <row r="42" spans="1:6" ht="15.75" thickBot="1" x14ac:dyDescent="0.3">
      <c r="A42" s="49"/>
      <c r="B42" s="63" t="s">
        <v>164</v>
      </c>
      <c r="C42" s="50"/>
      <c r="D42" s="50"/>
      <c r="E42" s="50"/>
      <c r="F42" s="64">
        <f>+F40</f>
        <v>0.51608787207925566</v>
      </c>
    </row>
    <row r="43" spans="1:6" x14ac:dyDescent="0.25">
      <c r="A43" s="46"/>
      <c r="B43" s="47"/>
      <c r="C43" s="47"/>
      <c r="D43" s="47"/>
      <c r="E43" s="47"/>
      <c r="F43" s="48"/>
    </row>
    <row r="44" spans="1:6" x14ac:dyDescent="0.25">
      <c r="A44" s="46"/>
      <c r="B44" s="339" t="s">
        <v>165</v>
      </c>
      <c r="C44" s="340"/>
      <c r="D44" s="340"/>
      <c r="E44" s="340"/>
      <c r="F44" s="341">
        <f>+F42+F37+F31+F26</f>
        <v>35.62444119296272</v>
      </c>
    </row>
    <row r="45" spans="1:6" x14ac:dyDescent="0.25">
      <c r="A45" s="46"/>
      <c r="B45" s="57" t="s">
        <v>329</v>
      </c>
      <c r="C45" s="47"/>
      <c r="D45" s="47"/>
      <c r="E45" s="344">
        <v>0.12979399999999999</v>
      </c>
      <c r="F45" s="59">
        <f>+F44*E45</f>
        <v>4.6238387201994033</v>
      </c>
    </row>
    <row r="46" spans="1:6" x14ac:dyDescent="0.25">
      <c r="A46" s="46"/>
      <c r="B46" s="57" t="s">
        <v>330</v>
      </c>
      <c r="C46" s="47"/>
      <c r="D46" s="47"/>
      <c r="E46" s="47"/>
      <c r="F46" s="59">
        <f>SUM(F44:F45)</f>
        <v>40.248279913162122</v>
      </c>
    </row>
    <row r="47" spans="1:6" x14ac:dyDescent="0.25">
      <c r="A47" s="46"/>
      <c r="B47" s="57" t="s">
        <v>331</v>
      </c>
      <c r="C47" s="47"/>
      <c r="D47" s="47"/>
      <c r="E47" s="344">
        <v>1.091307E-2</v>
      </c>
      <c r="F47" s="59">
        <f>+E47*F46</f>
        <v>0.43923229607193215</v>
      </c>
    </row>
    <row r="48" spans="1:6" x14ac:dyDescent="0.25">
      <c r="A48" s="46"/>
      <c r="B48" s="57" t="s">
        <v>332</v>
      </c>
      <c r="C48" s="47"/>
      <c r="D48" s="47"/>
      <c r="E48" s="47"/>
      <c r="F48" s="59">
        <f>+F46+F47</f>
        <v>40.687512209234058</v>
      </c>
    </row>
    <row r="49" spans="1:6" x14ac:dyDescent="0.25">
      <c r="A49" s="46"/>
      <c r="B49" s="57" t="s">
        <v>333</v>
      </c>
      <c r="C49" s="47"/>
      <c r="D49" s="47"/>
      <c r="E49" s="93">
        <v>0.12</v>
      </c>
      <c r="F49" s="59">
        <f>+F48*E49</f>
        <v>4.8825014651080867</v>
      </c>
    </row>
    <row r="50" spans="1:6" x14ac:dyDescent="0.25">
      <c r="A50" s="46"/>
      <c r="B50" s="57" t="s">
        <v>373</v>
      </c>
      <c r="C50" s="47"/>
      <c r="D50" s="47"/>
      <c r="E50" s="93"/>
      <c r="F50" s="59">
        <f>+F48+F49</f>
        <v>45.570013674342142</v>
      </c>
    </row>
    <row r="51" spans="1:6" x14ac:dyDescent="0.25">
      <c r="A51" s="46"/>
      <c r="B51" s="57" t="s">
        <v>372</v>
      </c>
      <c r="C51" s="47"/>
      <c r="D51" s="47"/>
      <c r="E51" s="344">
        <v>5.025E-3</v>
      </c>
      <c r="F51" s="59">
        <f>+E51*F50</f>
        <v>0.22898931871356926</v>
      </c>
    </row>
    <row r="52" spans="1:6" x14ac:dyDescent="0.25">
      <c r="A52" s="46"/>
      <c r="B52" s="57" t="s">
        <v>334</v>
      </c>
      <c r="C52" s="47"/>
      <c r="D52" s="47"/>
      <c r="E52" s="47"/>
      <c r="F52" s="59">
        <f>F50+F51</f>
        <v>45.799002993055709</v>
      </c>
    </row>
    <row r="53" spans="1:6" ht="15.75" thickBot="1" x14ac:dyDescent="0.3">
      <c r="A53" s="49"/>
      <c r="B53" s="50"/>
      <c r="C53" s="50"/>
      <c r="D53" s="50"/>
      <c r="E53" s="50"/>
      <c r="F53" s="51"/>
    </row>
    <row r="97" spans="1:6" ht="15.75" thickBot="1" x14ac:dyDescent="0.3"/>
    <row r="98" spans="1:6" x14ac:dyDescent="0.25">
      <c r="A98" s="79" t="s">
        <v>278</v>
      </c>
      <c r="B98" s="80"/>
      <c r="C98" s="80"/>
      <c r="D98" s="80"/>
      <c r="E98" s="80" t="s">
        <v>282</v>
      </c>
      <c r="F98" s="81"/>
    </row>
    <row r="99" spans="1:6" x14ac:dyDescent="0.25">
      <c r="A99" s="82" t="s">
        <v>279</v>
      </c>
      <c r="B99" s="83"/>
      <c r="C99" s="83" t="s">
        <v>283</v>
      </c>
      <c r="D99" s="83"/>
      <c r="E99" s="83" t="s">
        <v>284</v>
      </c>
      <c r="F99" s="84"/>
    </row>
    <row r="100" spans="1:6" ht="15.75" thickBot="1" x14ac:dyDescent="0.3">
      <c r="A100" s="85" t="s">
        <v>280</v>
      </c>
      <c r="B100" s="86"/>
      <c r="C100" s="86" t="s">
        <v>281</v>
      </c>
      <c r="D100" s="86"/>
      <c r="E100" s="86"/>
      <c r="F100" s="87"/>
    </row>
    <row r="101" spans="1:6" x14ac:dyDescent="0.25">
      <c r="A101" s="52" t="s">
        <v>154</v>
      </c>
      <c r="B101" s="53" t="s">
        <v>25</v>
      </c>
      <c r="C101" s="53" t="s">
        <v>26</v>
      </c>
      <c r="D101" s="44"/>
      <c r="E101" s="44"/>
      <c r="F101" s="45"/>
    </row>
    <row r="102" spans="1:6" ht="45.75" thickBot="1" x14ac:dyDescent="0.3">
      <c r="A102" s="54">
        <f>+'1 CAT. CONCEPTOS_PRESUPUESTO_'!B13</f>
        <v>1.002</v>
      </c>
      <c r="B102" s="54" t="str">
        <f>+'1 CAT. CONCEPTOS_PRESUPUESTO_'!C13</f>
        <v xml:space="preserve">      Limpia y desenraice de terreno por medios manuales.  Incluye mano de obra, herramienta menor, acopio en obra.</v>
      </c>
      <c r="C102" s="54" t="str">
        <f>+'1 CAT. CONCEPTOS_PRESUPUESTO_'!D13</f>
        <v>m2</v>
      </c>
      <c r="D102" s="50"/>
      <c r="E102" s="50"/>
      <c r="F102" s="51"/>
    </row>
    <row r="103" spans="1:6" ht="15.75" thickBot="1" x14ac:dyDescent="0.3"/>
    <row r="104" spans="1:6" ht="15.75" thickBot="1" x14ac:dyDescent="0.3">
      <c r="A104" s="60" t="s">
        <v>154</v>
      </c>
      <c r="B104" s="61" t="s">
        <v>25</v>
      </c>
      <c r="C104" s="61" t="s">
        <v>26</v>
      </c>
      <c r="D104" s="61" t="s">
        <v>27</v>
      </c>
      <c r="E104" s="61" t="s">
        <v>155</v>
      </c>
      <c r="F104" s="62" t="s">
        <v>156</v>
      </c>
    </row>
    <row r="105" spans="1:6" x14ac:dyDescent="0.25">
      <c r="A105" s="43"/>
      <c r="B105" s="53" t="s">
        <v>157</v>
      </c>
      <c r="C105" s="44"/>
      <c r="D105" s="44"/>
      <c r="E105" s="44"/>
      <c r="F105" s="45"/>
    </row>
    <row r="106" spans="1:6" x14ac:dyDescent="0.25">
      <c r="A106" s="46"/>
      <c r="B106" s="46"/>
      <c r="C106" s="46"/>
      <c r="D106" s="58"/>
      <c r="E106" s="47"/>
      <c r="F106" s="59"/>
    </row>
    <row r="107" spans="1:6" x14ac:dyDescent="0.25">
      <c r="A107" s="46"/>
      <c r="B107" s="46"/>
      <c r="C107" s="46"/>
      <c r="D107" s="58"/>
      <c r="E107" s="90"/>
      <c r="F107" s="59"/>
    </row>
    <row r="108" spans="1:6" x14ac:dyDescent="0.25">
      <c r="A108" s="46"/>
      <c r="B108" s="46"/>
      <c r="C108" s="46"/>
      <c r="D108" s="58"/>
      <c r="E108" s="90"/>
      <c r="F108" s="59"/>
    </row>
    <row r="109" spans="1:6" x14ac:dyDescent="0.25">
      <c r="A109" s="46"/>
      <c r="B109" s="46"/>
      <c r="C109" s="46"/>
      <c r="D109" s="58"/>
      <c r="E109" s="90"/>
      <c r="F109" s="59"/>
    </row>
    <row r="110" spans="1:6" ht="15.75" thickBot="1" x14ac:dyDescent="0.3">
      <c r="A110" s="49"/>
      <c r="B110" s="63" t="s">
        <v>158</v>
      </c>
      <c r="C110" s="50"/>
      <c r="D110" s="50"/>
      <c r="E110" s="50"/>
      <c r="F110" s="64"/>
    </row>
    <row r="111" spans="1:6" ht="15.75" thickBot="1" x14ac:dyDescent="0.3">
      <c r="A111" s="46"/>
      <c r="B111" s="47"/>
      <c r="C111" s="47"/>
      <c r="D111" s="47"/>
      <c r="E111" s="47"/>
      <c r="F111" s="48"/>
    </row>
    <row r="112" spans="1:6" x14ac:dyDescent="0.25">
      <c r="A112" s="43"/>
      <c r="B112" s="53" t="s">
        <v>159</v>
      </c>
      <c r="C112" s="44"/>
      <c r="D112" s="44"/>
      <c r="E112" s="44"/>
      <c r="F112" s="45"/>
    </row>
    <row r="113" spans="1:6" x14ac:dyDescent="0.25">
      <c r="A113" s="46" t="str">
        <f>+'5 CATÁLOGO DE BÁSICOS'!A11</f>
        <v>CUAD001</v>
      </c>
      <c r="B113" s="46" t="str">
        <f>+'5 CATÁLOGO DE BÁSICOS'!B11</f>
        <v>CUADRILLA No. 1 (1 PEÓN + 1/20 DE CABO DE OFICIOS)</v>
      </c>
      <c r="C113" s="46" t="str">
        <f>+'5 CATÁLOGO DE BÁSICOS'!C11</f>
        <v>JOR</v>
      </c>
      <c r="D113" s="58">
        <f>+'5 CATÁLOGO DE BÁSICOS'!D11</f>
        <v>573.59972533374389</v>
      </c>
      <c r="E113" s="92">
        <v>0.02</v>
      </c>
      <c r="F113" s="59">
        <f>+D113*E113</f>
        <v>11.471994506674879</v>
      </c>
    </row>
    <row r="114" spans="1:6" x14ac:dyDescent="0.25">
      <c r="A114" s="46"/>
      <c r="B114" s="46"/>
      <c r="C114" s="46"/>
      <c r="D114" s="58"/>
      <c r="E114" s="47"/>
      <c r="F114" s="59"/>
    </row>
    <row r="115" spans="1:6" ht="15.75" thickBot="1" x14ac:dyDescent="0.3">
      <c r="A115" s="49"/>
      <c r="B115" s="63" t="s">
        <v>160</v>
      </c>
      <c r="C115" s="50"/>
      <c r="D115" s="50"/>
      <c r="E115" s="50"/>
      <c r="F115" s="64">
        <f>SUM(F113:F114)</f>
        <v>11.471994506674879</v>
      </c>
    </row>
    <row r="116" spans="1:6" ht="15.75" thickBot="1" x14ac:dyDescent="0.3">
      <c r="A116" s="46"/>
      <c r="B116" s="47"/>
      <c r="C116" s="47"/>
      <c r="D116" s="47"/>
      <c r="E116" s="47"/>
      <c r="F116" s="48"/>
    </row>
    <row r="117" spans="1:6" x14ac:dyDescent="0.25">
      <c r="A117" s="43"/>
      <c r="B117" s="53" t="s">
        <v>161</v>
      </c>
      <c r="C117" s="44"/>
      <c r="D117" s="44"/>
      <c r="E117" s="44"/>
      <c r="F117" s="45"/>
    </row>
    <row r="118" spans="1:6" x14ac:dyDescent="0.25">
      <c r="A118" s="46" t="str">
        <f>+'4 CATÁLOGO DE EQ. Y HERR'!A11</f>
        <v>%MO01</v>
      </c>
      <c r="B118" s="46" t="str">
        <f>+'4 CATÁLOGO DE EQ. Y HERR'!B11</f>
        <v>HERRAMIENTA MENOR (3-5%)</v>
      </c>
      <c r="C118" s="46" t="str">
        <f>+'4 CATÁLOGO DE EQ. Y HERR'!C11</f>
        <v>%</v>
      </c>
      <c r="D118" s="58">
        <f>+F115</f>
        <v>11.471994506674879</v>
      </c>
      <c r="E118" s="47">
        <v>0.03</v>
      </c>
      <c r="F118" s="59">
        <f>+D118*E118</f>
        <v>0.34415983520024634</v>
      </c>
    </row>
    <row r="119" spans="1:6" x14ac:dyDescent="0.25">
      <c r="A119" s="46" t="str">
        <f>+'4 CATÁLOGO DE EQ. Y HERR'!A12</f>
        <v>%MO02</v>
      </c>
      <c r="B119" s="46" t="str">
        <f>+'4 CATÁLOGO DE EQ. Y HERR'!B12</f>
        <v>EQUIPO DE SEGURIDAD (2-3%</v>
      </c>
      <c r="C119" s="46" t="str">
        <f>+'4 CATÁLOGO DE EQ. Y HERR'!C12</f>
        <v>%</v>
      </c>
      <c r="D119" s="58">
        <f>+F115</f>
        <v>11.471994506674879</v>
      </c>
      <c r="E119" s="47">
        <v>0.02</v>
      </c>
      <c r="F119" s="59">
        <f>+D119*E119</f>
        <v>0.22943989013349758</v>
      </c>
    </row>
    <row r="120" spans="1:6" ht="15.75" thickBot="1" x14ac:dyDescent="0.3">
      <c r="A120" s="49"/>
      <c r="B120" s="63" t="s">
        <v>162</v>
      </c>
      <c r="C120" s="50"/>
      <c r="D120" s="50"/>
      <c r="E120" s="50"/>
      <c r="F120" s="64">
        <f>SUM(F118:F119)</f>
        <v>0.57359972533374393</v>
      </c>
    </row>
    <row r="121" spans="1:6" ht="15.75" thickBot="1" x14ac:dyDescent="0.3">
      <c r="A121" s="46"/>
      <c r="B121" s="47"/>
      <c r="C121" s="47"/>
      <c r="D121" s="47"/>
      <c r="E121" s="47"/>
      <c r="F121" s="48"/>
    </row>
    <row r="122" spans="1:6" x14ac:dyDescent="0.25">
      <c r="A122" s="43"/>
      <c r="B122" s="53" t="s">
        <v>163</v>
      </c>
      <c r="C122" s="44"/>
      <c r="D122" s="44"/>
      <c r="E122" s="44"/>
      <c r="F122" s="45"/>
    </row>
    <row r="123" spans="1:6" x14ac:dyDescent="0.25">
      <c r="A123" s="46"/>
      <c r="B123" s="46"/>
      <c r="C123" s="46"/>
      <c r="D123" s="58"/>
      <c r="E123" s="47"/>
      <c r="F123" s="59"/>
    </row>
    <row r="124" spans="1:6" x14ac:dyDescent="0.25">
      <c r="A124" s="46"/>
      <c r="B124" s="47"/>
      <c r="C124" s="47"/>
      <c r="D124" s="47"/>
      <c r="E124" s="47"/>
      <c r="F124" s="48"/>
    </row>
    <row r="125" spans="1:6" ht="15.75" thickBot="1" x14ac:dyDescent="0.3">
      <c r="A125" s="49"/>
      <c r="B125" s="63" t="s">
        <v>164</v>
      </c>
      <c r="C125" s="50"/>
      <c r="D125" s="50"/>
      <c r="E125" s="50"/>
      <c r="F125" s="64">
        <f>+F123</f>
        <v>0</v>
      </c>
    </row>
    <row r="126" spans="1:6" x14ac:dyDescent="0.25">
      <c r="A126" s="46"/>
      <c r="B126" s="47"/>
      <c r="C126" s="47"/>
      <c r="D126" s="47"/>
      <c r="E126" s="47"/>
      <c r="F126" s="48"/>
    </row>
    <row r="127" spans="1:6" x14ac:dyDescent="0.25">
      <c r="A127" s="46"/>
      <c r="B127" s="339" t="s">
        <v>165</v>
      </c>
      <c r="C127" s="340"/>
      <c r="D127" s="340"/>
      <c r="E127" s="340"/>
      <c r="F127" s="341">
        <f>+F125+F120+F115+F110</f>
        <v>12.045594232008622</v>
      </c>
    </row>
    <row r="128" spans="1:6" x14ac:dyDescent="0.25">
      <c r="A128" s="46"/>
      <c r="B128" s="57" t="s">
        <v>329</v>
      </c>
      <c r="C128" s="47"/>
      <c r="D128" s="47"/>
      <c r="E128" s="344">
        <v>0.12979399999999999</v>
      </c>
      <c r="F128" s="59">
        <f>+F127*E128</f>
        <v>1.5634458577493269</v>
      </c>
    </row>
    <row r="129" spans="1:6" x14ac:dyDescent="0.25">
      <c r="A129" s="46"/>
      <c r="B129" s="57" t="s">
        <v>330</v>
      </c>
      <c r="C129" s="47"/>
      <c r="D129" s="47"/>
      <c r="E129" s="47"/>
      <c r="F129" s="59">
        <f>SUM(F127:F128)</f>
        <v>13.609040089757949</v>
      </c>
    </row>
    <row r="130" spans="1:6" x14ac:dyDescent="0.25">
      <c r="A130" s="46"/>
      <c r="B130" s="57" t="s">
        <v>331</v>
      </c>
      <c r="C130" s="47"/>
      <c r="D130" s="47"/>
      <c r="E130" s="344">
        <v>1.091307E-2</v>
      </c>
      <c r="F130" s="59">
        <f>+E130*F129</f>
        <v>0.14851640713233477</v>
      </c>
    </row>
    <row r="131" spans="1:6" x14ac:dyDescent="0.25">
      <c r="A131" s="46"/>
      <c r="B131" s="57" t="s">
        <v>332</v>
      </c>
      <c r="C131" s="47"/>
      <c r="D131" s="47"/>
      <c r="E131" s="47"/>
      <c r="F131" s="59">
        <f>+F129+F130</f>
        <v>13.757556496890283</v>
      </c>
    </row>
    <row r="132" spans="1:6" x14ac:dyDescent="0.25">
      <c r="A132" s="46"/>
      <c r="B132" s="57" t="s">
        <v>333</v>
      </c>
      <c r="C132" s="47"/>
      <c r="D132" s="47"/>
      <c r="E132" s="93">
        <v>0.12</v>
      </c>
      <c r="F132" s="59">
        <f>+F131*E132</f>
        <v>1.650906779626834</v>
      </c>
    </row>
    <row r="133" spans="1:6" x14ac:dyDescent="0.25">
      <c r="A133" s="46"/>
      <c r="B133" s="57" t="s">
        <v>373</v>
      </c>
      <c r="C133" s="47"/>
      <c r="D133" s="47"/>
      <c r="E133" s="93"/>
      <c r="F133" s="59">
        <f>+F131+F132</f>
        <v>15.408463276517116</v>
      </c>
    </row>
    <row r="134" spans="1:6" ht="15.75" thickBot="1" x14ac:dyDescent="0.3">
      <c r="A134" s="49"/>
      <c r="B134" s="57" t="s">
        <v>372</v>
      </c>
      <c r="C134" s="47"/>
      <c r="D134" s="47"/>
      <c r="E134" s="344">
        <v>5.025E-3</v>
      </c>
      <c r="F134" s="59">
        <f>+E134*F133</f>
        <v>7.7427527964498505E-2</v>
      </c>
    </row>
    <row r="135" spans="1:6" x14ac:dyDescent="0.25">
      <c r="A135" s="46"/>
      <c r="B135" s="57" t="s">
        <v>334</v>
      </c>
      <c r="C135" s="47"/>
      <c r="D135" s="47"/>
      <c r="E135" s="47"/>
      <c r="F135" s="59">
        <f>F133+F134</f>
        <v>15.485890804481615</v>
      </c>
    </row>
    <row r="136" spans="1:6" x14ac:dyDescent="0.25">
      <c r="A136" s="46"/>
      <c r="B136" s="47"/>
      <c r="C136" s="47"/>
      <c r="D136" s="47"/>
      <c r="E136" s="47"/>
      <c r="F136" s="48"/>
    </row>
    <row r="137" spans="1:6" x14ac:dyDescent="0.25">
      <c r="A137" s="46"/>
      <c r="B137" s="47"/>
      <c r="C137" s="47"/>
      <c r="D137" s="47"/>
      <c r="E137" s="47"/>
      <c r="F137" s="48"/>
    </row>
    <row r="138" spans="1:6" x14ac:dyDescent="0.25">
      <c r="A138" s="46"/>
      <c r="B138" s="47"/>
      <c r="C138" s="47"/>
      <c r="D138" s="47"/>
      <c r="E138" s="47"/>
      <c r="F138" s="48"/>
    </row>
    <row r="139" spans="1:6" x14ac:dyDescent="0.25">
      <c r="A139" s="46"/>
      <c r="B139" s="47"/>
      <c r="C139" s="47"/>
      <c r="D139" s="47"/>
      <c r="E139" s="47"/>
      <c r="F139" s="48"/>
    </row>
    <row r="140" spans="1:6" x14ac:dyDescent="0.25">
      <c r="A140" s="46"/>
      <c r="B140" s="47"/>
      <c r="C140" s="47"/>
      <c r="D140" s="47"/>
      <c r="E140" s="47"/>
      <c r="F140" s="48"/>
    </row>
    <row r="141" spans="1:6" ht="15.75" thickBot="1" x14ac:dyDescent="0.3">
      <c r="A141" s="46"/>
      <c r="B141" s="47"/>
      <c r="C141" s="47"/>
      <c r="D141" s="47"/>
      <c r="E141" s="47"/>
      <c r="F141" s="48"/>
    </row>
    <row r="142" spans="1:6" x14ac:dyDescent="0.25">
      <c r="A142" s="79" t="s">
        <v>278</v>
      </c>
      <c r="B142" s="80"/>
      <c r="C142" s="80"/>
      <c r="D142" s="80"/>
      <c r="E142" s="80" t="s">
        <v>282</v>
      </c>
      <c r="F142" s="81"/>
    </row>
    <row r="143" spans="1:6" x14ac:dyDescent="0.25">
      <c r="A143" s="82" t="s">
        <v>279</v>
      </c>
      <c r="B143" s="83"/>
      <c r="C143" s="83" t="s">
        <v>283</v>
      </c>
      <c r="D143" s="83"/>
      <c r="E143" s="83" t="s">
        <v>284</v>
      </c>
      <c r="F143" s="84"/>
    </row>
    <row r="144" spans="1:6" ht="15.75" thickBot="1" x14ac:dyDescent="0.3">
      <c r="A144" s="85" t="s">
        <v>280</v>
      </c>
      <c r="B144" s="86"/>
      <c r="C144" s="86" t="s">
        <v>281</v>
      </c>
      <c r="D144" s="86"/>
      <c r="E144" s="86"/>
      <c r="F144" s="87"/>
    </row>
    <row r="145" spans="1:6" ht="13.5" customHeight="1" x14ac:dyDescent="0.25">
      <c r="A145" s="52" t="s">
        <v>154</v>
      </c>
      <c r="B145" s="53" t="s">
        <v>25</v>
      </c>
      <c r="C145" s="53" t="s">
        <v>26</v>
      </c>
      <c r="D145" s="44"/>
      <c r="E145" s="44"/>
      <c r="F145" s="45"/>
    </row>
    <row r="146" spans="1:6" ht="90.75" customHeight="1" thickBot="1" x14ac:dyDescent="0.3">
      <c r="A146" s="54">
        <f>+'1 CAT. CONCEPTOS_PRESUPUESTO_'!B16</f>
        <v>2.0019999999999998</v>
      </c>
      <c r="B146" s="54" t="str">
        <f>+'1 CAT. CONCEPTOS_PRESUPUESTO_'!C16</f>
        <v xml:space="preserve">      Excavación con maquinaria para formación de zanja en material A, B  seco, con excavadora hasta 2.00 metros de profundidad, incl: afloje, extracción, herramienta y mano de obra. Medición compacta en banco.</v>
      </c>
      <c r="C146" s="334" t="str">
        <f>+'1 CAT. CONCEPTOS_PRESUPUESTO_'!D16</f>
        <v>m3</v>
      </c>
      <c r="D146" s="50"/>
      <c r="E146" s="50"/>
      <c r="F146" s="51"/>
    </row>
    <row r="147" spans="1:6" ht="15.75" thickBot="1" x14ac:dyDescent="0.3"/>
    <row r="148" spans="1:6" ht="15.75" thickBot="1" x14ac:dyDescent="0.3">
      <c r="A148" s="60" t="s">
        <v>154</v>
      </c>
      <c r="B148" s="61" t="s">
        <v>25</v>
      </c>
      <c r="C148" s="61" t="s">
        <v>26</v>
      </c>
      <c r="D148" s="61" t="s">
        <v>27</v>
      </c>
      <c r="E148" s="61" t="s">
        <v>155</v>
      </c>
      <c r="F148" s="62" t="s">
        <v>156</v>
      </c>
    </row>
    <row r="149" spans="1:6" x14ac:dyDescent="0.25">
      <c r="A149" s="43"/>
      <c r="B149" s="53" t="s">
        <v>157</v>
      </c>
      <c r="C149" s="44"/>
      <c r="D149" s="44"/>
      <c r="E149" s="44"/>
      <c r="F149" s="45"/>
    </row>
    <row r="150" spans="1:6" x14ac:dyDescent="0.25">
      <c r="A150" s="46"/>
      <c r="B150" s="46"/>
      <c r="C150" s="46"/>
      <c r="D150" s="58"/>
      <c r="E150" s="47"/>
      <c r="F150" s="59"/>
    </row>
    <row r="151" spans="1:6" x14ac:dyDescent="0.25">
      <c r="A151" s="46"/>
      <c r="B151" s="46"/>
      <c r="C151" s="46"/>
      <c r="D151" s="58"/>
      <c r="E151" s="90"/>
      <c r="F151" s="59"/>
    </row>
    <row r="152" spans="1:6" x14ac:dyDescent="0.25">
      <c r="A152" s="46"/>
      <c r="B152" s="46"/>
      <c r="C152" s="46"/>
      <c r="D152" s="58"/>
      <c r="E152" s="90"/>
      <c r="F152" s="59"/>
    </row>
    <row r="153" spans="1:6" x14ac:dyDescent="0.25">
      <c r="A153" s="46"/>
      <c r="B153" s="46"/>
      <c r="C153" s="46"/>
      <c r="D153" s="58"/>
      <c r="E153" s="90"/>
      <c r="F153" s="59"/>
    </row>
    <row r="154" spans="1:6" ht="15.75" thickBot="1" x14ac:dyDescent="0.3">
      <c r="A154" s="49"/>
      <c r="B154" s="63" t="s">
        <v>158</v>
      </c>
      <c r="C154" s="50"/>
      <c r="D154" s="50"/>
      <c r="E154" s="50"/>
      <c r="F154" s="64"/>
    </row>
    <row r="155" spans="1:6" ht="15.75" thickBot="1" x14ac:dyDescent="0.3">
      <c r="A155" s="46"/>
      <c r="B155" s="47"/>
      <c r="C155" s="47"/>
      <c r="D155" s="47"/>
      <c r="E155" s="47"/>
      <c r="F155" s="48"/>
    </row>
    <row r="156" spans="1:6" x14ac:dyDescent="0.25">
      <c r="A156" s="43"/>
      <c r="B156" s="53" t="s">
        <v>159</v>
      </c>
      <c r="C156" s="44"/>
      <c r="D156" s="44"/>
      <c r="E156" s="44"/>
      <c r="F156" s="45"/>
    </row>
    <row r="157" spans="1:6" x14ac:dyDescent="0.25">
      <c r="A157" s="46"/>
      <c r="B157" s="46"/>
      <c r="C157" s="46"/>
      <c r="D157" s="58"/>
      <c r="E157" s="92"/>
      <c r="F157" s="59"/>
    </row>
    <row r="158" spans="1:6" x14ac:dyDescent="0.25">
      <c r="A158" s="46"/>
      <c r="B158" s="46"/>
      <c r="C158" s="46"/>
      <c r="D158" s="58"/>
      <c r="E158" s="47"/>
      <c r="F158" s="59"/>
    </row>
    <row r="159" spans="1:6" ht="15.75" thickBot="1" x14ac:dyDescent="0.3">
      <c r="A159" s="49"/>
      <c r="B159" s="63" t="s">
        <v>160</v>
      </c>
      <c r="C159" s="50"/>
      <c r="D159" s="50"/>
      <c r="E159" s="50"/>
      <c r="F159" s="64">
        <f>SUM(F157:F158)</f>
        <v>0</v>
      </c>
    </row>
    <row r="160" spans="1:6" ht="15.75" thickBot="1" x14ac:dyDescent="0.3">
      <c r="A160" s="46"/>
      <c r="B160" s="47"/>
      <c r="C160" s="47"/>
      <c r="D160" s="47"/>
      <c r="E160" s="47"/>
      <c r="F160" s="48"/>
    </row>
    <row r="161" spans="1:6" x14ac:dyDescent="0.25">
      <c r="A161" s="43"/>
      <c r="B161" s="53" t="s">
        <v>161</v>
      </c>
      <c r="C161" s="44"/>
      <c r="D161" s="44"/>
      <c r="E161" s="44"/>
      <c r="F161" s="45"/>
    </row>
    <row r="162" spans="1:6" x14ac:dyDescent="0.25">
      <c r="A162" s="46" t="str">
        <f>+'4 CATÁLOGO DE EQ. Y HERR'!A15</f>
        <v>EQRET001</v>
      </c>
      <c r="B162" s="46" t="str">
        <f>+'4 CATÁLOGO DE EQ. Y HERR'!B15</f>
        <v>RETROEXCAVADORA CAT- 426 C DE 85 HP</v>
      </c>
      <c r="C162" s="46" t="str">
        <f>+'4 CATÁLOGO DE EQ. Y HERR'!C15</f>
        <v>HORA</v>
      </c>
      <c r="D162" s="58">
        <f>+'4 CATÁLOGO DE EQ. Y HERR'!D15</f>
        <v>726.47491616163802</v>
      </c>
      <c r="E162" s="47">
        <f>1/10</f>
        <v>0.1</v>
      </c>
      <c r="F162" s="59">
        <f>+D162*E162</f>
        <v>72.647491616163805</v>
      </c>
    </row>
    <row r="163" spans="1:6" x14ac:dyDescent="0.25">
      <c r="A163" s="46"/>
      <c r="B163" s="46"/>
      <c r="C163" s="46"/>
      <c r="D163" s="58"/>
      <c r="E163" s="47"/>
      <c r="F163" s="59"/>
    </row>
    <row r="164" spans="1:6" ht="15.75" thickBot="1" x14ac:dyDescent="0.3">
      <c r="A164" s="49"/>
      <c r="B164" s="63" t="s">
        <v>162</v>
      </c>
      <c r="C164" s="50"/>
      <c r="D164" s="50"/>
      <c r="E164" s="50"/>
      <c r="F164" s="64">
        <f>SUM(F162:F163)</f>
        <v>72.647491616163805</v>
      </c>
    </row>
    <row r="165" spans="1:6" ht="15.75" thickBot="1" x14ac:dyDescent="0.3">
      <c r="A165" s="46"/>
      <c r="B165" s="47"/>
      <c r="C165" s="47"/>
      <c r="D165" s="47"/>
      <c r="E165" s="47"/>
      <c r="F165" s="48"/>
    </row>
    <row r="166" spans="1:6" x14ac:dyDescent="0.25">
      <c r="A166" s="43"/>
      <c r="B166" s="53" t="s">
        <v>163</v>
      </c>
      <c r="C166" s="44"/>
      <c r="D166" s="44"/>
      <c r="E166" s="44"/>
      <c r="F166" s="45"/>
    </row>
    <row r="167" spans="1:6" x14ac:dyDescent="0.25">
      <c r="A167" s="46"/>
      <c r="B167" s="46"/>
      <c r="C167" s="46"/>
      <c r="D167" s="58"/>
      <c r="E167" s="47"/>
      <c r="F167" s="59"/>
    </row>
    <row r="168" spans="1:6" x14ac:dyDescent="0.25">
      <c r="A168" s="46"/>
      <c r="B168" s="47"/>
      <c r="C168" s="47"/>
      <c r="D168" s="47"/>
      <c r="E168" s="47"/>
      <c r="F168" s="48"/>
    </row>
    <row r="169" spans="1:6" ht="15.75" thickBot="1" x14ac:dyDescent="0.3">
      <c r="A169" s="49"/>
      <c r="B169" s="63" t="s">
        <v>164</v>
      </c>
      <c r="C169" s="50"/>
      <c r="D169" s="50"/>
      <c r="E169" s="50"/>
      <c r="F169" s="64">
        <f>+F167</f>
        <v>0</v>
      </c>
    </row>
    <row r="170" spans="1:6" x14ac:dyDescent="0.25">
      <c r="A170" s="46"/>
      <c r="B170" s="47"/>
      <c r="C170" s="47"/>
      <c r="D170" s="47"/>
      <c r="E170" s="47"/>
      <c r="F170" s="48"/>
    </row>
    <row r="171" spans="1:6" x14ac:dyDescent="0.25">
      <c r="A171" s="46"/>
      <c r="B171" s="339" t="s">
        <v>165</v>
      </c>
      <c r="C171" s="340"/>
      <c r="D171" s="340"/>
      <c r="E171" s="340"/>
      <c r="F171" s="341">
        <f>+F169+F164+F159+F154</f>
        <v>72.647491616163805</v>
      </c>
    </row>
    <row r="172" spans="1:6" x14ac:dyDescent="0.25">
      <c r="A172" s="46"/>
      <c r="B172" s="57" t="s">
        <v>329</v>
      </c>
      <c r="C172" s="47"/>
      <c r="D172" s="47"/>
      <c r="E172" s="344">
        <v>0.12979399999999999</v>
      </c>
      <c r="F172" s="59">
        <f>+F171*E172</f>
        <v>9.429208526828365</v>
      </c>
    </row>
    <row r="173" spans="1:6" x14ac:dyDescent="0.25">
      <c r="A173" s="46"/>
      <c r="B173" s="57" t="s">
        <v>330</v>
      </c>
      <c r="C173" s="47"/>
      <c r="D173" s="47"/>
      <c r="E173" s="47"/>
      <c r="F173" s="59">
        <f>SUM(F171:F172)</f>
        <v>82.076700142992166</v>
      </c>
    </row>
    <row r="174" spans="1:6" x14ac:dyDescent="0.25">
      <c r="A174" s="46"/>
      <c r="B174" s="57" t="s">
        <v>331</v>
      </c>
      <c r="C174" s="47"/>
      <c r="D174" s="47"/>
      <c r="E174" s="344">
        <v>1.091307E-2</v>
      </c>
      <c r="F174" s="59">
        <f>+E174*F173</f>
        <v>0.89570877402948357</v>
      </c>
    </row>
    <row r="175" spans="1:6" x14ac:dyDescent="0.25">
      <c r="A175" s="46"/>
      <c r="B175" s="57" t="s">
        <v>332</v>
      </c>
      <c r="C175" s="47"/>
      <c r="D175" s="47"/>
      <c r="E175" s="47"/>
      <c r="F175" s="59">
        <f>+F173+F174</f>
        <v>82.972408917021653</v>
      </c>
    </row>
    <row r="176" spans="1:6" x14ac:dyDescent="0.25">
      <c r="A176" s="46"/>
      <c r="B176" s="57" t="s">
        <v>333</v>
      </c>
      <c r="C176" s="47"/>
      <c r="D176" s="47"/>
      <c r="E176" s="93">
        <v>0.12</v>
      </c>
      <c r="F176" s="59">
        <f>+F175*E176</f>
        <v>9.9566890700425983</v>
      </c>
    </row>
    <row r="177" spans="1:6" x14ac:dyDescent="0.25">
      <c r="A177" s="46"/>
      <c r="B177" s="57" t="s">
        <v>373</v>
      </c>
      <c r="C177" s="47"/>
      <c r="D177" s="47"/>
      <c r="E177" s="93"/>
      <c r="F177" s="59">
        <f>+F175+F176</f>
        <v>92.929097987064253</v>
      </c>
    </row>
    <row r="178" spans="1:6" ht="15.75" thickBot="1" x14ac:dyDescent="0.3">
      <c r="A178" s="49"/>
      <c r="B178" s="57" t="s">
        <v>372</v>
      </c>
      <c r="C178" s="47"/>
      <c r="D178" s="47"/>
      <c r="E178" s="344">
        <v>5.025E-3</v>
      </c>
      <c r="F178" s="59">
        <f>+E178*F177</f>
        <v>0.46696871738499784</v>
      </c>
    </row>
    <row r="179" spans="1:6" x14ac:dyDescent="0.25">
      <c r="B179" s="57" t="s">
        <v>334</v>
      </c>
      <c r="C179" s="47"/>
      <c r="D179" s="47"/>
      <c r="E179" s="47"/>
      <c r="F179" s="59">
        <f>F177+F178</f>
        <v>93.396066704449254</v>
      </c>
    </row>
    <row r="182" spans="1:6" ht="15.75" thickBot="1" x14ac:dyDescent="0.3"/>
    <row r="183" spans="1:6" x14ac:dyDescent="0.25">
      <c r="A183" s="79" t="s">
        <v>278</v>
      </c>
      <c r="B183" s="80"/>
      <c r="C183" s="80"/>
      <c r="D183" s="80"/>
      <c r="E183" s="80" t="s">
        <v>282</v>
      </c>
      <c r="F183" s="81"/>
    </row>
    <row r="184" spans="1:6" x14ac:dyDescent="0.25">
      <c r="A184" s="82" t="s">
        <v>279</v>
      </c>
      <c r="B184" s="83"/>
      <c r="C184" s="83" t="s">
        <v>283</v>
      </c>
      <c r="D184" s="83"/>
      <c r="E184" s="83" t="s">
        <v>284</v>
      </c>
      <c r="F184" s="84"/>
    </row>
    <row r="185" spans="1:6" ht="15.75" thickBot="1" x14ac:dyDescent="0.3">
      <c r="A185" s="85" t="s">
        <v>280</v>
      </c>
      <c r="B185" s="86"/>
      <c r="C185" s="86" t="s">
        <v>281</v>
      </c>
      <c r="D185" s="86"/>
      <c r="E185" s="86"/>
      <c r="F185" s="87"/>
    </row>
    <row r="186" spans="1:6" ht="13.5" customHeight="1" x14ac:dyDescent="0.25">
      <c r="A186" s="52" t="s">
        <v>154</v>
      </c>
      <c r="B186" s="53" t="s">
        <v>25</v>
      </c>
      <c r="C186" s="53" t="s">
        <v>26</v>
      </c>
      <c r="D186" s="44"/>
      <c r="E186" s="44"/>
      <c r="F186" s="45"/>
    </row>
    <row r="187" spans="1:6" ht="90.75" customHeight="1" thickBot="1" x14ac:dyDescent="0.3">
      <c r="A187" s="54">
        <f>+'1 CAT. CONCEPTOS_PRESUPUESTO_'!B17</f>
        <v>2.0030000000000001</v>
      </c>
      <c r="B187" s="54" t="str">
        <f>+'1 CAT. CONCEPTOS_PRESUPUESTO_'!C17</f>
        <v xml:space="preserve">      Excavación con herramienta manual para formación de zanja en material A, B seco, hasta 2.00 metros de profundidad, Incluye: afloje, extracción, afine de taludes y fondo, herramienta y mano de obra.  Medición compacta en banco.</v>
      </c>
      <c r="C187" s="54" t="str">
        <f>+'1 CAT. CONCEPTOS_PRESUPUESTO_'!D17</f>
        <v>m3</v>
      </c>
      <c r="D187" s="50"/>
      <c r="E187" s="50"/>
      <c r="F187" s="51"/>
    </row>
    <row r="188" spans="1:6" ht="15.75" thickBot="1" x14ac:dyDescent="0.3"/>
    <row r="189" spans="1:6" ht="15.75" thickBot="1" x14ac:dyDescent="0.3">
      <c r="A189" s="60" t="s">
        <v>154</v>
      </c>
      <c r="B189" s="61" t="s">
        <v>25</v>
      </c>
      <c r="C189" s="61" t="s">
        <v>26</v>
      </c>
      <c r="D189" s="61" t="s">
        <v>27</v>
      </c>
      <c r="E189" s="61" t="s">
        <v>155</v>
      </c>
      <c r="F189" s="62" t="s">
        <v>156</v>
      </c>
    </row>
    <row r="190" spans="1:6" x14ac:dyDescent="0.25">
      <c r="A190" s="43"/>
      <c r="B190" s="53" t="s">
        <v>157</v>
      </c>
      <c r="C190" s="44"/>
      <c r="D190" s="44"/>
      <c r="E190" s="44"/>
      <c r="F190" s="45"/>
    </row>
    <row r="191" spans="1:6" x14ac:dyDescent="0.25">
      <c r="A191" s="46"/>
      <c r="B191" s="46"/>
      <c r="C191" s="46"/>
      <c r="D191" s="58"/>
      <c r="E191" s="47"/>
      <c r="F191" s="59"/>
    </row>
    <row r="192" spans="1:6" x14ac:dyDescent="0.25">
      <c r="A192" s="46"/>
      <c r="B192" s="46"/>
      <c r="C192" s="46"/>
      <c r="D192" s="58"/>
      <c r="E192" s="90"/>
      <c r="F192" s="59"/>
    </row>
    <row r="193" spans="1:6" x14ac:dyDescent="0.25">
      <c r="A193" s="46"/>
      <c r="B193" s="46"/>
      <c r="C193" s="46"/>
      <c r="D193" s="58"/>
      <c r="E193" s="90"/>
      <c r="F193" s="59"/>
    </row>
    <row r="194" spans="1:6" x14ac:dyDescent="0.25">
      <c r="A194" s="46"/>
      <c r="B194" s="46"/>
      <c r="C194" s="46"/>
      <c r="D194" s="58"/>
      <c r="E194" s="90"/>
      <c r="F194" s="59"/>
    </row>
    <row r="195" spans="1:6" ht="15.75" thickBot="1" x14ac:dyDescent="0.3">
      <c r="A195" s="49"/>
      <c r="B195" s="63" t="s">
        <v>158</v>
      </c>
      <c r="C195" s="50"/>
      <c r="D195" s="50"/>
      <c r="E195" s="50"/>
      <c r="F195" s="64"/>
    </row>
    <row r="196" spans="1:6" ht="15.75" thickBot="1" x14ac:dyDescent="0.3">
      <c r="A196" s="46"/>
      <c r="B196" s="47"/>
      <c r="C196" s="47"/>
      <c r="D196" s="47"/>
      <c r="E196" s="47"/>
      <c r="F196" s="48"/>
    </row>
    <row r="197" spans="1:6" x14ac:dyDescent="0.25">
      <c r="A197" s="43"/>
      <c r="B197" s="53" t="s">
        <v>159</v>
      </c>
      <c r="C197" s="44"/>
      <c r="D197" s="44"/>
      <c r="E197" s="44"/>
      <c r="F197" s="45"/>
    </row>
    <row r="198" spans="1:6" x14ac:dyDescent="0.25">
      <c r="A198" s="46" t="str">
        <f>+'5 CATÁLOGO DE BÁSICOS'!A11</f>
        <v>CUAD001</v>
      </c>
      <c r="B198" s="46" t="str">
        <f>+'5 CATÁLOGO DE BÁSICOS'!B11</f>
        <v>CUADRILLA No. 1 (1 PEÓN + 1/20 DE CABO DE OFICIOS)</v>
      </c>
      <c r="C198" s="46" t="str">
        <f>+'5 CATÁLOGO DE BÁSICOS'!C11</f>
        <v>JOR</v>
      </c>
      <c r="D198" s="58">
        <f>+'5 CATÁLOGO DE BÁSICOS'!D11</f>
        <v>573.59972533374389</v>
      </c>
      <c r="E198" s="92">
        <f>1/2</f>
        <v>0.5</v>
      </c>
      <c r="F198" s="59">
        <f>+D198*E198</f>
        <v>286.79986266687195</v>
      </c>
    </row>
    <row r="199" spans="1:6" x14ac:dyDescent="0.25">
      <c r="A199" s="46"/>
      <c r="B199" s="46"/>
      <c r="C199" s="46"/>
      <c r="D199" s="58"/>
      <c r="E199" s="47"/>
      <c r="F199" s="59"/>
    </row>
    <row r="200" spans="1:6" ht="15.75" thickBot="1" x14ac:dyDescent="0.3">
      <c r="A200" s="49"/>
      <c r="B200" s="63" t="s">
        <v>160</v>
      </c>
      <c r="C200" s="50"/>
      <c r="D200" s="50"/>
      <c r="E200" s="50"/>
      <c r="F200" s="64">
        <f>SUM(F198:F199)</f>
        <v>286.79986266687195</v>
      </c>
    </row>
    <row r="201" spans="1:6" ht="15.75" thickBot="1" x14ac:dyDescent="0.3">
      <c r="A201" s="46"/>
      <c r="B201" s="47"/>
      <c r="C201" s="47"/>
      <c r="D201" s="47"/>
      <c r="E201" s="47"/>
      <c r="F201" s="48"/>
    </row>
    <row r="202" spans="1:6" x14ac:dyDescent="0.25">
      <c r="A202" s="43"/>
      <c r="B202" s="53" t="s">
        <v>161</v>
      </c>
      <c r="C202" s="44"/>
      <c r="D202" s="44"/>
      <c r="E202" s="44"/>
      <c r="F202" s="45"/>
    </row>
    <row r="203" spans="1:6" x14ac:dyDescent="0.25">
      <c r="A203" s="46" t="str">
        <f>+'4 CATÁLOGO DE EQ. Y HERR'!A11</f>
        <v>%MO01</v>
      </c>
      <c r="B203" s="46" t="str">
        <f>+'4 CATÁLOGO DE EQ. Y HERR'!B11</f>
        <v>HERRAMIENTA MENOR (3-5%)</v>
      </c>
      <c r="C203" s="46" t="str">
        <f>+'4 CATÁLOGO DE EQ. Y HERR'!C11</f>
        <v>%</v>
      </c>
      <c r="D203" s="58">
        <f>+F200</f>
        <v>286.79986266687195</v>
      </c>
      <c r="E203" s="47">
        <v>0.03</v>
      </c>
      <c r="F203" s="59">
        <f>+D203*E203</f>
        <v>8.603995880006158</v>
      </c>
    </row>
    <row r="204" spans="1:6" x14ac:dyDescent="0.25">
      <c r="A204" s="46" t="str">
        <f>+'4 CATÁLOGO DE EQ. Y HERR'!A12</f>
        <v>%MO02</v>
      </c>
      <c r="B204" s="46" t="str">
        <f>+'4 CATÁLOGO DE EQ. Y HERR'!B12</f>
        <v>EQUIPO DE SEGURIDAD (2-3%</v>
      </c>
      <c r="C204" s="46" t="str">
        <f>+'4 CATÁLOGO DE EQ. Y HERR'!C12</f>
        <v>%</v>
      </c>
      <c r="D204" s="58">
        <f>+F200</f>
        <v>286.79986266687195</v>
      </c>
      <c r="E204" s="47">
        <v>0.02</v>
      </c>
      <c r="F204" s="59">
        <f>+D204*E204</f>
        <v>5.7359972533374393</v>
      </c>
    </row>
    <row r="205" spans="1:6" ht="15.75" thickBot="1" x14ac:dyDescent="0.3">
      <c r="A205" s="49"/>
      <c r="B205" s="63" t="s">
        <v>162</v>
      </c>
      <c r="C205" s="50"/>
      <c r="D205" s="50"/>
      <c r="E205" s="50"/>
      <c r="F205" s="64">
        <f>SUM(F203:F204)</f>
        <v>14.339993133343597</v>
      </c>
    </row>
    <row r="206" spans="1:6" ht="15.75" thickBot="1" x14ac:dyDescent="0.3">
      <c r="A206" s="46"/>
      <c r="B206" s="47"/>
      <c r="C206" s="47"/>
      <c r="D206" s="47"/>
      <c r="E206" s="47"/>
      <c r="F206" s="48"/>
    </row>
    <row r="207" spans="1:6" x14ac:dyDescent="0.25">
      <c r="A207" s="43"/>
      <c r="B207" s="53" t="s">
        <v>163</v>
      </c>
      <c r="C207" s="44"/>
      <c r="D207" s="44"/>
      <c r="E207" s="44"/>
      <c r="F207" s="45"/>
    </row>
    <row r="208" spans="1:6" x14ac:dyDescent="0.25">
      <c r="A208" s="46"/>
      <c r="B208" s="46"/>
      <c r="C208" s="46"/>
      <c r="D208" s="58"/>
      <c r="E208" s="47"/>
      <c r="F208" s="59"/>
    </row>
    <row r="209" spans="1:6" x14ac:dyDescent="0.25">
      <c r="A209" s="46"/>
      <c r="B209" s="47"/>
      <c r="C209" s="47"/>
      <c r="D209" s="47"/>
      <c r="E209" s="47"/>
      <c r="F209" s="48"/>
    </row>
    <row r="210" spans="1:6" ht="15.75" thickBot="1" x14ac:dyDescent="0.3">
      <c r="A210" s="49"/>
      <c r="B210" s="63" t="s">
        <v>164</v>
      </c>
      <c r="C210" s="50"/>
      <c r="D210" s="50"/>
      <c r="E210" s="50"/>
      <c r="F210" s="64">
        <f>+F208</f>
        <v>0</v>
      </c>
    </row>
    <row r="211" spans="1:6" x14ac:dyDescent="0.25">
      <c r="A211" s="46"/>
      <c r="B211" s="47"/>
      <c r="C211" s="47"/>
      <c r="D211" s="47"/>
      <c r="E211" s="47"/>
      <c r="F211" s="48"/>
    </row>
    <row r="212" spans="1:6" x14ac:dyDescent="0.25">
      <c r="A212" s="46"/>
      <c r="B212" s="339" t="s">
        <v>165</v>
      </c>
      <c r="C212" s="340"/>
      <c r="D212" s="340"/>
      <c r="E212" s="340"/>
      <c r="F212" s="341">
        <f>+F210+F205+F200+F195</f>
        <v>301.13985580021551</v>
      </c>
    </row>
    <row r="213" spans="1:6" x14ac:dyDescent="0.25">
      <c r="A213" s="46"/>
      <c r="B213" s="57" t="s">
        <v>329</v>
      </c>
      <c r="C213" s="47"/>
      <c r="D213" s="47"/>
      <c r="E213" s="344">
        <v>0.12979399999999999</v>
      </c>
      <c r="F213" s="59">
        <f>+F212*E213</f>
        <v>39.08614644373317</v>
      </c>
    </row>
    <row r="214" spans="1:6" x14ac:dyDescent="0.25">
      <c r="A214" s="46"/>
      <c r="B214" s="57" t="s">
        <v>330</v>
      </c>
      <c r="C214" s="47"/>
      <c r="D214" s="47"/>
      <c r="E214" s="47"/>
      <c r="F214" s="59">
        <f>SUM(F212:F213)</f>
        <v>340.2260022439487</v>
      </c>
    </row>
    <row r="215" spans="1:6" x14ac:dyDescent="0.25">
      <c r="A215" s="46"/>
      <c r="B215" s="57" t="s">
        <v>331</v>
      </c>
      <c r="C215" s="47"/>
      <c r="D215" s="47"/>
      <c r="E215" s="344">
        <v>1.091307E-2</v>
      </c>
      <c r="F215" s="59">
        <f>+E215*F214</f>
        <v>3.7129101783083693</v>
      </c>
    </row>
    <row r="216" spans="1:6" x14ac:dyDescent="0.25">
      <c r="A216" s="46"/>
      <c r="B216" s="57" t="s">
        <v>332</v>
      </c>
      <c r="C216" s="47"/>
      <c r="D216" s="47"/>
      <c r="E216" s="47"/>
      <c r="F216" s="59">
        <f>+F214+F215</f>
        <v>343.93891242225709</v>
      </c>
    </row>
    <row r="217" spans="1:6" x14ac:dyDescent="0.25">
      <c r="A217" s="46"/>
      <c r="B217" s="57" t="s">
        <v>333</v>
      </c>
      <c r="C217" s="47"/>
      <c r="D217" s="47"/>
      <c r="E217" s="93">
        <v>0.12</v>
      </c>
      <c r="F217" s="59">
        <f>+F216*E217</f>
        <v>41.27266949067085</v>
      </c>
    </row>
    <row r="218" spans="1:6" x14ac:dyDescent="0.25">
      <c r="A218" s="46"/>
      <c r="B218" s="57" t="s">
        <v>373</v>
      </c>
      <c r="C218" s="47"/>
      <c r="D218" s="47"/>
      <c r="E218" s="93"/>
      <c r="F218" s="59">
        <f>+F216+F217</f>
        <v>385.21158191292795</v>
      </c>
    </row>
    <row r="219" spans="1:6" ht="15.75" thickBot="1" x14ac:dyDescent="0.3">
      <c r="A219" s="49"/>
      <c r="B219" s="57" t="s">
        <v>372</v>
      </c>
      <c r="C219" s="47"/>
      <c r="D219" s="47"/>
      <c r="E219" s="344">
        <v>5.025E-3</v>
      </c>
      <c r="F219" s="59">
        <f>+E219*F218</f>
        <v>1.935688199112463</v>
      </c>
    </row>
    <row r="220" spans="1:6" x14ac:dyDescent="0.25">
      <c r="B220" s="57" t="s">
        <v>334</v>
      </c>
      <c r="C220" s="47"/>
      <c r="D220" s="47"/>
      <c r="E220" s="47"/>
      <c r="F220" s="59">
        <f>F218+F219</f>
        <v>387.14727011204042</v>
      </c>
    </row>
    <row r="223" spans="1:6" ht="15.75" thickBot="1" x14ac:dyDescent="0.3"/>
    <row r="224" spans="1:6" x14ac:dyDescent="0.25">
      <c r="A224" s="79" t="s">
        <v>278</v>
      </c>
      <c r="B224" s="80"/>
      <c r="C224" s="80"/>
      <c r="D224" s="80"/>
      <c r="E224" s="80" t="s">
        <v>282</v>
      </c>
      <c r="F224" s="81"/>
    </row>
    <row r="225" spans="1:6" x14ac:dyDescent="0.25">
      <c r="A225" s="82" t="s">
        <v>279</v>
      </c>
      <c r="B225" s="83"/>
      <c r="C225" s="83" t="s">
        <v>283</v>
      </c>
      <c r="D225" s="83"/>
      <c r="E225" s="83" t="s">
        <v>284</v>
      </c>
      <c r="F225" s="84"/>
    </row>
    <row r="226" spans="1:6" ht="15.75" thickBot="1" x14ac:dyDescent="0.3">
      <c r="A226" s="85" t="s">
        <v>280</v>
      </c>
      <c r="B226" s="86"/>
      <c r="C226" s="86" t="s">
        <v>281</v>
      </c>
      <c r="D226" s="86"/>
      <c r="E226" s="86"/>
      <c r="F226" s="87"/>
    </row>
    <row r="227" spans="1:6" ht="13.5" customHeight="1" x14ac:dyDescent="0.25">
      <c r="A227" s="52" t="s">
        <v>154</v>
      </c>
      <c r="B227" s="53" t="s">
        <v>25</v>
      </c>
      <c r="C227" s="53" t="s">
        <v>26</v>
      </c>
      <c r="D227" s="44"/>
      <c r="E227" s="44"/>
      <c r="F227" s="45"/>
    </row>
    <row r="228" spans="1:6" ht="60.75" thickBot="1" x14ac:dyDescent="0.3">
      <c r="A228" s="54">
        <f>+'1 CAT. CONCEPTOS_PRESUPUESTO_'!B20</f>
        <v>3.0009999999999999</v>
      </c>
      <c r="B228" s="54" t="str">
        <f>+'1 CAT. CONCEPTOS_PRESUPUESTO_'!C20</f>
        <v xml:space="preserve">      Plantilla de 5 cm de espesor a base de concreto f c = 100 kg/cm2 tma = 19 mm fabricado en obra. Incluye: materiales, mano de obra, herramienta y equipo.</v>
      </c>
      <c r="C228" s="334" t="str">
        <f>+'1 CAT. CONCEPTOS_PRESUPUESTO_'!D20</f>
        <v>m2</v>
      </c>
      <c r="D228" s="50"/>
      <c r="E228" s="50"/>
      <c r="F228" s="51"/>
    </row>
    <row r="229" spans="1:6" ht="15.75" thickBot="1" x14ac:dyDescent="0.3"/>
    <row r="230" spans="1:6" ht="15.75" thickBot="1" x14ac:dyDescent="0.3">
      <c r="A230" s="60" t="s">
        <v>154</v>
      </c>
      <c r="B230" s="61" t="s">
        <v>25</v>
      </c>
      <c r="C230" s="61" t="s">
        <v>26</v>
      </c>
      <c r="D230" s="61" t="s">
        <v>27</v>
      </c>
      <c r="E230" s="61" t="s">
        <v>155</v>
      </c>
      <c r="F230" s="62" t="s">
        <v>156</v>
      </c>
    </row>
    <row r="231" spans="1:6" x14ac:dyDescent="0.25">
      <c r="A231" s="43"/>
      <c r="B231" s="53" t="s">
        <v>157</v>
      </c>
      <c r="C231" s="44"/>
      <c r="D231" s="44"/>
      <c r="E231" s="44"/>
      <c r="F231" s="45"/>
    </row>
    <row r="232" spans="1:6" x14ac:dyDescent="0.25">
      <c r="A232" s="46" t="str">
        <f>+'2 CATÁLOGO DE MAT.'!A13</f>
        <v>MAMAD001</v>
      </c>
      <c r="B232" s="46" t="str">
        <f>+'2 CATÁLOGO DE MAT.'!B13</f>
        <v xml:space="preserve">DUELA DE PINO DE 3A. </v>
      </c>
      <c r="C232" s="46" t="str">
        <f>+'2 CATÁLOGO DE MAT.'!C13</f>
        <v>PZA</v>
      </c>
      <c r="D232" s="58">
        <f>+'2 CATÁLOGO DE MAT.'!D13</f>
        <v>76.637931034482776</v>
      </c>
      <c r="E232" s="90">
        <f>+(10/2.4/4)*1.1/4</f>
        <v>0.28645833333333337</v>
      </c>
      <c r="F232" s="59">
        <f>+D232*E232</f>
        <v>21.953573994252881</v>
      </c>
    </row>
    <row r="233" spans="1:6" x14ac:dyDescent="0.25">
      <c r="A233" s="46" t="str">
        <f>+'2 CATÁLOGO DE MAT.'!A18</f>
        <v>MAACE003</v>
      </c>
      <c r="B233" s="46" t="str">
        <f>+'2 CATÁLOGO DE MAT.'!B18</f>
        <v>VARILLA DE 3/8"</v>
      </c>
      <c r="C233" s="46" t="str">
        <f>+'2 CATÁLOGO DE MAT.'!C18</f>
        <v>KG</v>
      </c>
      <c r="D233" s="58">
        <f>+'2 CATÁLOGO DE MAT.'!D18</f>
        <v>20.21</v>
      </c>
      <c r="E233" s="90">
        <f>8*0.3*0.557*0.5/40</f>
        <v>1.6709999999999999E-2</v>
      </c>
      <c r="F233" s="59">
        <f>+D233*E233</f>
        <v>0.33770909999999998</v>
      </c>
    </row>
    <row r="234" spans="1:6" x14ac:dyDescent="0.25">
      <c r="A234" s="46" t="str">
        <f>+'2 CATÁLOGO DE MAT.'!A12</f>
        <v>MAMEN001</v>
      </c>
      <c r="B234" s="46" t="str">
        <f>+'2 CATÁLOGO DE MAT.'!B12</f>
        <v>HILO CAÑAMO</v>
      </c>
      <c r="C234" s="46" t="str">
        <f>+'2 CATÁLOGO DE MAT.'!C12</f>
        <v>PZA</v>
      </c>
      <c r="D234" s="58">
        <f>+'2 CATÁLOGO DE MAT.'!D12</f>
        <v>51.724137931034484</v>
      </c>
      <c r="E234" s="90">
        <f>+'OPERACIONES PU'!E227/4</f>
        <v>2.34375E-2</v>
      </c>
      <c r="F234" s="59">
        <f>+D234*E234</f>
        <v>1.2122844827586208</v>
      </c>
    </row>
    <row r="235" spans="1:6" x14ac:dyDescent="0.25">
      <c r="A235" s="46"/>
      <c r="B235" s="46"/>
      <c r="C235" s="46"/>
      <c r="D235" s="58"/>
      <c r="E235" s="90"/>
      <c r="F235" s="59"/>
    </row>
    <row r="236" spans="1:6" ht="15.75" thickBot="1" x14ac:dyDescent="0.3">
      <c r="A236" s="49"/>
      <c r="B236" s="63" t="s">
        <v>158</v>
      </c>
      <c r="C236" s="50"/>
      <c r="D236" s="50"/>
      <c r="E236" s="50"/>
      <c r="F236" s="64">
        <f>SUM(F232:F235)</f>
        <v>23.503567577011502</v>
      </c>
    </row>
    <row r="237" spans="1:6" ht="15.75" thickBot="1" x14ac:dyDescent="0.3">
      <c r="A237" s="46"/>
      <c r="B237" s="47"/>
      <c r="C237" s="47"/>
      <c r="D237" s="47"/>
      <c r="E237" s="47"/>
      <c r="F237" s="48"/>
    </row>
    <row r="238" spans="1:6" x14ac:dyDescent="0.25">
      <c r="A238" s="43"/>
      <c r="B238" s="53" t="s">
        <v>159</v>
      </c>
      <c r="C238" s="44"/>
      <c r="D238" s="44"/>
      <c r="E238" s="44"/>
      <c r="F238" s="45"/>
    </row>
    <row r="239" spans="1:6" x14ac:dyDescent="0.25">
      <c r="A239" s="46" t="str">
        <f>+'5 CATÁLOGO DE BÁSICOS'!A12</f>
        <v>CUAD002</v>
      </c>
      <c r="B239" s="46" t="str">
        <f>+'5 CATÁLOGO DE BÁSICOS'!B12</f>
        <v>CUADRILLA No. 2 (1 OF. ALBAÑIL + 1 PEÓN + 2/20 DE CABO DE OFICIOS)</v>
      </c>
      <c r="C239" s="46" t="str">
        <f>+'5 CATÁLOGO DE BÁSICOS'!C12</f>
        <v>JOR</v>
      </c>
      <c r="D239" s="58">
        <f>+'5 CATÁLOGO DE BÁSICOS'!D12</f>
        <v>1431.9562658768475</v>
      </c>
      <c r="E239" s="92">
        <f>1/20</f>
        <v>0.05</v>
      </c>
      <c r="F239" s="59">
        <f>+D239*E239</f>
        <v>71.597813293842378</v>
      </c>
    </row>
    <row r="240" spans="1:6" x14ac:dyDescent="0.25">
      <c r="A240" s="46"/>
      <c r="B240" s="46"/>
      <c r="C240" s="46"/>
      <c r="D240" s="58"/>
      <c r="E240" s="47"/>
      <c r="F240" s="59"/>
    </row>
    <row r="241" spans="1:6" ht="15.75" thickBot="1" x14ac:dyDescent="0.3">
      <c r="A241" s="49"/>
      <c r="B241" s="63" t="s">
        <v>160</v>
      </c>
      <c r="C241" s="50"/>
      <c r="D241" s="50"/>
      <c r="E241" s="50"/>
      <c r="F241" s="64">
        <f>SUM(F239:F240)</f>
        <v>71.597813293842378</v>
      </c>
    </row>
    <row r="242" spans="1:6" ht="15.75" thickBot="1" x14ac:dyDescent="0.3">
      <c r="A242" s="46"/>
      <c r="B242" s="47"/>
      <c r="C242" s="47"/>
      <c r="D242" s="47"/>
      <c r="E242" s="47"/>
      <c r="F242" s="48"/>
    </row>
    <row r="243" spans="1:6" x14ac:dyDescent="0.25">
      <c r="A243" s="43"/>
      <c r="B243" s="53" t="s">
        <v>161</v>
      </c>
      <c r="C243" s="44"/>
      <c r="D243" s="44"/>
      <c r="E243" s="44"/>
      <c r="F243" s="45"/>
    </row>
    <row r="244" spans="1:6" x14ac:dyDescent="0.25">
      <c r="A244" s="46" t="str">
        <f>+'4 CATÁLOGO DE EQ. Y HERR'!A11</f>
        <v>%MO01</v>
      </c>
      <c r="B244" s="46" t="str">
        <f>+'4 CATÁLOGO DE EQ. Y HERR'!B11</f>
        <v>HERRAMIENTA MENOR (3-5%)</v>
      </c>
      <c r="C244" s="46" t="str">
        <f>+'4 CATÁLOGO DE EQ. Y HERR'!C11</f>
        <v>%</v>
      </c>
      <c r="D244" s="58">
        <f>+F241</f>
        <v>71.597813293842378</v>
      </c>
      <c r="E244" s="47">
        <v>0.03</v>
      </c>
      <c r="F244" s="59">
        <f>+D244*E244</f>
        <v>2.1479343988152713</v>
      </c>
    </row>
    <row r="245" spans="1:6" x14ac:dyDescent="0.25">
      <c r="A245" s="46" t="str">
        <f>+'4 CATÁLOGO DE EQ. Y HERR'!A12</f>
        <v>%MO02</v>
      </c>
      <c r="B245" s="46" t="str">
        <f>+'4 CATÁLOGO DE EQ. Y HERR'!B12</f>
        <v>EQUIPO DE SEGURIDAD (2-3%</v>
      </c>
      <c r="C245" s="46" t="str">
        <f>+'4 CATÁLOGO DE EQ. Y HERR'!C12</f>
        <v>%</v>
      </c>
      <c r="D245" s="58">
        <f>+F241</f>
        <v>71.597813293842378</v>
      </c>
      <c r="E245" s="47">
        <v>0.02</v>
      </c>
      <c r="F245" s="59">
        <f>+D245*E245</f>
        <v>1.4319562658768477</v>
      </c>
    </row>
    <row r="246" spans="1:6" ht="15.75" thickBot="1" x14ac:dyDescent="0.3">
      <c r="A246" s="49"/>
      <c r="B246" s="63" t="s">
        <v>162</v>
      </c>
      <c r="C246" s="50"/>
      <c r="D246" s="50"/>
      <c r="E246" s="50"/>
      <c r="F246" s="64">
        <f>SUM(F244:F245)</f>
        <v>3.5798906646921189</v>
      </c>
    </row>
    <row r="247" spans="1:6" ht="15.75" thickBot="1" x14ac:dyDescent="0.3">
      <c r="A247" s="46"/>
      <c r="B247" s="47"/>
      <c r="C247" s="47"/>
      <c r="D247" s="47"/>
      <c r="E247" s="47"/>
      <c r="F247" s="48"/>
    </row>
    <row r="248" spans="1:6" x14ac:dyDescent="0.25">
      <c r="A248" s="43"/>
      <c r="B248" s="53" t="s">
        <v>163</v>
      </c>
      <c r="C248" s="44"/>
      <c r="D248" s="44"/>
      <c r="E248" s="44"/>
      <c r="F248" s="45"/>
    </row>
    <row r="249" spans="1:6" x14ac:dyDescent="0.25">
      <c r="A249" s="46" t="str">
        <f>+'5 CATÁLOGO DE BÁSICOS'!A21</f>
        <v>BACON001</v>
      </c>
      <c r="B249" s="46" t="str">
        <f>+'5 CATÁLOGO DE BÁSICOS'!B21</f>
        <v>CONCRETO F'C= 100 KG/CM2, HECHO EN OBRA, A.M. 19 MM, REV. 10-12, R.N.</v>
      </c>
      <c r="C249" s="46" t="str">
        <f>+'5 CATÁLOGO DE BÁSICOS'!C21</f>
        <v>M3</v>
      </c>
      <c r="D249" s="58">
        <f>+'5 CATÁLOGO DE BÁSICOS'!D21</f>
        <v>2468.9388942063156</v>
      </c>
      <c r="E249" s="47">
        <f>0.05*1.03</f>
        <v>5.1500000000000004E-2</v>
      </c>
      <c r="F249" s="59">
        <f>+D249*E249</f>
        <v>127.15035305162526</v>
      </c>
    </row>
    <row r="250" spans="1:6" x14ac:dyDescent="0.25">
      <c r="A250" s="46"/>
      <c r="B250" s="47"/>
      <c r="C250" s="47"/>
      <c r="D250" s="47"/>
      <c r="E250" s="47"/>
      <c r="F250" s="48"/>
    </row>
    <row r="251" spans="1:6" ht="15.75" thickBot="1" x14ac:dyDescent="0.3">
      <c r="A251" s="49"/>
      <c r="B251" s="63" t="s">
        <v>164</v>
      </c>
      <c r="C251" s="50"/>
      <c r="D251" s="50"/>
      <c r="E251" s="50"/>
      <c r="F251" s="64">
        <f>+F249</f>
        <v>127.15035305162526</v>
      </c>
    </row>
    <row r="252" spans="1:6" x14ac:dyDescent="0.25">
      <c r="A252" s="46"/>
      <c r="B252" s="47"/>
      <c r="C252" s="47"/>
      <c r="D252" s="47"/>
      <c r="E252" s="47"/>
      <c r="F252" s="48"/>
    </row>
    <row r="253" spans="1:6" x14ac:dyDescent="0.25">
      <c r="A253" s="46"/>
      <c r="B253" s="339" t="s">
        <v>165</v>
      </c>
      <c r="C253" s="340"/>
      <c r="D253" s="340"/>
      <c r="E253" s="340"/>
      <c r="F253" s="341">
        <f>+F251+F246+F241+F236</f>
        <v>225.83162458717123</v>
      </c>
    </row>
    <row r="254" spans="1:6" x14ac:dyDescent="0.25">
      <c r="A254" s="46"/>
      <c r="B254" s="57" t="s">
        <v>329</v>
      </c>
      <c r="C254" s="47"/>
      <c r="D254" s="47"/>
      <c r="E254" s="344">
        <v>0.12979399999999999</v>
      </c>
      <c r="F254" s="59">
        <f>+F253*E254</f>
        <v>29.311589881667302</v>
      </c>
    </row>
    <row r="255" spans="1:6" x14ac:dyDescent="0.25">
      <c r="A255" s="46"/>
      <c r="B255" s="57" t="s">
        <v>330</v>
      </c>
      <c r="C255" s="47"/>
      <c r="D255" s="47"/>
      <c r="E255" s="47"/>
      <c r="F255" s="59">
        <f>SUM(F253:F254)</f>
        <v>255.14321446883855</v>
      </c>
    </row>
    <row r="256" spans="1:6" x14ac:dyDescent="0.25">
      <c r="A256" s="46"/>
      <c r="B256" s="57" t="s">
        <v>331</v>
      </c>
      <c r="C256" s="47"/>
      <c r="D256" s="47"/>
      <c r="E256" s="344">
        <v>1.091307E-2</v>
      </c>
      <c r="F256" s="59">
        <f>+E256*F255</f>
        <v>2.7843957595234481</v>
      </c>
    </row>
    <row r="257" spans="1:6" x14ac:dyDescent="0.25">
      <c r="A257" s="46"/>
      <c r="B257" s="57" t="s">
        <v>332</v>
      </c>
      <c r="C257" s="47"/>
      <c r="D257" s="47"/>
      <c r="E257" s="47"/>
      <c r="F257" s="59">
        <f>+F255+F256</f>
        <v>257.92761022836197</v>
      </c>
    </row>
    <row r="258" spans="1:6" x14ac:dyDescent="0.25">
      <c r="A258" s="46"/>
      <c r="B258" s="57" t="s">
        <v>333</v>
      </c>
      <c r="C258" s="47"/>
      <c r="D258" s="47"/>
      <c r="E258" s="93">
        <v>0.12</v>
      </c>
      <c r="F258" s="59">
        <f>+F257*E258</f>
        <v>30.951313227403435</v>
      </c>
    </row>
    <row r="259" spans="1:6" x14ac:dyDescent="0.25">
      <c r="A259" s="46"/>
      <c r="B259" s="57" t="s">
        <v>373</v>
      </c>
      <c r="C259" s="47"/>
      <c r="D259" s="47"/>
      <c r="E259" s="93"/>
      <c r="F259" s="59">
        <f>+F257+F258</f>
        <v>288.8789234557654</v>
      </c>
    </row>
    <row r="260" spans="1:6" ht="15.75" thickBot="1" x14ac:dyDescent="0.3">
      <c r="A260" s="49"/>
      <c r="B260" s="57" t="s">
        <v>372</v>
      </c>
      <c r="C260" s="47"/>
      <c r="D260" s="47"/>
      <c r="E260" s="344">
        <v>5.025E-3</v>
      </c>
      <c r="F260" s="59">
        <f>+E260*F259</f>
        <v>1.4516165903652212</v>
      </c>
    </row>
    <row r="261" spans="1:6" x14ac:dyDescent="0.25">
      <c r="B261" s="57" t="s">
        <v>334</v>
      </c>
      <c r="C261" s="47"/>
      <c r="D261" s="47"/>
      <c r="E261" s="47"/>
      <c r="F261" s="59">
        <f>F259+F260</f>
        <v>290.33054004613064</v>
      </c>
    </row>
    <row r="266" spans="1:6" ht="15.75" thickBot="1" x14ac:dyDescent="0.3"/>
    <row r="267" spans="1:6" x14ac:dyDescent="0.25">
      <c r="A267" s="79" t="s">
        <v>278</v>
      </c>
      <c r="B267" s="80"/>
      <c r="C267" s="80"/>
      <c r="D267" s="80"/>
      <c r="E267" s="80" t="s">
        <v>282</v>
      </c>
      <c r="F267" s="81"/>
    </row>
    <row r="268" spans="1:6" x14ac:dyDescent="0.25">
      <c r="A268" s="82" t="s">
        <v>279</v>
      </c>
      <c r="B268" s="83"/>
      <c r="C268" s="83" t="s">
        <v>283</v>
      </c>
      <c r="D268" s="83"/>
      <c r="E268" s="83" t="s">
        <v>284</v>
      </c>
      <c r="F268" s="84"/>
    </row>
    <row r="269" spans="1:6" ht="15.75" thickBot="1" x14ac:dyDescent="0.3">
      <c r="A269" s="85" t="s">
        <v>280</v>
      </c>
      <c r="B269" s="86"/>
      <c r="C269" s="86" t="s">
        <v>281</v>
      </c>
      <c r="D269" s="86"/>
      <c r="E269" s="86"/>
      <c r="F269" s="87"/>
    </row>
    <row r="270" spans="1:6" x14ac:dyDescent="0.25">
      <c r="A270" s="52" t="s">
        <v>154</v>
      </c>
      <c r="B270" s="53" t="s">
        <v>25</v>
      </c>
      <c r="C270" s="53" t="s">
        <v>26</v>
      </c>
      <c r="D270" s="44"/>
      <c r="E270" s="44"/>
      <c r="F270" s="45"/>
    </row>
    <row r="271" spans="1:6" ht="65.25" customHeight="1" thickBot="1" x14ac:dyDescent="0.3">
      <c r="A271" s="54">
        <f>+'1 CAT. CONCEPTOS_PRESUPUESTO_'!B21</f>
        <v>3.0019999999999998</v>
      </c>
      <c r="B271" s="54" t="str">
        <f>+'1 CAT. CONCEPTOS_PRESUPUESTO_'!C21</f>
        <v xml:space="preserve">      Cimentación de piedra braza con mortero cemento arena proporción 1:5, hasta una profundidad de 1.50 m. incluye: Materiales, mano de obra y herramienta.</v>
      </c>
      <c r="C271" s="54" t="str">
        <f>+'1 CAT. CONCEPTOS_PRESUPUESTO_'!D21</f>
        <v>m3</v>
      </c>
      <c r="D271" s="50"/>
      <c r="E271" s="50"/>
      <c r="F271" s="51"/>
    </row>
    <row r="272" spans="1:6" ht="15.75" thickBot="1" x14ac:dyDescent="0.3"/>
    <row r="273" spans="1:6" ht="15.75" thickBot="1" x14ac:dyDescent="0.3">
      <c r="A273" s="60" t="s">
        <v>154</v>
      </c>
      <c r="B273" s="61" t="s">
        <v>25</v>
      </c>
      <c r="C273" s="61" t="s">
        <v>26</v>
      </c>
      <c r="D273" s="61" t="s">
        <v>27</v>
      </c>
      <c r="E273" s="61" t="s">
        <v>155</v>
      </c>
      <c r="F273" s="62" t="s">
        <v>156</v>
      </c>
    </row>
    <row r="274" spans="1:6" x14ac:dyDescent="0.25">
      <c r="A274" s="43"/>
      <c r="B274" s="53" t="s">
        <v>157</v>
      </c>
      <c r="C274" s="44"/>
      <c r="D274" s="44"/>
      <c r="E274" s="44"/>
      <c r="F274" s="45"/>
    </row>
    <row r="275" spans="1:6" x14ac:dyDescent="0.25">
      <c r="A275" s="46" t="str">
        <f>+'2 CATÁLOGO DE MAT.'!A27</f>
        <v>MAAGR003</v>
      </c>
      <c r="B275" s="46" t="str">
        <f>+'2 CATÁLOGO DE MAT.'!B27</f>
        <v>PIEDRA BRAZA DE LA REGIÓN</v>
      </c>
      <c r="C275" s="46" t="str">
        <f>+'2 CATÁLOGO DE MAT.'!C27</f>
        <v>M3</v>
      </c>
      <c r="D275" s="58">
        <f>+'2 CATÁLOGO DE MAT.'!D27</f>
        <v>520</v>
      </c>
      <c r="E275" s="47">
        <v>1.5</v>
      </c>
      <c r="F275" s="59">
        <f>+D275*E275</f>
        <v>780</v>
      </c>
    </row>
    <row r="276" spans="1:6" x14ac:dyDescent="0.25">
      <c r="A276" s="46" t="str">
        <f>+'2 CATÁLOGO DE MAT.'!A12</f>
        <v>MAMEN001</v>
      </c>
      <c r="B276" s="46" t="str">
        <f>+'2 CATÁLOGO DE MAT.'!B12</f>
        <v>HILO CAÑAMO</v>
      </c>
      <c r="C276" s="46" t="str">
        <f>+'2 CATÁLOGO DE MAT.'!C12</f>
        <v>PZA</v>
      </c>
      <c r="D276" s="58">
        <f>+'2 CATÁLOGO DE MAT.'!D12</f>
        <v>51.724137931034484</v>
      </c>
      <c r="E276" s="90">
        <v>2.5000000000000001E-2</v>
      </c>
      <c r="F276" s="59">
        <f>+D276*E276</f>
        <v>1.2931034482758621</v>
      </c>
    </row>
    <row r="277" spans="1:6" x14ac:dyDescent="0.25">
      <c r="A277" s="46"/>
      <c r="B277" s="46"/>
      <c r="C277" s="46"/>
      <c r="D277" s="58"/>
      <c r="E277" s="90"/>
      <c r="F277" s="59"/>
    </row>
    <row r="278" spans="1:6" x14ac:dyDescent="0.25">
      <c r="A278" s="46"/>
      <c r="B278" s="46"/>
      <c r="C278" s="46"/>
      <c r="D278" s="58"/>
      <c r="E278" s="90"/>
      <c r="F278" s="59"/>
    </row>
    <row r="279" spans="1:6" ht="15.75" thickBot="1" x14ac:dyDescent="0.3">
      <c r="A279" s="49"/>
      <c r="B279" s="63" t="s">
        <v>158</v>
      </c>
      <c r="C279" s="50"/>
      <c r="D279" s="50"/>
      <c r="E279" s="50"/>
      <c r="F279" s="64">
        <f>SUM(F275:F278)</f>
        <v>781.29310344827582</v>
      </c>
    </row>
    <row r="280" spans="1:6" ht="15.75" thickBot="1" x14ac:dyDescent="0.3">
      <c r="A280" s="46"/>
      <c r="B280" s="47"/>
      <c r="C280" s="47"/>
      <c r="D280" s="47"/>
      <c r="E280" s="47"/>
      <c r="F280" s="48"/>
    </row>
    <row r="281" spans="1:6" x14ac:dyDescent="0.25">
      <c r="A281" s="43"/>
      <c r="B281" s="53" t="s">
        <v>159</v>
      </c>
      <c r="C281" s="44"/>
      <c r="D281" s="44"/>
      <c r="E281" s="44"/>
      <c r="F281" s="45"/>
    </row>
    <row r="282" spans="1:6" x14ac:dyDescent="0.25">
      <c r="A282" s="46" t="str">
        <f>+'5 CATÁLOGO DE BÁSICOS'!A12</f>
        <v>CUAD002</v>
      </c>
      <c r="B282" s="46" t="str">
        <f>+'5 CATÁLOGO DE BÁSICOS'!B12</f>
        <v>CUADRILLA No. 2 (1 OF. ALBAÑIL + 1 PEÓN + 2/20 DE CABO DE OFICIOS)</v>
      </c>
      <c r="C282" s="46" t="str">
        <f>+'5 CATÁLOGO DE BÁSICOS'!C12</f>
        <v>JOR</v>
      </c>
      <c r="D282" s="58">
        <f>+'5 CATÁLOGO DE BÁSICOS'!D12</f>
        <v>1431.9562658768475</v>
      </c>
      <c r="E282" s="92">
        <f>1/2.2</f>
        <v>0.45454545454545453</v>
      </c>
      <c r="F282" s="59">
        <f>+D282*E282</f>
        <v>650.88921176220344</v>
      </c>
    </row>
    <row r="283" spans="1:6" x14ac:dyDescent="0.25">
      <c r="A283" s="46"/>
      <c r="B283" s="46"/>
      <c r="C283" s="46"/>
      <c r="D283" s="58"/>
      <c r="E283" s="47"/>
      <c r="F283" s="59"/>
    </row>
    <row r="284" spans="1:6" ht="15.75" thickBot="1" x14ac:dyDescent="0.3">
      <c r="A284" s="49"/>
      <c r="B284" s="63" t="s">
        <v>160</v>
      </c>
      <c r="C284" s="50"/>
      <c r="D284" s="50"/>
      <c r="E284" s="50"/>
      <c r="F284" s="64">
        <f>SUM(F282:F283)</f>
        <v>650.88921176220344</v>
      </c>
    </row>
    <row r="285" spans="1:6" ht="15.75" thickBot="1" x14ac:dyDescent="0.3">
      <c r="A285" s="46"/>
      <c r="B285" s="47"/>
      <c r="C285" s="47"/>
      <c r="D285" s="47"/>
      <c r="E285" s="47"/>
      <c r="F285" s="48"/>
    </row>
    <row r="286" spans="1:6" x14ac:dyDescent="0.25">
      <c r="A286" s="43"/>
      <c r="B286" s="53" t="s">
        <v>161</v>
      </c>
      <c r="C286" s="44"/>
      <c r="D286" s="44"/>
      <c r="E286" s="44"/>
      <c r="F286" s="45"/>
    </row>
    <row r="287" spans="1:6" x14ac:dyDescent="0.25">
      <c r="A287" s="46" t="str">
        <f>+'4 CATÁLOGO DE EQ. Y HERR'!A11</f>
        <v>%MO01</v>
      </c>
      <c r="B287" s="46" t="str">
        <f>+'4 CATÁLOGO DE EQ. Y HERR'!B11</f>
        <v>HERRAMIENTA MENOR (3-5%)</v>
      </c>
      <c r="C287" s="46" t="str">
        <f>+'4 CATÁLOGO DE EQ. Y HERR'!C11</f>
        <v>%</v>
      </c>
      <c r="D287" s="58">
        <f>+F284</f>
        <v>650.88921176220344</v>
      </c>
      <c r="E287" s="47">
        <v>0.03</v>
      </c>
      <c r="F287" s="59">
        <f>+D287*E287</f>
        <v>19.526676352866101</v>
      </c>
    </row>
    <row r="288" spans="1:6" x14ac:dyDescent="0.25">
      <c r="A288" s="46" t="str">
        <f>+'4 CATÁLOGO DE EQ. Y HERR'!A12</f>
        <v>%MO02</v>
      </c>
      <c r="B288" s="46" t="str">
        <f>+'4 CATÁLOGO DE EQ. Y HERR'!B12</f>
        <v>EQUIPO DE SEGURIDAD (2-3%</v>
      </c>
      <c r="C288" s="46" t="str">
        <f>+'4 CATÁLOGO DE EQ. Y HERR'!C12</f>
        <v>%</v>
      </c>
      <c r="D288" s="58">
        <f>+F284</f>
        <v>650.88921176220344</v>
      </c>
      <c r="E288" s="47">
        <v>0.02</v>
      </c>
      <c r="F288" s="59">
        <f>+D288*E288</f>
        <v>13.017784235244068</v>
      </c>
    </row>
    <row r="289" spans="1:6" ht="15.75" thickBot="1" x14ac:dyDescent="0.3">
      <c r="A289" s="49"/>
      <c r="B289" s="63" t="s">
        <v>162</v>
      </c>
      <c r="C289" s="50"/>
      <c r="D289" s="50"/>
      <c r="E289" s="50"/>
      <c r="F289" s="64">
        <f>SUM(F287:F288)</f>
        <v>32.544460588110169</v>
      </c>
    </row>
    <row r="290" spans="1:6" ht="15.75" thickBot="1" x14ac:dyDescent="0.3">
      <c r="A290" s="46"/>
      <c r="B290" s="47"/>
      <c r="C290" s="47"/>
      <c r="D290" s="47"/>
      <c r="E290" s="47"/>
      <c r="F290" s="48"/>
    </row>
    <row r="291" spans="1:6" x14ac:dyDescent="0.25">
      <c r="A291" s="43"/>
      <c r="B291" s="53" t="s">
        <v>163</v>
      </c>
      <c r="C291" s="44"/>
      <c r="D291" s="44"/>
      <c r="E291" s="44"/>
      <c r="F291" s="45"/>
    </row>
    <row r="292" spans="1:6" x14ac:dyDescent="0.25">
      <c r="A292" s="46" t="str">
        <f>+'5 CATÁLOGO DE BÁSICOS'!A19</f>
        <v>BAMOR03</v>
      </c>
      <c r="B292" s="46" t="str">
        <f>+'5 CATÁLOGO DE BÁSICOS'!B19</f>
        <v>MORTERO CEMENTO -ARENA PROP. 1:5</v>
      </c>
      <c r="C292" s="46" t="str">
        <f>+'5 CATÁLOGO DE BÁSICOS'!C19</f>
        <v>M3</v>
      </c>
      <c r="D292" s="58">
        <f>+'5 CATÁLOGO DE BÁSICOS'!D19</f>
        <v>1908.47</v>
      </c>
      <c r="E292" s="47">
        <v>0.32</v>
      </c>
      <c r="F292" s="59">
        <f>+D292*E292</f>
        <v>610.71040000000005</v>
      </c>
    </row>
    <row r="293" spans="1:6" x14ac:dyDescent="0.25">
      <c r="A293" s="46"/>
      <c r="B293" s="47"/>
      <c r="C293" s="47"/>
      <c r="D293" s="47"/>
      <c r="E293" s="47"/>
      <c r="F293" s="48"/>
    </row>
    <row r="294" spans="1:6" ht="15.75" thickBot="1" x14ac:dyDescent="0.3">
      <c r="A294" s="49"/>
      <c r="B294" s="63" t="s">
        <v>164</v>
      </c>
      <c r="C294" s="50"/>
      <c r="D294" s="50"/>
      <c r="E294" s="50"/>
      <c r="F294" s="64">
        <f>+F292</f>
        <v>610.71040000000005</v>
      </c>
    </row>
    <row r="295" spans="1:6" x14ac:dyDescent="0.25">
      <c r="A295" s="46"/>
      <c r="B295" s="47"/>
      <c r="C295" s="47"/>
      <c r="D295" s="47"/>
      <c r="E295" s="47"/>
      <c r="F295" s="48"/>
    </row>
    <row r="296" spans="1:6" x14ac:dyDescent="0.25">
      <c r="A296" s="46"/>
      <c r="B296" s="339" t="s">
        <v>165</v>
      </c>
      <c r="C296" s="340"/>
      <c r="D296" s="340"/>
      <c r="E296" s="340"/>
      <c r="F296" s="341">
        <f>+F294+F289+F284+F279</f>
        <v>2075.4371757985896</v>
      </c>
    </row>
    <row r="297" spans="1:6" x14ac:dyDescent="0.25">
      <c r="A297" s="46"/>
      <c r="B297" s="57" t="s">
        <v>329</v>
      </c>
      <c r="C297" s="47"/>
      <c r="D297" s="47"/>
      <c r="E297" s="344">
        <v>0.12979399999999999</v>
      </c>
      <c r="F297" s="59">
        <f>+F296*E297</f>
        <v>269.37929279560211</v>
      </c>
    </row>
    <row r="298" spans="1:6" x14ac:dyDescent="0.25">
      <c r="A298" s="46"/>
      <c r="B298" s="57" t="s">
        <v>330</v>
      </c>
      <c r="C298" s="47"/>
      <c r="D298" s="47"/>
      <c r="E298" s="47"/>
      <c r="F298" s="59">
        <f>SUM(F296:F297)</f>
        <v>2344.8164685941915</v>
      </c>
    </row>
    <row r="299" spans="1:6" x14ac:dyDescent="0.25">
      <c r="A299" s="46"/>
      <c r="B299" s="57" t="s">
        <v>331</v>
      </c>
      <c r="C299" s="47"/>
      <c r="D299" s="47"/>
      <c r="E299" s="344">
        <v>1.091307E-2</v>
      </c>
      <c r="F299" s="59">
        <f>+E299*F298</f>
        <v>25.589146258921215</v>
      </c>
    </row>
    <row r="300" spans="1:6" x14ac:dyDescent="0.25">
      <c r="A300" s="46"/>
      <c r="B300" s="57" t="s">
        <v>332</v>
      </c>
      <c r="C300" s="47"/>
      <c r="D300" s="47"/>
      <c r="E300" s="47"/>
      <c r="F300" s="59">
        <f>+F298+F299</f>
        <v>2370.4056148531126</v>
      </c>
    </row>
    <row r="301" spans="1:6" x14ac:dyDescent="0.25">
      <c r="A301" s="46"/>
      <c r="B301" s="57" t="s">
        <v>333</v>
      </c>
      <c r="C301" s="47"/>
      <c r="D301" s="47"/>
      <c r="E301" s="93">
        <v>0.12</v>
      </c>
      <c r="F301" s="59">
        <f>+F300*E301</f>
        <v>284.44867378237353</v>
      </c>
    </row>
    <row r="302" spans="1:6" x14ac:dyDescent="0.25">
      <c r="A302" s="46"/>
      <c r="B302" s="57" t="s">
        <v>373</v>
      </c>
      <c r="C302" s="47"/>
      <c r="D302" s="47"/>
      <c r="E302" s="93"/>
      <c r="F302" s="59">
        <f>+F300+F301</f>
        <v>2654.8542886354862</v>
      </c>
    </row>
    <row r="303" spans="1:6" ht="15.75" thickBot="1" x14ac:dyDescent="0.3">
      <c r="A303" s="49"/>
      <c r="B303" s="57" t="s">
        <v>372</v>
      </c>
      <c r="C303" s="47"/>
      <c r="D303" s="47"/>
      <c r="E303" s="344">
        <v>5.025E-3</v>
      </c>
      <c r="F303" s="59">
        <f>+E303*F302</f>
        <v>13.340642800393319</v>
      </c>
    </row>
    <row r="304" spans="1:6" x14ac:dyDescent="0.25">
      <c r="B304" s="57" t="s">
        <v>334</v>
      </c>
      <c r="C304" s="47"/>
      <c r="D304" s="47"/>
      <c r="E304" s="47"/>
      <c r="F304" s="59">
        <f>F302+F303</f>
        <v>2668.1949314358794</v>
      </c>
    </row>
    <row r="309" spans="1:6" ht="15.75" thickBot="1" x14ac:dyDescent="0.3"/>
    <row r="310" spans="1:6" x14ac:dyDescent="0.25">
      <c r="A310" s="79" t="s">
        <v>278</v>
      </c>
      <c r="B310" s="80"/>
      <c r="C310" s="80"/>
      <c r="D310" s="80"/>
      <c r="E310" s="80" t="s">
        <v>282</v>
      </c>
      <c r="F310" s="81"/>
    </row>
    <row r="311" spans="1:6" x14ac:dyDescent="0.25">
      <c r="A311" s="82" t="s">
        <v>279</v>
      </c>
      <c r="B311" s="83"/>
      <c r="C311" s="83" t="s">
        <v>283</v>
      </c>
      <c r="D311" s="83"/>
      <c r="E311" s="83" t="s">
        <v>284</v>
      </c>
      <c r="F311" s="84"/>
    </row>
    <row r="312" spans="1:6" ht="15.75" thickBot="1" x14ac:dyDescent="0.3">
      <c r="A312" s="85" t="s">
        <v>280</v>
      </c>
      <c r="B312" s="86"/>
      <c r="C312" s="86" t="s">
        <v>281</v>
      </c>
      <c r="D312" s="86"/>
      <c r="E312" s="86"/>
      <c r="F312" s="87"/>
    </row>
    <row r="313" spans="1:6" x14ac:dyDescent="0.25">
      <c r="A313" s="52" t="s">
        <v>154</v>
      </c>
      <c r="B313" s="53" t="s">
        <v>25</v>
      </c>
      <c r="C313" s="53" t="s">
        <v>26</v>
      </c>
      <c r="D313" s="44"/>
      <c r="E313" s="44"/>
      <c r="F313" s="45"/>
    </row>
    <row r="314" spans="1:6" ht="105.75" thickBot="1" x14ac:dyDescent="0.3">
      <c r="A314" s="54">
        <f>+'1 CAT. CONCEPTOS_PRESUPUESTO_'!B24</f>
        <v>4.0010000000000003</v>
      </c>
      <c r="B314" s="54" t="str">
        <f>+'1 CAT. CONCEPTOS_PRESUPUESTO_'!C24</f>
        <v xml:space="preserve">      Cadena desplante de 20 x 20 cm  a base de concreto f c = 200 kg/cm2, tma = 19 mm, armado con 5 varillas del No. 3 y estribos del No. 2 a cada 20 cm.  incluye cimbra y descimbra, colado, vibrado y curado, a cualquier altura. Incluye : materiales, mano de obra, herramienta y equipo.</v>
      </c>
      <c r="C314" s="54" t="str">
        <f>+'1 CAT. CONCEPTOS_PRESUPUESTO_'!D24</f>
        <v>m</v>
      </c>
      <c r="D314" s="50"/>
      <c r="E314" s="50"/>
      <c r="F314" s="51"/>
    </row>
    <row r="315" spans="1:6" ht="15.75" thickBot="1" x14ac:dyDescent="0.3"/>
    <row r="316" spans="1:6" ht="15.75" thickBot="1" x14ac:dyDescent="0.3">
      <c r="A316" s="60" t="s">
        <v>154</v>
      </c>
      <c r="B316" s="61" t="s">
        <v>25</v>
      </c>
      <c r="C316" s="61" t="s">
        <v>26</v>
      </c>
      <c r="D316" s="61" t="s">
        <v>27</v>
      </c>
      <c r="E316" s="61" t="s">
        <v>155</v>
      </c>
      <c r="F316" s="62" t="s">
        <v>156</v>
      </c>
    </row>
    <row r="317" spans="1:6" x14ac:dyDescent="0.25">
      <c r="A317" s="43"/>
      <c r="B317" s="53" t="s">
        <v>157</v>
      </c>
      <c r="C317" s="44"/>
      <c r="D317" s="44"/>
      <c r="E317" s="44"/>
      <c r="F317" s="45"/>
    </row>
    <row r="318" spans="1:6" x14ac:dyDescent="0.25">
      <c r="A318" s="46" t="str">
        <f>+'2 CATÁLOGO DE MAT.'!A13</f>
        <v>MAMAD001</v>
      </c>
      <c r="B318" s="46" t="str">
        <f>+'2 CATÁLOGO DE MAT.'!B13</f>
        <v xml:space="preserve">DUELA DE PINO DE 3A. </v>
      </c>
      <c r="C318" s="46" t="str">
        <f>+'2 CATÁLOGO DE MAT.'!C13</f>
        <v>PZA</v>
      </c>
      <c r="D318" s="58">
        <f>+'2 CATÁLOGO DE MAT.'!D13</f>
        <v>76.637931034482776</v>
      </c>
      <c r="E318" s="90">
        <f>+(4/2.4/4)*1.1</f>
        <v>0.45833333333333337</v>
      </c>
      <c r="F318" s="59">
        <f t="shared" ref="F318:F324" si="1">+D318*E318</f>
        <v>35.125718390804607</v>
      </c>
    </row>
    <row r="319" spans="1:6" x14ac:dyDescent="0.25">
      <c r="A319" s="46" t="str">
        <f>+'2 CATÁLOGO DE MAT.'!A14</f>
        <v>MAMAD002</v>
      </c>
      <c r="B319" s="46" t="str">
        <f>+'2 CATÁLOGO DE MAT.'!B14</f>
        <v>BARROTE DE PINO DE 3A.</v>
      </c>
      <c r="C319" s="46" t="str">
        <f>+'2 CATÁLOGO DE MAT.'!C14</f>
        <v>PZA</v>
      </c>
      <c r="D319" s="58">
        <f>+'2 CATÁLOGO DE MAT.'!D14</f>
        <v>54.310344827586214</v>
      </c>
      <c r="E319" s="90">
        <f>5*0.3/2.4/20</f>
        <v>3.125E-2</v>
      </c>
      <c r="F319" s="59">
        <f t="shared" si="1"/>
        <v>1.6971982758620692</v>
      </c>
    </row>
    <row r="320" spans="1:6" x14ac:dyDescent="0.25">
      <c r="A320" s="46" t="str">
        <f>+'2 CATÁLOGO DE MAT.'!A16</f>
        <v>MAACE001</v>
      </c>
      <c r="B320" s="46" t="str">
        <f>+'2 CATÁLOGO DE MAT.'!B16</f>
        <v>CLAVOS DE 2 1/2"</v>
      </c>
      <c r="C320" s="46" t="str">
        <f>+'2 CATÁLOGO DE MAT.'!C16</f>
        <v>KG</v>
      </c>
      <c r="D320" s="58">
        <f>+'2 CATÁLOGO DE MAT.'!D16</f>
        <v>41.379310344827587</v>
      </c>
      <c r="E320" s="90">
        <f>+'OPERACIONES PU'!B309*1.05</f>
        <v>8.0769230769230774E-2</v>
      </c>
      <c r="F320" s="59">
        <f t="shared" si="1"/>
        <v>3.3421750663129974</v>
      </c>
    </row>
    <row r="321" spans="1:6" x14ac:dyDescent="0.25">
      <c r="A321" s="46" t="str">
        <f>+'2 CATÁLOGO DE MAT.'!A18</f>
        <v>MAACE003</v>
      </c>
      <c r="B321" s="46" t="str">
        <f>+'2 CATÁLOGO DE MAT.'!B18</f>
        <v>VARILLA DE 3/8"</v>
      </c>
      <c r="C321" s="46" t="str">
        <f>+'2 CATÁLOGO DE MAT.'!C18</f>
        <v>KG</v>
      </c>
      <c r="D321" s="58">
        <f>+'2 CATÁLOGO DE MAT.'!D18</f>
        <v>20.21</v>
      </c>
      <c r="E321" s="90">
        <f>5*0.557*1.1*1</f>
        <v>3.0635000000000003</v>
      </c>
      <c r="F321" s="59">
        <f t="shared" si="1"/>
        <v>61.913335000000011</v>
      </c>
    </row>
    <row r="322" spans="1:6" x14ac:dyDescent="0.25">
      <c r="A322" s="46" t="str">
        <f>+'2 CATÁLOGO DE MAT.'!A28</f>
        <v>MAACE005</v>
      </c>
      <c r="B322" s="46" t="str">
        <f>+'2 CATÁLOGO DE MAT.'!B28</f>
        <v>ALAMBRÓN</v>
      </c>
      <c r="C322" s="46" t="str">
        <f>+'2 CATÁLOGO DE MAT.'!C28</f>
        <v>KG</v>
      </c>
      <c r="D322" s="58">
        <f>+'2 CATÁLOGO DE MAT.'!D28</f>
        <v>30</v>
      </c>
      <c r="E322" s="90">
        <f>+'OPERACIONES PU'!B311</f>
        <v>1.2672000000000001</v>
      </c>
      <c r="F322" s="59">
        <f t="shared" si="1"/>
        <v>38.016000000000005</v>
      </c>
    </row>
    <row r="323" spans="1:6" x14ac:dyDescent="0.25">
      <c r="A323" s="46" t="str">
        <f>+'2 CATÁLOGO DE MAT.'!A29</f>
        <v>MAACE006</v>
      </c>
      <c r="B323" s="46" t="str">
        <f>+'2 CATÁLOGO DE MAT.'!B29</f>
        <v>ALAMBRE RECOCIDO</v>
      </c>
      <c r="C323" s="46" t="str">
        <f>+'2 CATÁLOGO DE MAT.'!C29</f>
        <v>KG</v>
      </c>
      <c r="D323" s="58">
        <f>+'2 CATÁLOGO DE MAT.'!D29</f>
        <v>35</v>
      </c>
      <c r="E323" s="90">
        <f>30*0.3*0.016*1.1</f>
        <v>0.15840000000000004</v>
      </c>
      <c r="F323" s="59">
        <f t="shared" si="1"/>
        <v>5.5440000000000014</v>
      </c>
    </row>
    <row r="324" spans="1:6" x14ac:dyDescent="0.25">
      <c r="A324" s="46" t="str">
        <f>+'2 CATÁLOGO DE MAT.'!A31</f>
        <v>MAMEN004</v>
      </c>
      <c r="B324" s="46" t="str">
        <f>+'2 CATÁLOGO DE MAT.'!B31</f>
        <v>ACEITE REQUEMADO</v>
      </c>
      <c r="C324" s="46" t="str">
        <f>+'2 CATÁLOGO DE MAT.'!C31</f>
        <v>LTO</v>
      </c>
      <c r="D324" s="58">
        <f>+'2 CATÁLOGO DE MAT.'!D31</f>
        <v>5</v>
      </c>
      <c r="E324" s="90">
        <f>+'OPERACIONES PU'!B314*1.05</f>
        <v>0.10500000000000001</v>
      </c>
      <c r="F324" s="59">
        <f t="shared" si="1"/>
        <v>0.52500000000000002</v>
      </c>
    </row>
    <row r="325" spans="1:6" ht="15.75" thickBot="1" x14ac:dyDescent="0.3">
      <c r="A325" s="49"/>
      <c r="B325" s="63" t="s">
        <v>158</v>
      </c>
      <c r="C325" s="50"/>
      <c r="D325" s="50"/>
      <c r="E325" s="50"/>
      <c r="F325" s="64">
        <f>SUM(F318:F324)</f>
        <v>146.1634267329797</v>
      </c>
    </row>
    <row r="326" spans="1:6" ht="15.75" thickBot="1" x14ac:dyDescent="0.3">
      <c r="A326" s="46"/>
      <c r="B326" s="47"/>
      <c r="C326" s="47"/>
      <c r="D326" s="47"/>
      <c r="E326" s="47"/>
      <c r="F326" s="48"/>
    </row>
    <row r="327" spans="1:6" x14ac:dyDescent="0.25">
      <c r="A327" s="43"/>
      <c r="B327" s="53" t="s">
        <v>159</v>
      </c>
      <c r="C327" s="44"/>
      <c r="D327" s="44"/>
      <c r="E327" s="44"/>
      <c r="F327" s="45"/>
    </row>
    <row r="328" spans="1:6" x14ac:dyDescent="0.25">
      <c r="A328" s="46" t="str">
        <f>+'5 CATÁLOGO DE BÁSICOS'!A12</f>
        <v>CUAD002</v>
      </c>
      <c r="B328" s="46" t="str">
        <f>+'5 CATÁLOGO DE BÁSICOS'!B12</f>
        <v>CUADRILLA No. 2 (1 OF. ALBAÑIL + 1 PEÓN + 2/20 DE CABO DE OFICIOS)</v>
      </c>
      <c r="C328" s="46" t="str">
        <f>+'5 CATÁLOGO DE BÁSICOS'!C12</f>
        <v>JOR</v>
      </c>
      <c r="D328" s="58">
        <f>+'5 CATÁLOGO DE BÁSICOS'!D12</f>
        <v>1431.9562658768475</v>
      </c>
      <c r="E328" s="92">
        <f>1/8</f>
        <v>0.125</v>
      </c>
      <c r="F328" s="59">
        <f>+D328*E328</f>
        <v>178.99453323460594</v>
      </c>
    </row>
    <row r="329" spans="1:6" ht="15.75" thickBot="1" x14ac:dyDescent="0.3">
      <c r="A329" s="49"/>
      <c r="B329" s="63" t="s">
        <v>160</v>
      </c>
      <c r="C329" s="50"/>
      <c r="D329" s="50"/>
      <c r="E329" s="50"/>
      <c r="F329" s="64">
        <f>SUM(F328:F328)</f>
        <v>178.99453323460594</v>
      </c>
    </row>
    <row r="330" spans="1:6" ht="15.75" thickBot="1" x14ac:dyDescent="0.3">
      <c r="A330" s="46"/>
      <c r="B330" s="47"/>
      <c r="C330" s="47"/>
      <c r="D330" s="47"/>
      <c r="E330" s="47"/>
      <c r="F330" s="48"/>
    </row>
    <row r="331" spans="1:6" x14ac:dyDescent="0.25">
      <c r="A331" s="43"/>
      <c r="B331" s="53" t="s">
        <v>161</v>
      </c>
      <c r="C331" s="44"/>
      <c r="D331" s="44"/>
      <c r="E331" s="44"/>
      <c r="F331" s="45"/>
    </row>
    <row r="332" spans="1:6" x14ac:dyDescent="0.25">
      <c r="A332" s="46" t="str">
        <f>+'4 CATÁLOGO DE EQ. Y HERR'!A11</f>
        <v>%MO01</v>
      </c>
      <c r="B332" s="46" t="str">
        <f>+'4 CATÁLOGO DE EQ. Y HERR'!B11</f>
        <v>HERRAMIENTA MENOR (3-5%)</v>
      </c>
      <c r="C332" s="46" t="str">
        <f>+'4 CATÁLOGO DE EQ. Y HERR'!C11</f>
        <v>%</v>
      </c>
      <c r="D332" s="58">
        <f>+F329</f>
        <v>178.99453323460594</v>
      </c>
      <c r="E332" s="47">
        <v>0.03</v>
      </c>
      <c r="F332" s="59">
        <f>+D332*E332</f>
        <v>5.3698359970381784</v>
      </c>
    </row>
    <row r="333" spans="1:6" x14ac:dyDescent="0.25">
      <c r="A333" s="46" t="str">
        <f>+'4 CATÁLOGO DE EQ. Y HERR'!A12</f>
        <v>%MO02</v>
      </c>
      <c r="B333" s="46" t="str">
        <f>+'4 CATÁLOGO DE EQ. Y HERR'!B12</f>
        <v>EQUIPO DE SEGURIDAD (2-3%</v>
      </c>
      <c r="C333" s="46" t="str">
        <f>+'4 CATÁLOGO DE EQ. Y HERR'!C12</f>
        <v>%</v>
      </c>
      <c r="D333" s="58">
        <f>+F329</f>
        <v>178.99453323460594</v>
      </c>
      <c r="E333" s="47">
        <v>0.02</v>
      </c>
      <c r="F333" s="59">
        <f>+D333*E333</f>
        <v>3.5798906646921189</v>
      </c>
    </row>
    <row r="334" spans="1:6" x14ac:dyDescent="0.25">
      <c r="A334" s="46" t="str">
        <f>+'4 CATÁLOGO DE EQ. Y HERR'!A17</f>
        <v>EQ VIBC01</v>
      </c>
      <c r="B334" s="46" t="str">
        <f>+'4 CATÁLOGO DE EQ. Y HERR'!B17</f>
        <v>VIBRADOR PARA CONCRETO CON MOTOR DE DE GASOLINA DE 4 HP</v>
      </c>
      <c r="C334" s="46" t="str">
        <f>+'4 CATÁLOGO DE EQ. Y HERR'!C17</f>
        <v>HORA</v>
      </c>
      <c r="D334" s="58">
        <f>+'4 CATÁLOGO DE EQ. Y HERR'!D17</f>
        <v>123.87</v>
      </c>
      <c r="E334" s="47">
        <f>+'OPERACIONES PU'!C321</f>
        <v>0.10666666666666669</v>
      </c>
      <c r="F334" s="59">
        <f>+D334*E334</f>
        <v>13.212800000000003</v>
      </c>
    </row>
    <row r="335" spans="1:6" ht="15.75" thickBot="1" x14ac:dyDescent="0.3">
      <c r="A335" s="49"/>
      <c r="B335" s="63" t="s">
        <v>162</v>
      </c>
      <c r="C335" s="50"/>
      <c r="D335" s="50"/>
      <c r="E335" s="50"/>
      <c r="F335" s="64">
        <f>SUM(F332:F334)</f>
        <v>22.162526661730301</v>
      </c>
    </row>
    <row r="336" spans="1:6" ht="15.75" thickBot="1" x14ac:dyDescent="0.3">
      <c r="A336" s="46"/>
      <c r="B336" s="47"/>
      <c r="C336" s="47"/>
      <c r="D336" s="47"/>
      <c r="E336" s="47"/>
      <c r="F336" s="48"/>
    </row>
    <row r="337" spans="1:6" x14ac:dyDescent="0.25">
      <c r="A337" s="43"/>
      <c r="B337" s="53" t="s">
        <v>163</v>
      </c>
      <c r="C337" s="44"/>
      <c r="D337" s="44"/>
      <c r="E337" s="44"/>
      <c r="F337" s="45"/>
    </row>
    <row r="338" spans="1:6" x14ac:dyDescent="0.25">
      <c r="A338" s="46" t="str">
        <f>+'5 CATÁLOGO DE BÁSICOS'!A23</f>
        <v>BACON003</v>
      </c>
      <c r="B338" s="46" t="str">
        <f>+'5 CATÁLOGO DE BÁSICOS'!B23</f>
        <v>CONCRETO F'C= 200 KG/CM2, HECHO EN OBRA, A.M. 19 MM, REV. 10-12, R.N.</v>
      </c>
      <c r="C338" s="46" t="str">
        <f>+'5 CATÁLOGO DE BÁSICOS'!C23</f>
        <v>M3</v>
      </c>
      <c r="D338" s="58">
        <f>+'5 CATÁLOGO DE BÁSICOS'!D23</f>
        <v>2814.1630321373495</v>
      </c>
      <c r="E338" s="47">
        <f>0.2*0.2*1.05</f>
        <v>4.200000000000001E-2</v>
      </c>
      <c r="F338" s="59">
        <f>+D338*E338</f>
        <v>118.19484734976871</v>
      </c>
    </row>
    <row r="339" spans="1:6" x14ac:dyDescent="0.25">
      <c r="A339" s="46"/>
      <c r="B339" s="47"/>
      <c r="C339" s="47"/>
      <c r="D339" s="47"/>
      <c r="E339" s="47"/>
      <c r="F339" s="48"/>
    </row>
    <row r="340" spans="1:6" ht="15.75" thickBot="1" x14ac:dyDescent="0.3">
      <c r="A340" s="49"/>
      <c r="B340" s="63" t="s">
        <v>164</v>
      </c>
      <c r="C340" s="50"/>
      <c r="D340" s="50"/>
      <c r="E340" s="50"/>
      <c r="F340" s="64">
        <f>+F338</f>
        <v>118.19484734976871</v>
      </c>
    </row>
    <row r="341" spans="1:6" x14ac:dyDescent="0.25">
      <c r="A341" s="46"/>
      <c r="B341" s="47"/>
      <c r="C341" s="47"/>
      <c r="D341" s="47"/>
      <c r="E341" s="47"/>
      <c r="F341" s="48"/>
    </row>
    <row r="342" spans="1:6" x14ac:dyDescent="0.25">
      <c r="A342" s="46"/>
      <c r="B342" s="339" t="s">
        <v>165</v>
      </c>
      <c r="C342" s="340"/>
      <c r="D342" s="340"/>
      <c r="E342" s="340"/>
      <c r="F342" s="341">
        <f>+F340+F335+F329+F325</f>
        <v>465.51533397908463</v>
      </c>
    </row>
    <row r="343" spans="1:6" x14ac:dyDescent="0.25">
      <c r="A343" s="46"/>
      <c r="B343" s="57" t="s">
        <v>329</v>
      </c>
      <c r="C343" s="47"/>
      <c r="D343" s="47"/>
      <c r="E343" s="344">
        <v>0.12979399999999999</v>
      </c>
      <c r="F343" s="59">
        <f>+F342*E343</f>
        <v>60.421097258481311</v>
      </c>
    </row>
    <row r="344" spans="1:6" x14ac:dyDescent="0.25">
      <c r="A344" s="46"/>
      <c r="B344" s="57" t="s">
        <v>330</v>
      </c>
      <c r="C344" s="47"/>
      <c r="D344" s="47"/>
      <c r="E344" s="47"/>
      <c r="F344" s="59">
        <f>SUM(F342:F343)</f>
        <v>525.9364312375659</v>
      </c>
    </row>
    <row r="345" spans="1:6" x14ac:dyDescent="0.25">
      <c r="A345" s="46"/>
      <c r="B345" s="57" t="s">
        <v>331</v>
      </c>
      <c r="C345" s="47"/>
      <c r="D345" s="47"/>
      <c r="E345" s="344">
        <v>1.091307E-2</v>
      </c>
      <c r="F345" s="59">
        <f>+E345*F344</f>
        <v>5.7395810896457435</v>
      </c>
    </row>
    <row r="346" spans="1:6" x14ac:dyDescent="0.25">
      <c r="A346" s="46"/>
      <c r="B346" s="57" t="s">
        <v>332</v>
      </c>
      <c r="C346" s="47"/>
      <c r="D346" s="47"/>
      <c r="E346" s="47"/>
      <c r="F346" s="59">
        <f>+F344+F345</f>
        <v>531.67601232721165</v>
      </c>
    </row>
    <row r="347" spans="1:6" x14ac:dyDescent="0.25">
      <c r="A347" s="46"/>
      <c r="B347" s="57" t="s">
        <v>333</v>
      </c>
      <c r="C347" s="47"/>
      <c r="D347" s="47"/>
      <c r="E347" s="93">
        <v>0.12</v>
      </c>
      <c r="F347" s="59">
        <f>+F346*E347</f>
        <v>63.801121479265397</v>
      </c>
    </row>
    <row r="348" spans="1:6" x14ac:dyDescent="0.25">
      <c r="A348" s="46"/>
      <c r="B348" s="57" t="s">
        <v>373</v>
      </c>
      <c r="C348" s="47"/>
      <c r="D348" s="47"/>
      <c r="E348" s="93"/>
      <c r="F348" s="59">
        <f>+F346+F347</f>
        <v>595.47713380647701</v>
      </c>
    </row>
    <row r="349" spans="1:6" ht="15.75" thickBot="1" x14ac:dyDescent="0.3">
      <c r="A349" s="49"/>
      <c r="B349" s="57" t="s">
        <v>372</v>
      </c>
      <c r="C349" s="47"/>
      <c r="D349" s="47"/>
      <c r="E349" s="344">
        <v>5.025E-3</v>
      </c>
      <c r="F349" s="59">
        <f>+E349*F348</f>
        <v>2.9922725973775468</v>
      </c>
    </row>
    <row r="350" spans="1:6" x14ac:dyDescent="0.25">
      <c r="B350" s="57" t="s">
        <v>334</v>
      </c>
      <c r="C350" s="47"/>
      <c r="D350" s="47"/>
      <c r="E350" s="47"/>
      <c r="F350" s="59">
        <f>F348+F349</f>
        <v>598.46940640385458</v>
      </c>
    </row>
    <row r="351" spans="1:6" x14ac:dyDescent="0.25">
      <c r="F351" s="23"/>
    </row>
  </sheetData>
  <pageMargins left="0.47244094488188981" right="0.31496062992125984" top="0.74803149606299213" bottom="0.74803149606299213" header="0.31496062992125984" footer="0.31496062992125984"/>
  <pageSetup scale="96" orientation="portrait" r:id="rId1"/>
  <headerFooter>
    <oddHeader>&amp;RPágina &amp;P de &amp;N</oddHeader>
  </headerFooter>
  <rowBreaks count="4" manualBreakCount="4">
    <brk id="42" max="16383" man="1"/>
    <brk id="223" max="16383" man="1"/>
    <brk id="266" max="16383" man="1"/>
    <brk id="309" max="16383" man="1"/>
  </rowBreaks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0"/>
  <sheetViews>
    <sheetView topLeftCell="A28" workbookViewId="0">
      <selection activeCell="A45" sqref="A45:XFD45"/>
    </sheetView>
  </sheetViews>
  <sheetFormatPr baseColWidth="10" defaultRowHeight="15" x14ac:dyDescent="0.25"/>
  <cols>
    <col min="2" max="2" width="13" bestFit="1" customWidth="1"/>
    <col min="8" max="8" width="25.28515625" customWidth="1"/>
  </cols>
  <sheetData>
    <row r="3" spans="2:10" x14ac:dyDescent="0.25">
      <c r="B3" t="s">
        <v>288</v>
      </c>
      <c r="D3">
        <v>62</v>
      </c>
      <c r="H3" t="s">
        <v>308</v>
      </c>
    </row>
    <row r="4" spans="2:10" ht="15.75" thickBot="1" x14ac:dyDescent="0.3">
      <c r="H4" t="s">
        <v>318</v>
      </c>
      <c r="I4" t="s">
        <v>323</v>
      </c>
    </row>
    <row r="5" spans="2:10" x14ac:dyDescent="0.25">
      <c r="B5" s="43" t="s">
        <v>286</v>
      </c>
      <c r="C5" s="45"/>
      <c r="E5" s="43" t="s">
        <v>38</v>
      </c>
      <c r="F5" s="45"/>
      <c r="H5" t="s">
        <v>314</v>
      </c>
    </row>
    <row r="6" spans="2:10" x14ac:dyDescent="0.25">
      <c r="B6" s="46" t="s">
        <v>287</v>
      </c>
      <c r="C6" s="48"/>
      <c r="E6" s="46"/>
      <c r="F6" s="48">
        <v>64</v>
      </c>
      <c r="H6" t="s">
        <v>309</v>
      </c>
      <c r="I6">
        <v>3</v>
      </c>
    </row>
    <row r="7" spans="2:10" x14ac:dyDescent="0.25">
      <c r="B7" s="46" t="s">
        <v>115</v>
      </c>
      <c r="C7" s="48" t="s">
        <v>114</v>
      </c>
      <c r="E7" s="46">
        <v>1</v>
      </c>
      <c r="F7" s="48">
        <v>281</v>
      </c>
      <c r="H7" t="s">
        <v>310</v>
      </c>
      <c r="I7">
        <v>5</v>
      </c>
    </row>
    <row r="8" spans="2:10" x14ac:dyDescent="0.25">
      <c r="B8" s="46">
        <v>1</v>
      </c>
      <c r="C8" s="48">
        <v>80</v>
      </c>
      <c r="E8" s="46">
        <f>+E7*F8/F7</f>
        <v>0.22775800711743771</v>
      </c>
      <c r="F8" s="48">
        <v>64</v>
      </c>
      <c r="H8" t="s">
        <v>311</v>
      </c>
      <c r="I8">
        <v>4</v>
      </c>
    </row>
    <row r="9" spans="2:10" ht="15.75" thickBot="1" x14ac:dyDescent="0.3">
      <c r="B9" s="89">
        <f>+B8*C9/C8</f>
        <v>0.125</v>
      </c>
      <c r="C9" s="51">
        <v>10</v>
      </c>
      <c r="E9" s="49">
        <f>+E8/62</f>
        <v>3.6735162438296404E-3</v>
      </c>
      <c r="F9" s="51"/>
      <c r="H9" t="s">
        <v>312</v>
      </c>
      <c r="I9">
        <v>2</v>
      </c>
    </row>
    <row r="10" spans="2:10" ht="15.75" thickBot="1" x14ac:dyDescent="0.3">
      <c r="H10" t="s">
        <v>313</v>
      </c>
      <c r="I10">
        <v>1</v>
      </c>
      <c r="J10">
        <f>+SUM(I7:I10)</f>
        <v>12</v>
      </c>
    </row>
    <row r="11" spans="2:10" x14ac:dyDescent="0.25">
      <c r="B11" s="43" t="s">
        <v>40</v>
      </c>
      <c r="C11" s="45"/>
      <c r="E11" s="43" t="s">
        <v>34</v>
      </c>
      <c r="F11" s="45"/>
      <c r="H11" t="s">
        <v>315</v>
      </c>
    </row>
    <row r="12" spans="2:10" x14ac:dyDescent="0.25">
      <c r="B12" s="46">
        <v>0.4</v>
      </c>
      <c r="C12" s="48">
        <f>+B12*3</f>
        <v>1.2000000000000002</v>
      </c>
      <c r="E12" s="46">
        <v>1</v>
      </c>
      <c r="F12" s="48">
        <v>165</v>
      </c>
      <c r="H12" t="s">
        <v>316</v>
      </c>
      <c r="I12">
        <v>4</v>
      </c>
    </row>
    <row r="13" spans="2:10" x14ac:dyDescent="0.25">
      <c r="B13" s="46" t="s">
        <v>290</v>
      </c>
      <c r="C13" s="48" t="s">
        <v>289</v>
      </c>
      <c r="E13" s="46">
        <f>+E12*F13/F12</f>
        <v>1.1151515151515152</v>
      </c>
      <c r="F13" s="48">
        <v>184</v>
      </c>
      <c r="H13" t="s">
        <v>317</v>
      </c>
      <c r="I13">
        <v>1</v>
      </c>
      <c r="J13">
        <v>5</v>
      </c>
    </row>
    <row r="14" spans="2:10" x14ac:dyDescent="0.25">
      <c r="B14" s="46"/>
      <c r="C14" s="48"/>
      <c r="E14" s="46">
        <f>+E13/62</f>
        <v>1.7986314760508309E-2</v>
      </c>
      <c r="F14" s="48">
        <f>+E14/2</f>
        <v>8.9931573802541544E-3</v>
      </c>
      <c r="H14">
        <f>17*16</f>
        <v>272</v>
      </c>
      <c r="I14">
        <f>+H14/60</f>
        <v>4.5333333333333332</v>
      </c>
      <c r="J14">
        <f>SUM(J10:J13)</f>
        <v>17</v>
      </c>
    </row>
    <row r="15" spans="2:10" x14ac:dyDescent="0.25">
      <c r="B15" s="46">
        <v>62</v>
      </c>
      <c r="C15" s="48">
        <f>+C12*0.557</f>
        <v>0.66840000000000011</v>
      </c>
      <c r="E15" s="46"/>
      <c r="F15" s="48"/>
      <c r="H15" t="s">
        <v>324</v>
      </c>
    </row>
    <row r="16" spans="2:10" ht="15.75" thickBot="1" x14ac:dyDescent="0.3">
      <c r="B16" s="49">
        <v>1</v>
      </c>
      <c r="C16" s="51">
        <f>+B16*C15/B15</f>
        <v>1.0780645161290325E-2</v>
      </c>
      <c r="E16" s="49"/>
      <c r="F16" s="51"/>
      <c r="H16" t="s">
        <v>319</v>
      </c>
      <c r="I16" s="73">
        <v>15</v>
      </c>
    </row>
    <row r="17" spans="2:9" ht="15.75" thickBot="1" x14ac:dyDescent="0.3">
      <c r="H17" t="s">
        <v>320</v>
      </c>
      <c r="I17" s="73">
        <v>2</v>
      </c>
    </row>
    <row r="18" spans="2:9" x14ac:dyDescent="0.25">
      <c r="B18" s="43" t="s">
        <v>45</v>
      </c>
      <c r="C18" s="45"/>
      <c r="E18" s="43" t="s">
        <v>46</v>
      </c>
      <c r="F18" s="45"/>
      <c r="I18" s="73"/>
    </row>
    <row r="19" spans="2:9" x14ac:dyDescent="0.25">
      <c r="B19" s="46" t="s">
        <v>291</v>
      </c>
      <c r="C19" s="48"/>
      <c r="E19" s="46" t="s">
        <v>114</v>
      </c>
      <c r="F19" s="48" t="s">
        <v>297</v>
      </c>
      <c r="I19" s="73"/>
    </row>
    <row r="20" spans="2:9" x14ac:dyDescent="0.25">
      <c r="B20" s="46" t="s">
        <v>292</v>
      </c>
      <c r="C20" s="48" t="s">
        <v>118</v>
      </c>
      <c r="E20" s="46">
        <v>1</v>
      </c>
      <c r="F20" s="48">
        <v>10</v>
      </c>
      <c r="I20" s="73"/>
    </row>
    <row r="21" spans="2:9" x14ac:dyDescent="0.25">
      <c r="B21" s="46">
        <v>1</v>
      </c>
      <c r="C21" s="48">
        <v>310</v>
      </c>
      <c r="E21" s="46"/>
      <c r="F21" s="48">
        <f>+F20/62/3</f>
        <v>5.3763440860215055E-2</v>
      </c>
      <c r="I21" s="73"/>
    </row>
    <row r="22" spans="2:9" ht="15.75" thickBot="1" x14ac:dyDescent="0.3">
      <c r="B22" s="49">
        <f>+C22*B21/C21</f>
        <v>3.2258064516129032E-3</v>
      </c>
      <c r="C22" s="51">
        <v>1</v>
      </c>
      <c r="E22" s="49"/>
      <c r="F22" s="51"/>
      <c r="I22" s="73"/>
    </row>
    <row r="23" spans="2:9" ht="15.75" thickBot="1" x14ac:dyDescent="0.3">
      <c r="I23" s="73"/>
    </row>
    <row r="24" spans="2:9" x14ac:dyDescent="0.25">
      <c r="B24" s="43" t="s">
        <v>48</v>
      </c>
      <c r="C24" s="45"/>
      <c r="E24" s="43" t="s">
        <v>298</v>
      </c>
      <c r="F24" s="45"/>
      <c r="H24" t="s">
        <v>321</v>
      </c>
      <c r="I24" s="73">
        <v>4</v>
      </c>
    </row>
    <row r="25" spans="2:9" x14ac:dyDescent="0.25">
      <c r="B25" s="46">
        <v>1</v>
      </c>
      <c r="C25" s="48">
        <v>620</v>
      </c>
      <c r="E25" s="46" t="s">
        <v>301</v>
      </c>
      <c r="F25" s="48" t="s">
        <v>302</v>
      </c>
      <c r="H25" t="s">
        <v>322</v>
      </c>
      <c r="I25" s="73">
        <v>8</v>
      </c>
    </row>
    <row r="26" spans="2:9" ht="15.75" thickBot="1" x14ac:dyDescent="0.3">
      <c r="B26" s="49">
        <f>+C26*B25/C25</f>
        <v>1.6129032258064516E-3</v>
      </c>
      <c r="C26" s="51">
        <v>1</v>
      </c>
      <c r="E26" s="46" t="s">
        <v>300</v>
      </c>
      <c r="F26" s="48">
        <v>5</v>
      </c>
      <c r="I26" s="73">
        <f>SUM(I16:I25)</f>
        <v>29</v>
      </c>
    </row>
    <row r="27" spans="2:9" ht="15.75" thickBot="1" x14ac:dyDescent="0.3">
      <c r="E27" s="46" t="s">
        <v>299</v>
      </c>
      <c r="F27" s="48">
        <v>5</v>
      </c>
      <c r="H27" t="s">
        <v>325</v>
      </c>
      <c r="I27">
        <f>+I26/60</f>
        <v>0.48333333333333334</v>
      </c>
    </row>
    <row r="28" spans="2:9" x14ac:dyDescent="0.25">
      <c r="B28" s="43" t="s">
        <v>293</v>
      </c>
      <c r="C28" s="45"/>
      <c r="E28" s="46" t="s">
        <v>303</v>
      </c>
      <c r="F28" s="48">
        <v>80</v>
      </c>
      <c r="H28" t="s">
        <v>326</v>
      </c>
      <c r="I28">
        <f>+I27/8</f>
        <v>6.0416666666666667E-2</v>
      </c>
    </row>
    <row r="29" spans="2:9" x14ac:dyDescent="0.25">
      <c r="B29" s="46">
        <v>62</v>
      </c>
      <c r="C29" s="48">
        <v>8</v>
      </c>
      <c r="E29" s="46" t="s">
        <v>305</v>
      </c>
      <c r="F29" s="48">
        <v>30</v>
      </c>
      <c r="H29" t="s">
        <v>327</v>
      </c>
      <c r="I29">
        <f>+I14/8</f>
        <v>0.56666666666666665</v>
      </c>
    </row>
    <row r="30" spans="2:9" x14ac:dyDescent="0.25">
      <c r="B30" s="46">
        <v>1</v>
      </c>
      <c r="C30" s="48">
        <v>215</v>
      </c>
      <c r="E30" s="46" t="s">
        <v>304</v>
      </c>
      <c r="F30" s="48">
        <v>15</v>
      </c>
      <c r="I30" s="73">
        <f>+I29+I28</f>
        <v>0.62708333333333333</v>
      </c>
    </row>
    <row r="31" spans="2:9" x14ac:dyDescent="0.25">
      <c r="B31" s="46">
        <f>+C31/B30/C30</f>
        <v>3.7209302325581395E-2</v>
      </c>
      <c r="C31" s="48">
        <v>8</v>
      </c>
      <c r="E31" s="46"/>
      <c r="F31" s="48">
        <f>+F30+F29+F28+F26</f>
        <v>130</v>
      </c>
      <c r="I31">
        <f>+I30/62</f>
        <v>1.0114247311827957E-2</v>
      </c>
    </row>
    <row r="32" spans="2:9" ht="15.75" thickBot="1" x14ac:dyDescent="0.3">
      <c r="B32" s="49">
        <f>+B31/62</f>
        <v>6.0015003750937736E-4</v>
      </c>
      <c r="C32" s="51"/>
      <c r="E32" s="88">
        <f>+E33*F32/F33</f>
        <v>0.27083333333333331</v>
      </c>
      <c r="F32" s="48">
        <f>+F31/60</f>
        <v>2.1666666666666665</v>
      </c>
    </row>
    <row r="33" spans="2:6" ht="15.75" thickBot="1" x14ac:dyDescent="0.3">
      <c r="E33" s="46">
        <v>1</v>
      </c>
      <c r="F33" s="48">
        <v>8</v>
      </c>
    </row>
    <row r="34" spans="2:6" x14ac:dyDescent="0.25">
      <c r="B34" s="43" t="s">
        <v>294</v>
      </c>
      <c r="C34" s="45"/>
      <c r="E34" s="46">
        <f>+E32/62</f>
        <v>4.3682795698924727E-3</v>
      </c>
      <c r="F34" s="48"/>
    </row>
    <row r="35" spans="2:6" x14ac:dyDescent="0.25">
      <c r="B35" s="46" t="s">
        <v>295</v>
      </c>
      <c r="C35" s="48"/>
      <c r="E35" s="46" t="s">
        <v>306</v>
      </c>
      <c r="F35" s="48">
        <f>1/E34</f>
        <v>228.92307692307693</v>
      </c>
    </row>
    <row r="36" spans="2:6" ht="15.75" thickBot="1" x14ac:dyDescent="0.3">
      <c r="B36" s="46">
        <v>2.4</v>
      </c>
      <c r="C36" s="48">
        <v>1</v>
      </c>
      <c r="E36" s="49" t="s">
        <v>307</v>
      </c>
      <c r="F36" s="51">
        <f>1/F35</f>
        <v>4.3682795698924727E-3</v>
      </c>
    </row>
    <row r="37" spans="2:6" x14ac:dyDescent="0.25">
      <c r="B37" s="46">
        <f>+C37*B36</f>
        <v>38.4</v>
      </c>
      <c r="C37" s="48">
        <v>16</v>
      </c>
    </row>
    <row r="38" spans="2:6" x14ac:dyDescent="0.25">
      <c r="B38" s="46">
        <v>1</v>
      </c>
      <c r="C38" s="48">
        <v>2.4</v>
      </c>
      <c r="E38">
        <f>1/'9 MATRIZ DE PU'!E30</f>
        <v>263.15789473684208</v>
      </c>
      <c r="F38">
        <v>8</v>
      </c>
    </row>
    <row r="39" spans="2:6" x14ac:dyDescent="0.25">
      <c r="B39" s="46">
        <f>+B38*C39/C38</f>
        <v>16</v>
      </c>
      <c r="C39" s="48">
        <v>38.4</v>
      </c>
      <c r="E39">
        <f>+F39*E38/F38</f>
        <v>32.89473684210526</v>
      </c>
      <c r="F39">
        <v>1</v>
      </c>
    </row>
    <row r="40" spans="2:6" ht="15.75" thickBot="1" x14ac:dyDescent="0.3">
      <c r="B40" s="91">
        <f>+B39/62</f>
        <v>0.25806451612903225</v>
      </c>
      <c r="C40" s="51">
        <f>+B40/20</f>
        <v>1.2903225806451613E-2</v>
      </c>
      <c r="E40">
        <f>1/E39</f>
        <v>3.0400000000000003E-2</v>
      </c>
      <c r="F40" t="s">
        <v>328</v>
      </c>
    </row>
    <row r="41" spans="2:6" x14ac:dyDescent="0.25">
      <c r="B41" s="43" t="s">
        <v>296</v>
      </c>
      <c r="C41" s="45"/>
      <c r="F41" t="s">
        <v>172</v>
      </c>
    </row>
    <row r="42" spans="2:6" x14ac:dyDescent="0.25">
      <c r="B42" s="46">
        <v>16</v>
      </c>
      <c r="C42" s="48">
        <v>1.2</v>
      </c>
    </row>
    <row r="43" spans="2:6" x14ac:dyDescent="0.25">
      <c r="B43" s="46">
        <f>+B42*C42</f>
        <v>19.2</v>
      </c>
      <c r="C43" s="48">
        <f>+B43/2.4</f>
        <v>8</v>
      </c>
      <c r="F43">
        <f>0.12*0.12*0.3</f>
        <v>4.3200000000000001E-3</v>
      </c>
    </row>
    <row r="44" spans="2:6" ht="15.75" thickBot="1" x14ac:dyDescent="0.3">
      <c r="B44" s="49">
        <f>+C43/62</f>
        <v>0.12903225806451613</v>
      </c>
      <c r="C44" s="51">
        <f>+B44/20</f>
        <v>6.4516129032258064E-3</v>
      </c>
      <c r="F44">
        <f>3*F43</f>
        <v>1.2959999999999999E-2</v>
      </c>
    </row>
    <row r="45" spans="2:6" x14ac:dyDescent="0.25">
      <c r="F45">
        <f>+F44/62</f>
        <v>2.0903225806451613E-4</v>
      </c>
    </row>
    <row r="125" spans="2:2" x14ac:dyDescent="0.25">
      <c r="B125" s="94"/>
    </row>
    <row r="218" spans="3:6" x14ac:dyDescent="0.25">
      <c r="C218" s="95"/>
      <c r="D218" t="s">
        <v>335</v>
      </c>
    </row>
    <row r="219" spans="3:6" x14ac:dyDescent="0.25">
      <c r="C219" s="95"/>
      <c r="E219">
        <f>5/0.6</f>
        <v>8.3333333333333339</v>
      </c>
    </row>
    <row r="220" spans="3:6" x14ac:dyDescent="0.25">
      <c r="C220" s="95"/>
      <c r="E220">
        <v>18</v>
      </c>
    </row>
    <row r="221" spans="3:6" x14ac:dyDescent="0.25">
      <c r="C221" s="95"/>
      <c r="E221">
        <f>+E220*0.2</f>
        <v>3.6</v>
      </c>
    </row>
    <row r="222" spans="3:6" x14ac:dyDescent="0.25">
      <c r="C222" s="95"/>
      <c r="E222">
        <f>+E221*0.557</f>
        <v>2.0052000000000003</v>
      </c>
    </row>
    <row r="223" spans="3:6" x14ac:dyDescent="0.25">
      <c r="C223" s="95"/>
      <c r="E223">
        <v>4</v>
      </c>
      <c r="F223">
        <v>2</v>
      </c>
    </row>
    <row r="224" spans="3:6" x14ac:dyDescent="0.25">
      <c r="C224" s="95"/>
      <c r="E224">
        <v>1</v>
      </c>
      <c r="F224">
        <f>+E224*F223/E223</f>
        <v>0.5</v>
      </c>
    </row>
    <row r="225" spans="3:6" x14ac:dyDescent="0.25">
      <c r="C225" s="95"/>
    </row>
    <row r="226" spans="3:6" x14ac:dyDescent="0.25">
      <c r="C226" s="95"/>
      <c r="E226">
        <v>1</v>
      </c>
      <c r="F226">
        <v>160</v>
      </c>
    </row>
    <row r="227" spans="3:6" x14ac:dyDescent="0.25">
      <c r="C227" s="95"/>
      <c r="E227">
        <f>+E226*F227/F226</f>
        <v>9.375E-2</v>
      </c>
      <c r="F227">
        <v>15</v>
      </c>
    </row>
    <row r="228" spans="3:6" x14ac:dyDescent="0.25">
      <c r="C228" s="95"/>
    </row>
    <row r="229" spans="3:6" ht="15.75" thickBot="1" x14ac:dyDescent="0.3"/>
    <row r="230" spans="3:6" ht="15.75" thickTop="1" x14ac:dyDescent="0.25">
      <c r="C230" s="96"/>
      <c r="D230" s="97"/>
    </row>
    <row r="231" spans="3:6" x14ac:dyDescent="0.25">
      <c r="C231" s="98"/>
      <c r="D231" s="99"/>
    </row>
    <row r="232" spans="3:6" x14ac:dyDescent="0.25">
      <c r="C232" s="98"/>
      <c r="D232" s="99"/>
    </row>
    <row r="233" spans="3:6" x14ac:dyDescent="0.25">
      <c r="C233" s="98"/>
      <c r="D233" s="99"/>
    </row>
    <row r="234" spans="3:6" x14ac:dyDescent="0.25">
      <c r="C234" s="98"/>
      <c r="D234" s="99"/>
    </row>
    <row r="235" spans="3:6" x14ac:dyDescent="0.25">
      <c r="C235" s="98"/>
      <c r="D235" s="99"/>
    </row>
    <row r="236" spans="3:6" ht="15.75" thickBot="1" x14ac:dyDescent="0.3">
      <c r="C236" s="100"/>
      <c r="D236" s="101"/>
    </row>
    <row r="237" spans="3:6" ht="15.75" thickTop="1" x14ac:dyDescent="0.25"/>
    <row r="251" spans="2:2" x14ac:dyDescent="0.25">
      <c r="B251" s="76">
        <f>+'9 MATRIZ DE PU'!F259/'9 MATRIZ DE PU'!F253</f>
        <v>1.2791783435284896</v>
      </c>
    </row>
    <row r="294" spans="2:2" x14ac:dyDescent="0.25">
      <c r="B294" s="76">
        <f>+'9 MATRIZ DE PU'!F302/'9 MATRIZ DE PU'!F296</f>
        <v>1.2791783435284896</v>
      </c>
    </row>
    <row r="308" spans="2:3" x14ac:dyDescent="0.25">
      <c r="B308">
        <v>1</v>
      </c>
      <c r="C308">
        <v>260</v>
      </c>
    </row>
    <row r="309" spans="2:3" x14ac:dyDescent="0.25">
      <c r="B309">
        <f>+B308*C309/C308</f>
        <v>7.6923076923076927E-2</v>
      </c>
      <c r="C309">
        <v>20</v>
      </c>
    </row>
    <row r="311" spans="2:3" x14ac:dyDescent="0.25">
      <c r="B311">
        <f>(0.17*4+2*0.06)*0.24*1.1*6</f>
        <v>1.2672000000000001</v>
      </c>
    </row>
    <row r="313" spans="2:3" x14ac:dyDescent="0.25">
      <c r="B313">
        <v>1</v>
      </c>
      <c r="C313">
        <v>4</v>
      </c>
    </row>
    <row r="314" spans="2:3" x14ac:dyDescent="0.25">
      <c r="B314">
        <f>+C314*B313/C313</f>
        <v>0.1</v>
      </c>
      <c r="C314">
        <v>0.4</v>
      </c>
    </row>
    <row r="316" spans="2:3" x14ac:dyDescent="0.25">
      <c r="B316" t="s">
        <v>336</v>
      </c>
      <c r="C316" t="s">
        <v>337</v>
      </c>
    </row>
    <row r="317" spans="2:3" x14ac:dyDescent="0.25">
      <c r="B317">
        <v>3</v>
      </c>
      <c r="C317">
        <v>8</v>
      </c>
    </row>
    <row r="318" spans="2:3" x14ac:dyDescent="0.25">
      <c r="B318">
        <f>+C318*B317/C317</f>
        <v>0.375</v>
      </c>
      <c r="C318">
        <v>1</v>
      </c>
    </row>
    <row r="319" spans="2:3" x14ac:dyDescent="0.25">
      <c r="B319">
        <f>0.2*0.2*1</f>
        <v>4.0000000000000008E-2</v>
      </c>
      <c r="C319">
        <f>+B319*C318/B318</f>
        <v>0.10666666666666669</v>
      </c>
    </row>
    <row r="321" spans="3:3" x14ac:dyDescent="0.25">
      <c r="C321">
        <f>+B319*C318/B318</f>
        <v>0.10666666666666669</v>
      </c>
    </row>
    <row r="340" spans="2:2" x14ac:dyDescent="0.25">
      <c r="B340" s="76">
        <f>+'9 MATRIZ DE PU'!F348/'9 MATRIZ DE PU'!F342</f>
        <v>1.2791783435284894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topLeftCell="A24" zoomScaleNormal="110" zoomScaleSheetLayoutView="100" workbookViewId="0">
      <selection activeCell="G27" sqref="G27"/>
    </sheetView>
  </sheetViews>
  <sheetFormatPr baseColWidth="10" defaultRowHeight="15" x14ac:dyDescent="0.25"/>
  <cols>
    <col min="1" max="1" width="3.28515625" customWidth="1"/>
    <col min="2" max="2" width="10.42578125" customWidth="1"/>
    <col min="3" max="3" width="63.28515625" customWidth="1"/>
    <col min="5" max="5" width="9.85546875" customWidth="1"/>
    <col min="6" max="6" width="12" customWidth="1"/>
    <col min="7" max="7" width="13.42578125" customWidth="1"/>
    <col min="8" max="8" width="4.28515625" customWidth="1"/>
  </cols>
  <sheetData>
    <row r="1" spans="1:8" ht="15.75" thickTop="1" x14ac:dyDescent="0.25">
      <c r="A1" s="130"/>
      <c r="B1" s="307" t="s">
        <v>341</v>
      </c>
      <c r="C1" s="308"/>
      <c r="D1" s="108"/>
      <c r="E1" s="315" t="s">
        <v>340</v>
      </c>
      <c r="F1" s="316"/>
      <c r="G1" s="111" t="s">
        <v>349</v>
      </c>
    </row>
    <row r="2" spans="1:8" ht="15.75" thickBot="1" x14ac:dyDescent="0.3">
      <c r="A2" s="130"/>
      <c r="B2" s="309"/>
      <c r="C2" s="310"/>
      <c r="D2" s="114"/>
      <c r="E2" s="317"/>
      <c r="F2" s="318"/>
      <c r="G2" s="117"/>
    </row>
    <row r="3" spans="1:8" x14ac:dyDescent="0.25">
      <c r="A3" s="130"/>
      <c r="B3" s="311" t="s">
        <v>342</v>
      </c>
      <c r="C3" s="312"/>
      <c r="D3" s="114"/>
      <c r="E3" s="317"/>
      <c r="F3" s="318"/>
      <c r="G3" s="117"/>
    </row>
    <row r="4" spans="1:8" ht="15.75" thickBot="1" x14ac:dyDescent="0.3">
      <c r="A4" s="130"/>
      <c r="B4" s="309"/>
      <c r="C4" s="310"/>
      <c r="D4" s="114"/>
      <c r="E4" s="317"/>
      <c r="F4" s="318"/>
      <c r="G4" s="117"/>
    </row>
    <row r="5" spans="1:8" ht="15.75" thickBot="1" x14ac:dyDescent="0.3">
      <c r="A5" s="130"/>
      <c r="B5" s="313" t="s">
        <v>343</v>
      </c>
      <c r="C5" s="314"/>
      <c r="D5" s="122" t="s">
        <v>345</v>
      </c>
      <c r="E5" s="123"/>
      <c r="F5" s="124" t="s">
        <v>346</v>
      </c>
      <c r="G5" s="125"/>
    </row>
    <row r="6" spans="1:8" ht="15.75" thickBot="1" x14ac:dyDescent="0.3">
      <c r="A6" s="130"/>
      <c r="B6" s="126" t="s">
        <v>344</v>
      </c>
      <c r="C6" s="127"/>
      <c r="D6" s="122" t="s">
        <v>347</v>
      </c>
      <c r="E6" s="123"/>
      <c r="F6" s="128" t="s">
        <v>348</v>
      </c>
      <c r="G6" s="129"/>
    </row>
    <row r="7" spans="1:8" ht="16.5" thickTop="1" thickBot="1" x14ac:dyDescent="0.3"/>
    <row r="8" spans="1:8" ht="17.25" thickTop="1" thickBot="1" x14ac:dyDescent="0.3">
      <c r="A8" s="1"/>
      <c r="B8" s="131"/>
      <c r="C8" s="25" t="s">
        <v>338</v>
      </c>
      <c r="D8" s="26"/>
      <c r="E8" s="26"/>
      <c r="F8" s="26"/>
      <c r="G8" s="27"/>
    </row>
    <row r="9" spans="1:8" ht="16.5" thickTop="1" thickBot="1" x14ac:dyDescent="0.3">
      <c r="A9" s="1"/>
      <c r="B9" s="2" t="s">
        <v>0</v>
      </c>
      <c r="C9" s="3" t="s">
        <v>1</v>
      </c>
      <c r="D9" s="3" t="s">
        <v>2</v>
      </c>
      <c r="E9" s="4" t="s">
        <v>3</v>
      </c>
      <c r="F9" s="16" t="s">
        <v>9</v>
      </c>
      <c r="G9" s="5" t="s">
        <v>4</v>
      </c>
    </row>
    <row r="10" spans="1:8" ht="15.75" thickTop="1" x14ac:dyDescent="0.25">
      <c r="A10" s="1"/>
      <c r="B10" s="102"/>
      <c r="C10" s="105" t="s">
        <v>339</v>
      </c>
      <c r="D10" s="102"/>
      <c r="E10" s="103"/>
      <c r="F10" s="103"/>
      <c r="G10" s="104"/>
    </row>
    <row r="11" spans="1:8" ht="15.75" x14ac:dyDescent="0.25">
      <c r="A11" s="1"/>
      <c r="B11" s="6">
        <v>1</v>
      </c>
      <c r="C11" s="7" t="s">
        <v>7</v>
      </c>
      <c r="D11" s="8"/>
      <c r="E11" s="9"/>
      <c r="F11" s="9"/>
      <c r="G11" s="10">
        <f>SUM(G12:G13)</f>
        <v>22133.039394980602</v>
      </c>
    </row>
    <row r="12" spans="1:8" ht="50.25" customHeight="1" x14ac:dyDescent="0.25">
      <c r="A12" s="1"/>
      <c r="B12" s="11">
        <v>1.0009999999999999</v>
      </c>
      <c r="C12" s="12" t="s">
        <v>17</v>
      </c>
      <c r="D12" s="11" t="s">
        <v>5</v>
      </c>
      <c r="E12" s="13">
        <v>361.15</v>
      </c>
      <c r="F12" s="13">
        <f>+'9 MATRIZ DE PU'!F52</f>
        <v>45.799002993055709</v>
      </c>
      <c r="G12" s="14">
        <f>+E12*F12</f>
        <v>16540.309930942069</v>
      </c>
      <c r="H12" s="15"/>
    </row>
    <row r="13" spans="1:8" ht="41.25" customHeight="1" x14ac:dyDescent="0.25">
      <c r="B13" s="11">
        <v>1.002</v>
      </c>
      <c r="C13" s="12" t="s">
        <v>8</v>
      </c>
      <c r="D13" s="11" t="s">
        <v>5</v>
      </c>
      <c r="E13" s="13">
        <v>361.15</v>
      </c>
      <c r="F13" s="13">
        <f>+'9 MATRIZ DE PU'!F135</f>
        <v>15.485890804481615</v>
      </c>
      <c r="G13" s="14">
        <f>+E13*F13</f>
        <v>5592.7294640385353</v>
      </c>
    </row>
    <row r="14" spans="1:8" ht="19.5" customHeight="1" x14ac:dyDescent="0.25">
      <c r="B14" s="11"/>
      <c r="C14" s="12"/>
      <c r="D14" s="11"/>
      <c r="E14" s="13"/>
      <c r="F14" s="13"/>
      <c r="G14" s="14"/>
    </row>
    <row r="15" spans="1:8" ht="15.75" x14ac:dyDescent="0.25">
      <c r="A15" s="1"/>
      <c r="B15" s="6">
        <v>2</v>
      </c>
      <c r="C15" s="7" t="s">
        <v>16</v>
      </c>
      <c r="D15" s="8"/>
      <c r="E15" s="9"/>
      <c r="F15" s="9"/>
      <c r="G15" s="10">
        <f>SUM(G16:G17)</f>
        <v>23457.843667445097</v>
      </c>
    </row>
    <row r="16" spans="1:8" ht="60" x14ac:dyDescent="0.25">
      <c r="B16" s="18">
        <v>2.0019999999999998</v>
      </c>
      <c r="C16" s="17" t="s">
        <v>19</v>
      </c>
      <c r="D16" s="18" t="s">
        <v>6</v>
      </c>
      <c r="E16" s="18">
        <v>247.02</v>
      </c>
      <c r="F16" s="24">
        <f>+'9 MATRIZ DE PU'!F179</f>
        <v>93.396066704449254</v>
      </c>
      <c r="G16" s="14">
        <f t="shared" ref="G16:G17" si="0">+E16*F16</f>
        <v>23070.696397333057</v>
      </c>
    </row>
    <row r="17" spans="1:7" ht="60" x14ac:dyDescent="0.25">
      <c r="B17" s="18">
        <v>2.0030000000000001</v>
      </c>
      <c r="C17" s="19" t="s">
        <v>18</v>
      </c>
      <c r="D17" s="18" t="s">
        <v>6</v>
      </c>
      <c r="E17" s="18">
        <v>1</v>
      </c>
      <c r="F17" s="24">
        <f>+'9 MATRIZ DE PU'!F220</f>
        <v>387.14727011204042</v>
      </c>
      <c r="G17" s="14">
        <f t="shared" si="0"/>
        <v>387.14727011204042</v>
      </c>
    </row>
    <row r="18" spans="1:7" x14ac:dyDescent="0.25">
      <c r="B18" s="18"/>
      <c r="C18" s="20"/>
      <c r="D18" s="18"/>
      <c r="E18" s="18"/>
      <c r="F18" s="18"/>
    </row>
    <row r="19" spans="1:7" ht="15.75" x14ac:dyDescent="0.25">
      <c r="A19" s="1"/>
      <c r="B19" s="6">
        <v>3</v>
      </c>
      <c r="C19" s="7" t="s">
        <v>10</v>
      </c>
      <c r="D19" s="8"/>
      <c r="E19" s="9"/>
      <c r="F19" s="9"/>
      <c r="G19" s="10">
        <f>SUM(G20:G21)</f>
        <v>464178.02166005067</v>
      </c>
    </row>
    <row r="20" spans="1:7" ht="45" x14ac:dyDescent="0.25">
      <c r="B20" s="18">
        <v>3.0009999999999999</v>
      </c>
      <c r="C20" s="20" t="s">
        <v>11</v>
      </c>
      <c r="D20" s="18" t="s">
        <v>5</v>
      </c>
      <c r="E20" s="18">
        <v>160.25</v>
      </c>
      <c r="F20" s="24">
        <f>+'9 MATRIZ DE PU'!F261</f>
        <v>290.33054004613064</v>
      </c>
      <c r="G20" s="14">
        <f t="shared" ref="G20:G21" si="1">+E20*F20</f>
        <v>46525.469042392433</v>
      </c>
    </row>
    <row r="21" spans="1:7" ht="45" x14ac:dyDescent="0.25">
      <c r="B21" s="18">
        <v>3.0019999999999998</v>
      </c>
      <c r="C21" s="226" t="s">
        <v>12</v>
      </c>
      <c r="D21" s="18" t="s">
        <v>6</v>
      </c>
      <c r="E21" s="18">
        <v>156.53</v>
      </c>
      <c r="F21" s="24">
        <f>+'9 MATRIZ DE PU'!F304</f>
        <v>2668.1949314358794</v>
      </c>
      <c r="G21" s="14">
        <f t="shared" si="1"/>
        <v>417652.55261765822</v>
      </c>
    </row>
    <row r="22" spans="1:7" x14ac:dyDescent="0.25">
      <c r="B22" s="18"/>
      <c r="C22" s="20"/>
      <c r="D22" s="18"/>
      <c r="E22" s="18"/>
      <c r="F22" s="18"/>
    </row>
    <row r="23" spans="1:7" ht="15.75" x14ac:dyDescent="0.25">
      <c r="B23" s="6">
        <v>4</v>
      </c>
      <c r="C23" s="7" t="s">
        <v>13</v>
      </c>
      <c r="D23" s="8"/>
      <c r="E23" s="9"/>
      <c r="F23" s="9"/>
      <c r="G23" s="10">
        <f>SUM(G24:G25)</f>
        <v>146369.11605707594</v>
      </c>
    </row>
    <row r="24" spans="1:7" ht="75" x14ac:dyDescent="0.25">
      <c r="B24" s="18">
        <v>4.0010000000000003</v>
      </c>
      <c r="C24" s="226" t="s">
        <v>14</v>
      </c>
      <c r="D24" s="18" t="s">
        <v>20</v>
      </c>
      <c r="E24" s="18">
        <v>204.42</v>
      </c>
      <c r="F24" s="24">
        <f>+'9 MATRIZ DE PU'!F350</f>
        <v>598.46940640385458</v>
      </c>
      <c r="G24" s="14">
        <f t="shared" ref="G24:G25" si="2">+E24*F24</f>
        <v>122339.11605707594</v>
      </c>
    </row>
    <row r="25" spans="1:7" ht="75" x14ac:dyDescent="0.25">
      <c r="B25" s="18">
        <v>4.0019999999999998</v>
      </c>
      <c r="C25" s="20" t="s">
        <v>15</v>
      </c>
      <c r="D25" s="18" t="s">
        <v>20</v>
      </c>
      <c r="E25" s="18">
        <v>22.25</v>
      </c>
      <c r="F25" s="24">
        <v>1080</v>
      </c>
      <c r="G25" s="14">
        <f t="shared" si="2"/>
        <v>24030</v>
      </c>
    </row>
    <row r="26" spans="1:7" x14ac:dyDescent="0.25">
      <c r="C26" s="21" t="s">
        <v>22</v>
      </c>
      <c r="D26" s="18"/>
      <c r="E26" s="18"/>
      <c r="F26" s="18"/>
      <c r="G26" s="22">
        <f>+G23+G19+G15+G11</f>
        <v>656138.0207795524</v>
      </c>
    </row>
    <row r="27" spans="1:7" x14ac:dyDescent="0.25">
      <c r="C27" t="s">
        <v>23</v>
      </c>
      <c r="D27" s="18"/>
      <c r="E27" s="18"/>
      <c r="F27" s="18"/>
      <c r="G27" s="22">
        <f>+G26*0.16</f>
        <v>104982.08332472839</v>
      </c>
    </row>
    <row r="28" spans="1:7" x14ac:dyDescent="0.25">
      <c r="C28" t="s">
        <v>21</v>
      </c>
      <c r="D28" s="18"/>
      <c r="E28" s="18"/>
      <c r="F28" s="18"/>
      <c r="G28" s="23">
        <f>+G26+G27</f>
        <v>761120.10410428082</v>
      </c>
    </row>
    <row r="29" spans="1:7" x14ac:dyDescent="0.25">
      <c r="C29" s="132" t="s">
        <v>350</v>
      </c>
    </row>
  </sheetData>
  <mergeCells count="4">
    <mergeCell ref="B1:C2"/>
    <mergeCell ref="B3:C4"/>
    <mergeCell ref="B5:C5"/>
    <mergeCell ref="E1:F4"/>
  </mergeCells>
  <phoneticPr fontId="7" type="noConversion"/>
  <pageMargins left="0.31496062992125984" right="0.23622047244094491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7" zoomScale="130" zoomScaleNormal="130" workbookViewId="0">
      <selection activeCell="F11" sqref="F11:F17"/>
    </sheetView>
  </sheetViews>
  <sheetFormatPr baseColWidth="10" defaultRowHeight="15" x14ac:dyDescent="0.25"/>
  <cols>
    <col min="2" max="2" width="37" customWidth="1"/>
    <col min="6" max="6" width="14" customWidth="1"/>
  </cols>
  <sheetData>
    <row r="1" spans="1:6" ht="15.75" thickTop="1" x14ac:dyDescent="0.25">
      <c r="A1" s="106" t="s">
        <v>341</v>
      </c>
      <c r="B1" s="107"/>
      <c r="C1" s="108"/>
      <c r="D1" s="109" t="s">
        <v>340</v>
      </c>
      <c r="E1" s="110"/>
      <c r="F1" s="111" t="s">
        <v>349</v>
      </c>
    </row>
    <row r="2" spans="1:6" ht="15.75" thickBot="1" x14ac:dyDescent="0.3">
      <c r="A2" s="112"/>
      <c r="B2" s="113"/>
      <c r="C2" s="114"/>
      <c r="D2" s="115"/>
      <c r="E2" s="116"/>
      <c r="F2" s="117"/>
    </row>
    <row r="3" spans="1:6" x14ac:dyDescent="0.25">
      <c r="A3" s="118" t="s">
        <v>342</v>
      </c>
      <c r="B3" s="119"/>
      <c r="C3" s="114"/>
      <c r="D3" s="115"/>
      <c r="E3" s="116"/>
      <c r="F3" s="117"/>
    </row>
    <row r="4" spans="1:6" ht="15.75" thickBot="1" x14ac:dyDescent="0.3">
      <c r="A4" s="112"/>
      <c r="B4" s="113"/>
      <c r="C4" s="114"/>
      <c r="D4" s="115"/>
      <c r="E4" s="116"/>
      <c r="F4" s="117"/>
    </row>
    <row r="5" spans="1:6" ht="15.75" thickBot="1" x14ac:dyDescent="0.3">
      <c r="A5" s="120" t="s">
        <v>343</v>
      </c>
      <c r="B5" s="121"/>
      <c r="C5" s="122" t="s">
        <v>345</v>
      </c>
      <c r="D5" s="123"/>
      <c r="E5" s="124" t="s">
        <v>346</v>
      </c>
      <c r="F5" s="125"/>
    </row>
    <row r="6" spans="1:6" ht="15.75" thickBot="1" x14ac:dyDescent="0.3">
      <c r="A6" s="126" t="s">
        <v>344</v>
      </c>
      <c r="B6" s="127"/>
      <c r="C6" s="122" t="s">
        <v>347</v>
      </c>
      <c r="D6" s="123"/>
      <c r="E6" s="128" t="s">
        <v>348</v>
      </c>
      <c r="F6" s="129"/>
    </row>
    <row r="7" spans="1:6" ht="16.5" thickTop="1" thickBot="1" x14ac:dyDescent="0.3"/>
    <row r="8" spans="1:6" x14ac:dyDescent="0.25">
      <c r="B8" s="21" t="s">
        <v>351</v>
      </c>
      <c r="C8" s="319" t="s">
        <v>367</v>
      </c>
      <c r="D8" s="320"/>
      <c r="E8" s="320"/>
      <c r="F8" s="321"/>
    </row>
    <row r="9" spans="1:6" ht="15.75" thickBot="1" x14ac:dyDescent="0.3">
      <c r="C9" s="322"/>
      <c r="D9" s="323"/>
      <c r="E9" s="323"/>
      <c r="F9" s="324"/>
    </row>
    <row r="10" spans="1:6" ht="31.5" thickTop="1" thickBot="1" x14ac:dyDescent="0.3">
      <c r="A10" s="41" t="s">
        <v>24</v>
      </c>
      <c r="B10" s="42" t="s">
        <v>25</v>
      </c>
      <c r="C10" s="301" t="s">
        <v>26</v>
      </c>
      <c r="D10" s="301" t="s">
        <v>27</v>
      </c>
      <c r="E10" s="301" t="s">
        <v>152</v>
      </c>
      <c r="F10" s="302" t="s">
        <v>153</v>
      </c>
    </row>
    <row r="11" spans="1:6" ht="15.75" thickTop="1" x14ac:dyDescent="0.25">
      <c r="A11" s="37" t="s">
        <v>85</v>
      </c>
      <c r="B11" s="38" t="s">
        <v>33</v>
      </c>
      <c r="C11" s="38" t="s">
        <v>113</v>
      </c>
      <c r="D11" s="39">
        <f>3600/1.16</f>
        <v>3103.4482758620693</v>
      </c>
      <c r="E11" s="39">
        <f>+D11*0.16</f>
        <v>496.5517241379311</v>
      </c>
      <c r="F11" s="40">
        <f>+D11+E11</f>
        <v>3600.0000000000005</v>
      </c>
    </row>
    <row r="12" spans="1:6" x14ac:dyDescent="0.25">
      <c r="A12" s="31" t="s">
        <v>86</v>
      </c>
      <c r="B12" s="29" t="s">
        <v>34</v>
      </c>
      <c r="C12" s="29" t="s">
        <v>114</v>
      </c>
      <c r="D12" s="30">
        <f>60/1.16</f>
        <v>51.724137931034484</v>
      </c>
      <c r="E12" s="30">
        <f t="shared" ref="E12:E38" si="0">+D12*0.16</f>
        <v>8.2758620689655178</v>
      </c>
      <c r="F12" s="32">
        <f t="shared" ref="F12:F38" si="1">+D12+E12</f>
        <v>60</v>
      </c>
    </row>
    <row r="13" spans="1:6" x14ac:dyDescent="0.25">
      <c r="A13" s="31" t="s">
        <v>87</v>
      </c>
      <c r="B13" s="29" t="s">
        <v>35</v>
      </c>
      <c r="C13" s="29" t="s">
        <v>114</v>
      </c>
      <c r="D13" s="30">
        <f>88.9/1.16</f>
        <v>76.637931034482776</v>
      </c>
      <c r="E13" s="30">
        <f t="shared" si="0"/>
        <v>12.262068965517244</v>
      </c>
      <c r="F13" s="32">
        <f t="shared" si="1"/>
        <v>88.90000000000002</v>
      </c>
    </row>
    <row r="14" spans="1:6" x14ac:dyDescent="0.25">
      <c r="A14" s="31" t="s">
        <v>88</v>
      </c>
      <c r="B14" s="29" t="s">
        <v>36</v>
      </c>
      <c r="C14" s="29" t="s">
        <v>114</v>
      </c>
      <c r="D14" s="30">
        <f>63/1.16</f>
        <v>54.310344827586214</v>
      </c>
      <c r="E14" s="30">
        <f t="shared" si="0"/>
        <v>8.6896551724137936</v>
      </c>
      <c r="F14" s="32">
        <f t="shared" si="1"/>
        <v>63.000000000000007</v>
      </c>
    </row>
    <row r="15" spans="1:6" x14ac:dyDescent="0.25">
      <c r="A15" s="31" t="s">
        <v>89</v>
      </c>
      <c r="B15" s="29" t="s">
        <v>37</v>
      </c>
      <c r="C15" s="29" t="s">
        <v>114</v>
      </c>
      <c r="D15" s="30">
        <f>129/1.16</f>
        <v>111.20689655172414</v>
      </c>
      <c r="E15" s="30">
        <f t="shared" si="0"/>
        <v>17.793103448275865</v>
      </c>
      <c r="F15" s="32">
        <f t="shared" si="1"/>
        <v>129</v>
      </c>
    </row>
    <row r="16" spans="1:6" x14ac:dyDescent="0.25">
      <c r="A16" s="31" t="s">
        <v>90</v>
      </c>
      <c r="B16" s="29" t="s">
        <v>38</v>
      </c>
      <c r="C16" s="29" t="s">
        <v>115</v>
      </c>
      <c r="D16" s="30">
        <f>48/1.16</f>
        <v>41.379310344827587</v>
      </c>
      <c r="E16" s="30">
        <f t="shared" si="0"/>
        <v>6.6206896551724137</v>
      </c>
      <c r="F16" s="32">
        <f t="shared" si="1"/>
        <v>48</v>
      </c>
    </row>
    <row r="17" spans="1:6" x14ac:dyDescent="0.25">
      <c r="A17" s="31" t="s">
        <v>91</v>
      </c>
      <c r="B17" s="29" t="s">
        <v>39</v>
      </c>
      <c r="C17" s="29" t="s">
        <v>115</v>
      </c>
      <c r="D17" s="30">
        <f>48/1.16</f>
        <v>41.379310344827587</v>
      </c>
      <c r="E17" s="30">
        <f t="shared" si="0"/>
        <v>6.6206896551724137</v>
      </c>
      <c r="F17" s="32">
        <f t="shared" si="1"/>
        <v>48</v>
      </c>
    </row>
    <row r="18" spans="1:6" x14ac:dyDescent="0.25">
      <c r="A18" s="31" t="s">
        <v>92</v>
      </c>
      <c r="B18" s="29" t="s">
        <v>40</v>
      </c>
      <c r="C18" s="29" t="s">
        <v>115</v>
      </c>
      <c r="D18" s="30">
        <v>20.21</v>
      </c>
      <c r="E18" s="30">
        <f t="shared" si="0"/>
        <v>3.2336</v>
      </c>
      <c r="F18" s="32">
        <f t="shared" si="1"/>
        <v>23.4436</v>
      </c>
    </row>
    <row r="19" spans="1:6" x14ac:dyDescent="0.25">
      <c r="A19" s="31" t="s">
        <v>93</v>
      </c>
      <c r="B19" s="29" t="s">
        <v>41</v>
      </c>
      <c r="C19" s="29" t="s">
        <v>113</v>
      </c>
      <c r="D19" s="30">
        <f>4600/1.16</f>
        <v>3965.5172413793107</v>
      </c>
      <c r="E19" s="30">
        <f t="shared" si="0"/>
        <v>634.48275862068976</v>
      </c>
      <c r="F19" s="32">
        <f t="shared" si="1"/>
        <v>4600</v>
      </c>
    </row>
    <row r="20" spans="1:6" x14ac:dyDescent="0.25">
      <c r="A20" s="31" t="s">
        <v>94</v>
      </c>
      <c r="B20" s="29" t="s">
        <v>42</v>
      </c>
      <c r="C20" s="29" t="s">
        <v>76</v>
      </c>
      <c r="D20" s="30">
        <v>400</v>
      </c>
      <c r="E20" s="30">
        <f t="shared" si="0"/>
        <v>64</v>
      </c>
      <c r="F20" s="32">
        <f t="shared" si="1"/>
        <v>464</v>
      </c>
    </row>
    <row r="21" spans="1:6" x14ac:dyDescent="0.25">
      <c r="A21" s="31" t="s">
        <v>95</v>
      </c>
      <c r="B21" s="29" t="s">
        <v>43</v>
      </c>
      <c r="C21" s="29" t="s">
        <v>76</v>
      </c>
      <c r="D21" s="30">
        <v>650</v>
      </c>
      <c r="E21" s="30">
        <f t="shared" si="0"/>
        <v>104</v>
      </c>
      <c r="F21" s="32">
        <f t="shared" si="1"/>
        <v>754</v>
      </c>
    </row>
    <row r="22" spans="1:6" x14ac:dyDescent="0.25">
      <c r="A22" s="31" t="s">
        <v>96</v>
      </c>
      <c r="B22" s="29" t="s">
        <v>44</v>
      </c>
      <c r="C22" s="29" t="s">
        <v>76</v>
      </c>
      <c r="D22" s="30">
        <v>80</v>
      </c>
      <c r="E22" s="30">
        <f t="shared" si="0"/>
        <v>12.8</v>
      </c>
      <c r="F22" s="32">
        <f t="shared" si="1"/>
        <v>92.8</v>
      </c>
    </row>
    <row r="23" spans="1:6" x14ac:dyDescent="0.25">
      <c r="A23" s="31" t="s">
        <v>97</v>
      </c>
      <c r="B23" s="29" t="s">
        <v>45</v>
      </c>
      <c r="C23" s="29" t="s">
        <v>114</v>
      </c>
      <c r="D23" s="30">
        <f>63/1.16</f>
        <v>54.310344827586214</v>
      </c>
      <c r="E23" s="30">
        <f t="shared" si="0"/>
        <v>8.6896551724137936</v>
      </c>
      <c r="F23" s="32">
        <f t="shared" si="1"/>
        <v>63.000000000000007</v>
      </c>
    </row>
    <row r="24" spans="1:6" x14ac:dyDescent="0.25">
      <c r="A24" s="31" t="s">
        <v>98</v>
      </c>
      <c r="B24" s="29" t="s">
        <v>46</v>
      </c>
      <c r="C24" s="29" t="s">
        <v>116</v>
      </c>
      <c r="D24" s="30">
        <v>7</v>
      </c>
      <c r="E24" s="30">
        <f t="shared" si="0"/>
        <v>1.1200000000000001</v>
      </c>
      <c r="F24" s="32">
        <f t="shared" si="1"/>
        <v>8.120000000000001</v>
      </c>
    </row>
    <row r="25" spans="1:6" x14ac:dyDescent="0.25">
      <c r="A25" s="31" t="s">
        <v>99</v>
      </c>
      <c r="B25" s="29" t="s">
        <v>47</v>
      </c>
      <c r="C25" s="29" t="s">
        <v>115</v>
      </c>
      <c r="D25" s="30">
        <v>86</v>
      </c>
      <c r="E25" s="30">
        <f t="shared" si="0"/>
        <v>13.76</v>
      </c>
      <c r="F25" s="32">
        <f t="shared" si="1"/>
        <v>99.76</v>
      </c>
    </row>
    <row r="26" spans="1:6" x14ac:dyDescent="0.25">
      <c r="A26" s="31" t="s">
        <v>100</v>
      </c>
      <c r="B26" s="29" t="s">
        <v>48</v>
      </c>
      <c r="C26" s="29" t="s">
        <v>114</v>
      </c>
      <c r="D26" s="30">
        <v>12</v>
      </c>
      <c r="E26" s="30">
        <f t="shared" si="0"/>
        <v>1.92</v>
      </c>
      <c r="F26" s="32">
        <f t="shared" si="1"/>
        <v>13.92</v>
      </c>
    </row>
    <row r="27" spans="1:6" x14ac:dyDescent="0.25">
      <c r="A27" s="31" t="s">
        <v>101</v>
      </c>
      <c r="B27" s="29" t="s">
        <v>58</v>
      </c>
      <c r="C27" s="29" t="s">
        <v>76</v>
      </c>
      <c r="D27" s="30">
        <v>520</v>
      </c>
      <c r="E27" s="30">
        <f t="shared" si="0"/>
        <v>83.2</v>
      </c>
      <c r="F27" s="32">
        <f t="shared" si="1"/>
        <v>603.20000000000005</v>
      </c>
    </row>
    <row r="28" spans="1:6" x14ac:dyDescent="0.25">
      <c r="A28" s="31" t="s">
        <v>102</v>
      </c>
      <c r="B28" s="29" t="s">
        <v>59</v>
      </c>
      <c r="C28" s="29" t="s">
        <v>115</v>
      </c>
      <c r="D28" s="30">
        <v>30</v>
      </c>
      <c r="E28" s="30">
        <f t="shared" si="0"/>
        <v>4.8</v>
      </c>
      <c r="F28" s="32">
        <f t="shared" si="1"/>
        <v>34.799999999999997</v>
      </c>
    </row>
    <row r="29" spans="1:6" x14ac:dyDescent="0.25">
      <c r="A29" s="31" t="s">
        <v>103</v>
      </c>
      <c r="B29" s="29" t="s">
        <v>60</v>
      </c>
      <c r="C29" s="29" t="s">
        <v>115</v>
      </c>
      <c r="D29" s="30">
        <v>35</v>
      </c>
      <c r="E29" s="30">
        <f t="shared" si="0"/>
        <v>5.6000000000000005</v>
      </c>
      <c r="F29" s="32">
        <f t="shared" si="1"/>
        <v>40.6</v>
      </c>
    </row>
    <row r="30" spans="1:6" x14ac:dyDescent="0.25">
      <c r="A30" s="31" t="s">
        <v>104</v>
      </c>
      <c r="B30" s="29" t="s">
        <v>61</v>
      </c>
      <c r="C30" s="29" t="s">
        <v>115</v>
      </c>
      <c r="D30" s="30">
        <f>48/1.16</f>
        <v>41.379310344827587</v>
      </c>
      <c r="E30" s="30">
        <f t="shared" si="0"/>
        <v>6.6206896551724137</v>
      </c>
      <c r="F30" s="32">
        <f t="shared" si="1"/>
        <v>48</v>
      </c>
    </row>
    <row r="31" spans="1:6" x14ac:dyDescent="0.25">
      <c r="A31" s="31" t="s">
        <v>106</v>
      </c>
      <c r="B31" s="29" t="s">
        <v>62</v>
      </c>
      <c r="C31" s="29" t="s">
        <v>117</v>
      </c>
      <c r="D31" s="30">
        <v>5</v>
      </c>
      <c r="E31" s="30">
        <f t="shared" si="0"/>
        <v>0.8</v>
      </c>
      <c r="F31" s="32">
        <f t="shared" si="1"/>
        <v>5.8</v>
      </c>
    </row>
    <row r="32" spans="1:6" x14ac:dyDescent="0.25">
      <c r="A32" s="31" t="s">
        <v>105</v>
      </c>
      <c r="B32" s="29" t="s">
        <v>64</v>
      </c>
      <c r="C32" s="29" t="s">
        <v>114</v>
      </c>
      <c r="D32" s="30">
        <v>150</v>
      </c>
      <c r="E32" s="30">
        <f t="shared" si="0"/>
        <v>24</v>
      </c>
      <c r="F32" s="32">
        <f t="shared" si="1"/>
        <v>174</v>
      </c>
    </row>
    <row r="33" spans="1:6" x14ac:dyDescent="0.25">
      <c r="A33" s="31" t="s">
        <v>107</v>
      </c>
      <c r="B33" s="29" t="s">
        <v>77</v>
      </c>
      <c r="C33" s="29" t="s">
        <v>114</v>
      </c>
      <c r="D33" s="30">
        <v>16</v>
      </c>
      <c r="E33" s="30">
        <f t="shared" si="0"/>
        <v>2.56</v>
      </c>
      <c r="F33" s="32">
        <f t="shared" si="1"/>
        <v>18.559999999999999</v>
      </c>
    </row>
    <row r="34" spans="1:6" x14ac:dyDescent="0.25">
      <c r="A34" s="31" t="s">
        <v>108</v>
      </c>
      <c r="B34" s="29" t="s">
        <v>78</v>
      </c>
      <c r="C34" s="29" t="s">
        <v>114</v>
      </c>
      <c r="D34" s="30">
        <v>44.97</v>
      </c>
      <c r="E34" s="30">
        <f t="shared" si="0"/>
        <v>7.1951999999999998</v>
      </c>
      <c r="F34" s="32">
        <f t="shared" si="1"/>
        <v>52.165199999999999</v>
      </c>
    </row>
    <row r="35" spans="1:6" x14ac:dyDescent="0.25">
      <c r="A35" s="31" t="s">
        <v>109</v>
      </c>
      <c r="B35" s="29" t="s">
        <v>82</v>
      </c>
      <c r="C35" s="29" t="s">
        <v>116</v>
      </c>
      <c r="D35" s="30">
        <v>221</v>
      </c>
      <c r="E35" s="30">
        <f t="shared" si="0"/>
        <v>35.36</v>
      </c>
      <c r="F35" s="32">
        <f t="shared" si="1"/>
        <v>256.36</v>
      </c>
    </row>
    <row r="36" spans="1:6" x14ac:dyDescent="0.25">
      <c r="A36" s="31" t="s">
        <v>110</v>
      </c>
      <c r="B36" s="29" t="s">
        <v>151</v>
      </c>
      <c r="C36" s="29" t="s">
        <v>114</v>
      </c>
      <c r="D36" s="30">
        <v>18.899999999999999</v>
      </c>
      <c r="E36" s="30">
        <f t="shared" si="0"/>
        <v>3.024</v>
      </c>
      <c r="F36" s="32">
        <f t="shared" si="1"/>
        <v>21.923999999999999</v>
      </c>
    </row>
    <row r="37" spans="1:6" x14ac:dyDescent="0.25">
      <c r="A37" s="31" t="s">
        <v>111</v>
      </c>
      <c r="B37" s="29" t="s">
        <v>83</v>
      </c>
      <c r="C37" s="29" t="s">
        <v>76</v>
      </c>
      <c r="D37" s="30">
        <v>2050</v>
      </c>
      <c r="E37" s="30">
        <f t="shared" si="0"/>
        <v>328</v>
      </c>
      <c r="F37" s="32">
        <f t="shared" si="1"/>
        <v>2378</v>
      </c>
    </row>
    <row r="38" spans="1:6" ht="15.75" thickBot="1" x14ac:dyDescent="0.3">
      <c r="A38" s="33" t="s">
        <v>112</v>
      </c>
      <c r="B38" s="34" t="s">
        <v>84</v>
      </c>
      <c r="C38" s="34" t="s">
        <v>118</v>
      </c>
      <c r="D38" s="35">
        <v>18.37</v>
      </c>
      <c r="E38" s="35">
        <f t="shared" si="0"/>
        <v>2.9392</v>
      </c>
      <c r="F38" s="36">
        <f t="shared" si="1"/>
        <v>21.309200000000001</v>
      </c>
    </row>
    <row r="39" spans="1:6" ht="15.75" thickTop="1" x14ac:dyDescent="0.25"/>
  </sheetData>
  <mergeCells count="1">
    <mergeCell ref="C8:F9"/>
  </mergeCells>
  <pageMargins left="0.47" right="0.28999999999999998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3" zoomScale="130" zoomScaleNormal="130" workbookViewId="0">
      <selection activeCell="B16" sqref="B16"/>
    </sheetView>
  </sheetViews>
  <sheetFormatPr baseColWidth="10" defaultRowHeight="15" x14ac:dyDescent="0.25"/>
  <cols>
    <col min="1" max="1" width="11" customWidth="1"/>
    <col min="2" max="2" width="44" customWidth="1"/>
    <col min="3" max="3" width="8.85546875" customWidth="1"/>
  </cols>
  <sheetData>
    <row r="1" spans="1:6" ht="15.75" thickTop="1" x14ac:dyDescent="0.25">
      <c r="A1" s="106" t="s">
        <v>341</v>
      </c>
      <c r="B1" s="107"/>
      <c r="C1" s="108"/>
      <c r="D1" s="109" t="s">
        <v>340</v>
      </c>
      <c r="E1" s="110"/>
      <c r="F1" s="111" t="s">
        <v>349</v>
      </c>
    </row>
    <row r="2" spans="1:6" ht="15.75" thickBot="1" x14ac:dyDescent="0.3">
      <c r="A2" s="112"/>
      <c r="B2" s="113"/>
      <c r="C2" s="114"/>
      <c r="D2" s="115"/>
      <c r="E2" s="116"/>
      <c r="F2" s="117"/>
    </row>
    <row r="3" spans="1:6" x14ac:dyDescent="0.25">
      <c r="A3" s="118" t="s">
        <v>342</v>
      </c>
      <c r="B3" s="119"/>
      <c r="C3" s="114"/>
      <c r="D3" s="115"/>
      <c r="E3" s="116"/>
      <c r="F3" s="117"/>
    </row>
    <row r="4" spans="1:6" ht="15.75" thickBot="1" x14ac:dyDescent="0.3">
      <c r="A4" s="112"/>
      <c r="B4" s="113"/>
      <c r="C4" s="114"/>
      <c r="D4" s="115"/>
      <c r="E4" s="116"/>
      <c r="F4" s="117"/>
    </row>
    <row r="5" spans="1:6" ht="15.75" thickBot="1" x14ac:dyDescent="0.3">
      <c r="A5" s="120" t="s">
        <v>343</v>
      </c>
      <c r="B5" s="121"/>
      <c r="C5" s="122" t="s">
        <v>345</v>
      </c>
      <c r="D5" s="123"/>
      <c r="E5" s="124" t="s">
        <v>346</v>
      </c>
      <c r="F5" s="125"/>
    </row>
    <row r="6" spans="1:6" ht="15.75" thickBot="1" x14ac:dyDescent="0.3">
      <c r="A6" s="126" t="s">
        <v>344</v>
      </c>
      <c r="B6" s="127"/>
      <c r="C6" s="122" t="s">
        <v>347</v>
      </c>
      <c r="D6" s="123"/>
      <c r="E6" s="128" t="s">
        <v>348</v>
      </c>
      <c r="F6" s="129"/>
    </row>
    <row r="7" spans="1:6" ht="15.75" thickTop="1" x14ac:dyDescent="0.25"/>
    <row r="8" spans="1:6" x14ac:dyDescent="0.25">
      <c r="B8" s="21" t="s">
        <v>352</v>
      </c>
    </row>
    <row r="9" spans="1:6" ht="15.75" thickBot="1" x14ac:dyDescent="0.3"/>
    <row r="10" spans="1:6" ht="46.5" thickTop="1" thickBot="1" x14ac:dyDescent="0.3">
      <c r="A10" s="139" t="s">
        <v>24</v>
      </c>
      <c r="B10" s="140" t="s">
        <v>28</v>
      </c>
      <c r="C10" s="140" t="s">
        <v>26</v>
      </c>
      <c r="D10" s="140" t="s">
        <v>29</v>
      </c>
      <c r="E10" s="140" t="s">
        <v>30</v>
      </c>
      <c r="F10" s="141" t="s">
        <v>31</v>
      </c>
    </row>
    <row r="11" spans="1:6" ht="15.75" thickTop="1" x14ac:dyDescent="0.25">
      <c r="A11" s="37" t="s">
        <v>126</v>
      </c>
      <c r="B11" s="38" t="s">
        <v>49</v>
      </c>
      <c r="C11" s="38" t="s">
        <v>66</v>
      </c>
      <c r="D11" s="39">
        <v>700</v>
      </c>
      <c r="E11" s="137">
        <f>+'7 FACTOR SAL REAL'!W26</f>
        <v>1.7531345056650247</v>
      </c>
      <c r="F11" s="138">
        <f>+D11*E11</f>
        <v>1227.1941539655172</v>
      </c>
    </row>
    <row r="12" spans="1:6" x14ac:dyDescent="0.25">
      <c r="A12" s="31" t="s">
        <v>120</v>
      </c>
      <c r="B12" s="29" t="s">
        <v>50</v>
      </c>
      <c r="C12" s="29" t="s">
        <v>66</v>
      </c>
      <c r="D12" s="30">
        <v>300</v>
      </c>
      <c r="E12" s="133">
        <f>+'7 FACTOR SAL REAL'!W27</f>
        <v>1.7879984500000001</v>
      </c>
      <c r="F12" s="134">
        <f t="shared" ref="F12:F19" si="0">+D12*E12</f>
        <v>536.39953500000001</v>
      </c>
    </row>
    <row r="13" spans="1:6" x14ac:dyDescent="0.25">
      <c r="A13" s="31" t="s">
        <v>119</v>
      </c>
      <c r="B13" s="29" t="s">
        <v>51</v>
      </c>
      <c r="C13" s="29" t="s">
        <v>66</v>
      </c>
      <c r="D13" s="30">
        <v>450</v>
      </c>
      <c r="E13" s="133">
        <f>+'7 FACTOR SAL REAL'!W28</f>
        <v>1.7711040729885059</v>
      </c>
      <c r="F13" s="134">
        <f t="shared" si="0"/>
        <v>796.99683284482762</v>
      </c>
    </row>
    <row r="14" spans="1:6" x14ac:dyDescent="0.25">
      <c r="A14" s="31" t="s">
        <v>121</v>
      </c>
      <c r="B14" s="29" t="s">
        <v>52</v>
      </c>
      <c r="C14" s="29" t="s">
        <v>66</v>
      </c>
      <c r="D14" s="30">
        <v>285.71428571428572</v>
      </c>
      <c r="E14" s="133">
        <f>+'7 FACTOR SAL REAL'!W29</f>
        <v>1.792840061724138</v>
      </c>
      <c r="F14" s="134">
        <f t="shared" si="0"/>
        <v>512.24001763546801</v>
      </c>
    </row>
    <row r="15" spans="1:6" x14ac:dyDescent="0.25">
      <c r="A15" s="31" t="s">
        <v>124</v>
      </c>
      <c r="B15" s="29" t="s">
        <v>53</v>
      </c>
      <c r="C15" s="29" t="s">
        <v>66</v>
      </c>
      <c r="D15" s="30">
        <v>700</v>
      </c>
      <c r="E15" s="133">
        <f>+'7 FACTOR SAL REAL'!W30</f>
        <v>1.7531345056650247</v>
      </c>
      <c r="F15" s="134">
        <f t="shared" si="0"/>
        <v>1227.1941539655172</v>
      </c>
    </row>
    <row r="16" spans="1:6" x14ac:dyDescent="0.25">
      <c r="A16" s="31" t="s">
        <v>125</v>
      </c>
      <c r="B16" s="29" t="s">
        <v>79</v>
      </c>
      <c r="C16" s="29" t="s">
        <v>66</v>
      </c>
      <c r="D16" s="30">
        <v>550</v>
      </c>
      <c r="E16" s="133">
        <f>+'7 FACTOR SAL REAL'!W31</f>
        <v>1.7619559296238245</v>
      </c>
      <c r="F16" s="134">
        <f t="shared" si="0"/>
        <v>969.07576129310348</v>
      </c>
    </row>
    <row r="17" spans="1:6" x14ac:dyDescent="0.25">
      <c r="A17" s="31" t="s">
        <v>122</v>
      </c>
      <c r="B17" s="29" t="s">
        <v>81</v>
      </c>
      <c r="C17" s="29" t="s">
        <v>66</v>
      </c>
      <c r="D17" s="30">
        <v>500</v>
      </c>
      <c r="E17" s="133">
        <f>+'7 FACTOR SAL REAL'!W32</f>
        <v>1.7660725941379312</v>
      </c>
      <c r="F17" s="134">
        <f t="shared" si="0"/>
        <v>883.03629706896561</v>
      </c>
    </row>
    <row r="18" spans="1:6" x14ac:dyDescent="0.25">
      <c r="A18" s="31" t="s">
        <v>123</v>
      </c>
      <c r="B18" s="29" t="s">
        <v>80</v>
      </c>
      <c r="C18" s="29" t="s">
        <v>66</v>
      </c>
      <c r="D18" s="30">
        <v>500</v>
      </c>
      <c r="E18" s="133">
        <f>+'7 FACTOR SAL REAL'!W33</f>
        <v>1.7660725941379312</v>
      </c>
      <c r="F18" s="134">
        <f t="shared" si="0"/>
        <v>883.03629706896561</v>
      </c>
    </row>
    <row r="19" spans="1:6" x14ac:dyDescent="0.25">
      <c r="A19" s="31" t="s">
        <v>126</v>
      </c>
      <c r="B19" s="29" t="s">
        <v>285</v>
      </c>
      <c r="C19" s="29" t="s">
        <v>66</v>
      </c>
      <c r="D19" s="30">
        <v>450</v>
      </c>
      <c r="E19" s="133">
        <f>+'7 FACTOR SAL REAL'!W34</f>
        <v>1.7711040729885059</v>
      </c>
      <c r="F19" s="134">
        <f t="shared" si="0"/>
        <v>796.99683284482762</v>
      </c>
    </row>
    <row r="20" spans="1:6" x14ac:dyDescent="0.25">
      <c r="A20" s="31"/>
      <c r="B20" s="29"/>
      <c r="C20" s="29"/>
      <c r="D20" s="29"/>
      <c r="E20" s="29"/>
      <c r="F20" s="135"/>
    </row>
    <row r="21" spans="1:6" ht="15.75" thickBot="1" x14ac:dyDescent="0.3">
      <c r="A21" s="33"/>
      <c r="B21" s="34"/>
      <c r="C21" s="34"/>
      <c r="D21" s="34"/>
      <c r="E21" s="34"/>
      <c r="F21" s="136"/>
    </row>
    <row r="22" spans="1:6" ht="15.75" thickTop="1" x14ac:dyDescent="0.25"/>
  </sheetData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0" zoomScale="145" zoomScaleNormal="145" workbookViewId="0">
      <selection activeCell="B14" sqref="B14"/>
    </sheetView>
  </sheetViews>
  <sheetFormatPr baseColWidth="10" defaultRowHeight="15" x14ac:dyDescent="0.25"/>
  <cols>
    <col min="2" max="2" width="43.42578125" customWidth="1"/>
    <col min="5" max="5" width="10" customWidth="1"/>
    <col min="6" max="6" width="12.28515625" customWidth="1"/>
  </cols>
  <sheetData>
    <row r="1" spans="1:6" ht="15.75" thickTop="1" x14ac:dyDescent="0.25">
      <c r="A1" s="106" t="s">
        <v>341</v>
      </c>
      <c r="B1" s="107"/>
      <c r="C1" s="108"/>
      <c r="D1" s="109" t="s">
        <v>340</v>
      </c>
      <c r="E1" s="110"/>
      <c r="F1" s="111" t="s">
        <v>349</v>
      </c>
    </row>
    <row r="2" spans="1:6" ht="15.75" thickBot="1" x14ac:dyDescent="0.3">
      <c r="A2" s="112"/>
      <c r="B2" s="113"/>
      <c r="C2" s="114"/>
      <c r="D2" s="115"/>
      <c r="E2" s="116"/>
      <c r="F2" s="117"/>
    </row>
    <row r="3" spans="1:6" x14ac:dyDescent="0.25">
      <c r="A3" s="118" t="s">
        <v>342</v>
      </c>
      <c r="B3" s="119"/>
      <c r="C3" s="114"/>
      <c r="D3" s="115"/>
      <c r="E3" s="116"/>
      <c r="F3" s="117"/>
    </row>
    <row r="4" spans="1:6" ht="15.75" thickBot="1" x14ac:dyDescent="0.3">
      <c r="A4" s="112"/>
      <c r="B4" s="113"/>
      <c r="C4" s="114"/>
      <c r="D4" s="115"/>
      <c r="E4" s="116"/>
      <c r="F4" s="117"/>
    </row>
    <row r="5" spans="1:6" ht="15.75" thickBot="1" x14ac:dyDescent="0.3">
      <c r="A5" s="120" t="s">
        <v>343</v>
      </c>
      <c r="B5" s="121"/>
      <c r="C5" s="122" t="s">
        <v>345</v>
      </c>
      <c r="D5" s="123"/>
      <c r="E5" s="124" t="s">
        <v>346</v>
      </c>
      <c r="F5" s="125"/>
    </row>
    <row r="6" spans="1:6" ht="15.75" thickBot="1" x14ac:dyDescent="0.3">
      <c r="A6" s="126" t="s">
        <v>344</v>
      </c>
      <c r="B6" s="127"/>
      <c r="C6" s="122" t="s">
        <v>347</v>
      </c>
      <c r="D6" s="123"/>
      <c r="E6" s="128" t="s">
        <v>348</v>
      </c>
      <c r="F6" s="129"/>
    </row>
    <row r="7" spans="1:6" ht="15.75" thickTop="1" x14ac:dyDescent="0.25"/>
    <row r="8" spans="1:6" x14ac:dyDescent="0.25">
      <c r="B8" s="21" t="s">
        <v>353</v>
      </c>
    </row>
    <row r="9" spans="1:6" ht="15.75" thickBot="1" x14ac:dyDescent="0.3"/>
    <row r="10" spans="1:6" ht="46.5" thickTop="1" thickBot="1" x14ac:dyDescent="0.3">
      <c r="A10" s="139" t="s">
        <v>24</v>
      </c>
      <c r="B10" s="140" t="s">
        <v>25</v>
      </c>
      <c r="C10" s="140" t="s">
        <v>26</v>
      </c>
      <c r="D10" s="140" t="s">
        <v>32</v>
      </c>
      <c r="E10" s="140" t="s">
        <v>155</v>
      </c>
      <c r="F10" s="141" t="s">
        <v>354</v>
      </c>
    </row>
    <row r="11" spans="1:6" ht="15.75" thickTop="1" x14ac:dyDescent="0.25">
      <c r="A11" s="37" t="s">
        <v>127</v>
      </c>
      <c r="B11" s="38" t="s">
        <v>369</v>
      </c>
      <c r="C11" s="38" t="s">
        <v>57</v>
      </c>
      <c r="D11" s="38"/>
      <c r="E11" s="38"/>
      <c r="F11" s="143"/>
    </row>
    <row r="12" spans="1:6" x14ac:dyDescent="0.25">
      <c r="A12" s="31" t="s">
        <v>128</v>
      </c>
      <c r="B12" s="29" t="s">
        <v>370</v>
      </c>
      <c r="C12" s="29" t="s">
        <v>57</v>
      </c>
      <c r="D12" s="29"/>
      <c r="E12" s="29"/>
      <c r="F12" s="135"/>
    </row>
    <row r="13" spans="1:6" x14ac:dyDescent="0.25">
      <c r="A13" s="31" t="s">
        <v>129</v>
      </c>
      <c r="B13" s="29" t="s">
        <v>371</v>
      </c>
      <c r="C13" s="29" t="s">
        <v>57</v>
      </c>
      <c r="D13" s="29"/>
      <c r="E13" s="29"/>
      <c r="F13" s="135"/>
    </row>
    <row r="14" spans="1:6" x14ac:dyDescent="0.25">
      <c r="A14" s="147" t="s">
        <v>130</v>
      </c>
      <c r="B14" s="148" t="s">
        <v>54</v>
      </c>
      <c r="C14" s="148" t="s">
        <v>56</v>
      </c>
      <c r="D14" s="149">
        <f>+'8 COSTO HOR MAQUINA'!C41</f>
        <v>307.78390143318967</v>
      </c>
      <c r="E14" s="29"/>
      <c r="F14" s="135"/>
    </row>
    <row r="15" spans="1:6" x14ac:dyDescent="0.25">
      <c r="A15" s="147" t="s">
        <v>131</v>
      </c>
      <c r="B15" s="148" t="s">
        <v>55</v>
      </c>
      <c r="C15" s="148" t="s">
        <v>56</v>
      </c>
      <c r="D15" s="149">
        <f>+'8 COSTO HOR MAQUINA'!C90</f>
        <v>726.47491616163802</v>
      </c>
      <c r="E15" s="29"/>
      <c r="F15" s="135"/>
    </row>
    <row r="16" spans="1:6" x14ac:dyDescent="0.25">
      <c r="A16" s="31" t="s">
        <v>132</v>
      </c>
      <c r="B16" s="29" t="s">
        <v>63</v>
      </c>
      <c r="C16" s="29" t="s">
        <v>56</v>
      </c>
      <c r="D16" s="142">
        <f>+'8 COSTO HOR MAQUINA'!C139</f>
        <v>171.42881398164513</v>
      </c>
      <c r="E16" s="29"/>
      <c r="F16" s="135"/>
    </row>
    <row r="17" spans="1:6" x14ac:dyDescent="0.25">
      <c r="A17" s="31" t="s">
        <v>133</v>
      </c>
      <c r="B17" s="29" t="s">
        <v>134</v>
      </c>
      <c r="C17" s="29" t="s">
        <v>56</v>
      </c>
      <c r="D17" s="30">
        <v>123.87</v>
      </c>
      <c r="E17" s="29"/>
      <c r="F17" s="135"/>
    </row>
    <row r="18" spans="1:6" x14ac:dyDescent="0.25">
      <c r="A18" s="31"/>
      <c r="B18" s="29"/>
      <c r="C18" s="29"/>
      <c r="D18" s="29"/>
      <c r="E18" s="29"/>
      <c r="F18" s="135"/>
    </row>
    <row r="19" spans="1:6" ht="15.75" thickBot="1" x14ac:dyDescent="0.3">
      <c r="A19" s="33"/>
      <c r="B19" s="34"/>
      <c r="C19" s="34"/>
      <c r="D19" s="34"/>
      <c r="E19" s="34"/>
      <c r="F19" s="136"/>
    </row>
    <row r="20" spans="1:6" ht="15.75" thickTop="1" x14ac:dyDescent="0.25"/>
  </sheetData>
  <pageMargins left="0.28999999999999998" right="0.28999999999999998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8" zoomScale="130" zoomScaleNormal="130" workbookViewId="0">
      <selection activeCell="D21" sqref="D21"/>
    </sheetView>
  </sheetViews>
  <sheetFormatPr baseColWidth="10" defaultRowHeight="15" x14ac:dyDescent="0.25"/>
  <cols>
    <col min="2" max="2" width="57.28515625" customWidth="1"/>
    <col min="6" max="6" width="12.140625" customWidth="1"/>
  </cols>
  <sheetData>
    <row r="1" spans="1:6" ht="15.75" thickTop="1" x14ac:dyDescent="0.25">
      <c r="A1" s="106" t="s">
        <v>341</v>
      </c>
      <c r="B1" s="107"/>
      <c r="C1" s="108"/>
      <c r="D1" s="109" t="s">
        <v>340</v>
      </c>
      <c r="E1" s="110"/>
      <c r="F1" s="111" t="s">
        <v>349</v>
      </c>
    </row>
    <row r="2" spans="1:6" ht="15.75" thickBot="1" x14ac:dyDescent="0.3">
      <c r="A2" s="112"/>
      <c r="B2" s="113"/>
      <c r="C2" s="114"/>
      <c r="D2" s="115"/>
      <c r="E2" s="116"/>
      <c r="F2" s="117"/>
    </row>
    <row r="3" spans="1:6" x14ac:dyDescent="0.25">
      <c r="A3" s="118" t="s">
        <v>342</v>
      </c>
      <c r="B3" s="119"/>
      <c r="C3" s="114"/>
      <c r="D3" s="115"/>
      <c r="E3" s="116"/>
      <c r="F3" s="117"/>
    </row>
    <row r="4" spans="1:6" ht="15.75" thickBot="1" x14ac:dyDescent="0.3">
      <c r="A4" s="112"/>
      <c r="B4" s="113"/>
      <c r="C4" s="114"/>
      <c r="D4" s="115"/>
      <c r="E4" s="116"/>
      <c r="F4" s="117"/>
    </row>
    <row r="5" spans="1:6" ht="15.75" thickBot="1" x14ac:dyDescent="0.3">
      <c r="A5" s="120" t="s">
        <v>343</v>
      </c>
      <c r="B5" s="121"/>
      <c r="C5" s="122" t="s">
        <v>345</v>
      </c>
      <c r="D5" s="123"/>
      <c r="E5" s="124" t="s">
        <v>346</v>
      </c>
      <c r="F5" s="125"/>
    </row>
    <row r="6" spans="1:6" ht="15.75" thickBot="1" x14ac:dyDescent="0.3">
      <c r="A6" s="126" t="s">
        <v>344</v>
      </c>
      <c r="B6" s="127"/>
      <c r="C6" s="122" t="s">
        <v>347</v>
      </c>
      <c r="D6" s="123"/>
      <c r="E6" s="128" t="s">
        <v>348</v>
      </c>
      <c r="F6" s="129"/>
    </row>
    <row r="7" spans="1:6" ht="15.75" thickTop="1" x14ac:dyDescent="0.25"/>
    <row r="8" spans="1:6" x14ac:dyDescent="0.25">
      <c r="B8" s="21" t="s">
        <v>355</v>
      </c>
    </row>
    <row r="9" spans="1:6" ht="15.75" thickBot="1" x14ac:dyDescent="0.3"/>
    <row r="10" spans="1:6" ht="16.5" thickTop="1" thickBot="1" x14ac:dyDescent="0.3">
      <c r="A10" s="157" t="s">
        <v>24</v>
      </c>
      <c r="B10" s="158" t="s">
        <v>25</v>
      </c>
      <c r="C10" s="158" t="s">
        <v>26</v>
      </c>
      <c r="D10" s="158" t="s">
        <v>27</v>
      </c>
      <c r="E10" s="158" t="s">
        <v>155</v>
      </c>
      <c r="F10" s="159" t="s">
        <v>354</v>
      </c>
    </row>
    <row r="11" spans="1:6" ht="15.75" thickTop="1" x14ac:dyDescent="0.25">
      <c r="A11" s="150" t="s">
        <v>135</v>
      </c>
      <c r="B11" s="151" t="s">
        <v>65</v>
      </c>
      <c r="C11" s="151" t="s">
        <v>66</v>
      </c>
      <c r="D11" s="152">
        <f>+'6 MATRIZ DE BÁSICOS'!F37</f>
        <v>573.59972533374389</v>
      </c>
      <c r="E11" s="153"/>
      <c r="F11" s="154"/>
    </row>
    <row r="12" spans="1:6" ht="30" x14ac:dyDescent="0.25">
      <c r="A12" s="31" t="s">
        <v>136</v>
      </c>
      <c r="B12" s="155" t="s">
        <v>67</v>
      </c>
      <c r="C12" s="155" t="s">
        <v>66</v>
      </c>
      <c r="D12" s="142">
        <f>+'6 MATRIZ DE BÁSICOS'!F82</f>
        <v>1431.9562658768475</v>
      </c>
      <c r="E12" s="29"/>
      <c r="F12" s="135"/>
    </row>
    <row r="13" spans="1:6" ht="30" x14ac:dyDescent="0.25">
      <c r="A13" s="31" t="s">
        <v>137</v>
      </c>
      <c r="B13" s="155" t="s">
        <v>68</v>
      </c>
      <c r="C13" s="155" t="s">
        <v>66</v>
      </c>
      <c r="D13" s="142">
        <f>+'6 MATRIZ DE BÁSICOS'!F127</f>
        <v>1542.1552474655175</v>
      </c>
      <c r="E13" s="29"/>
      <c r="F13" s="135"/>
    </row>
    <row r="14" spans="1:6" ht="30" x14ac:dyDescent="0.25">
      <c r="A14" s="147" t="s">
        <v>138</v>
      </c>
      <c r="B14" s="227" t="s">
        <v>69</v>
      </c>
      <c r="C14" s="227" t="s">
        <v>66</v>
      </c>
      <c r="D14" s="142">
        <v>1544</v>
      </c>
      <c r="E14" s="29"/>
      <c r="F14" s="135"/>
    </row>
    <row r="15" spans="1:6" ht="30" x14ac:dyDescent="0.25">
      <c r="A15" s="147" t="s">
        <v>139</v>
      </c>
      <c r="B15" s="227" t="s">
        <v>70</v>
      </c>
      <c r="C15" s="227" t="s">
        <v>66</v>
      </c>
      <c r="D15" s="142">
        <f>+'6 MATRIZ DE BÁSICOS'!F217</f>
        <v>3152.7554418780792</v>
      </c>
      <c r="E15" s="29"/>
      <c r="F15" s="135"/>
    </row>
    <row r="16" spans="1:6" ht="30" x14ac:dyDescent="0.25">
      <c r="A16" s="147" t="s">
        <v>140</v>
      </c>
      <c r="B16" s="227" t="s">
        <v>71</v>
      </c>
      <c r="C16" s="227" t="s">
        <v>66</v>
      </c>
      <c r="D16" s="142">
        <f>+'6 MATRIZ DE BÁSICOS'!F172</f>
        <v>2299.9932239655172</v>
      </c>
      <c r="E16" s="29"/>
      <c r="F16" s="135"/>
    </row>
    <row r="17" spans="1:6" x14ac:dyDescent="0.25">
      <c r="A17" s="147" t="s">
        <v>141</v>
      </c>
      <c r="B17" s="227" t="s">
        <v>72</v>
      </c>
      <c r="C17" s="227" t="s">
        <v>76</v>
      </c>
      <c r="D17" s="142">
        <f>+'6 MATRIZ DE BÁSICOS'!F263</f>
        <v>2484.173793103449</v>
      </c>
      <c r="E17" s="29"/>
      <c r="F17" s="135"/>
    </row>
    <row r="18" spans="1:6" x14ac:dyDescent="0.25">
      <c r="A18" s="147" t="s">
        <v>142</v>
      </c>
      <c r="B18" s="227" t="s">
        <v>73</v>
      </c>
      <c r="C18" s="227" t="s">
        <v>76</v>
      </c>
      <c r="D18" s="142">
        <f>+'6 MATRIZ DE BÁSICOS'!F308</f>
        <v>2174.4524137931039</v>
      </c>
      <c r="E18" s="29"/>
      <c r="F18" s="135"/>
    </row>
    <row r="19" spans="1:6" x14ac:dyDescent="0.25">
      <c r="A19" s="147" t="s">
        <v>143</v>
      </c>
      <c r="B19" s="227" t="s">
        <v>74</v>
      </c>
      <c r="C19" s="227" t="s">
        <v>76</v>
      </c>
      <c r="D19" s="142">
        <v>1908.47</v>
      </c>
      <c r="E19" s="29"/>
      <c r="F19" s="135"/>
    </row>
    <row r="20" spans="1:6" x14ac:dyDescent="0.25">
      <c r="A20" s="147" t="s">
        <v>144</v>
      </c>
      <c r="B20" s="227" t="s">
        <v>75</v>
      </c>
      <c r="C20" s="227" t="s">
        <v>76</v>
      </c>
      <c r="D20" s="142">
        <v>1686.22</v>
      </c>
      <c r="E20" s="29"/>
      <c r="F20" s="135"/>
    </row>
    <row r="21" spans="1:6" ht="30" x14ac:dyDescent="0.25">
      <c r="A21" s="31" t="s">
        <v>145</v>
      </c>
      <c r="B21" s="155" t="s">
        <v>166</v>
      </c>
      <c r="C21" s="155" t="s">
        <v>76</v>
      </c>
      <c r="D21" s="142">
        <f>+'6 MATRIZ DE BÁSICOS'!F354</f>
        <v>2468.9388942063156</v>
      </c>
      <c r="E21" s="29"/>
      <c r="F21" s="135"/>
    </row>
    <row r="22" spans="1:6" ht="30" x14ac:dyDescent="0.25">
      <c r="A22" s="31" t="s">
        <v>146</v>
      </c>
      <c r="B22" s="155" t="s">
        <v>167</v>
      </c>
      <c r="C22" s="155" t="s">
        <v>76</v>
      </c>
      <c r="D22" s="142">
        <f>+'6 MATRIZ DE BÁSICOS'!F399</f>
        <v>2705.4664804132121</v>
      </c>
      <c r="E22" s="29"/>
      <c r="F22" s="135"/>
    </row>
    <row r="23" spans="1:6" ht="30" x14ac:dyDescent="0.25">
      <c r="A23" s="31" t="s">
        <v>147</v>
      </c>
      <c r="B23" s="155" t="s">
        <v>168</v>
      </c>
      <c r="C23" s="155" t="s">
        <v>76</v>
      </c>
      <c r="D23" s="142">
        <f>+'6 MATRIZ DE BÁSICOS'!F444</f>
        <v>2814.1630321373495</v>
      </c>
      <c r="E23" s="29"/>
      <c r="F23" s="135"/>
    </row>
    <row r="24" spans="1:6" ht="30" x14ac:dyDescent="0.25">
      <c r="A24" s="147" t="s">
        <v>148</v>
      </c>
      <c r="B24" s="227" t="s">
        <v>169</v>
      </c>
      <c r="C24" s="227" t="s">
        <v>76</v>
      </c>
      <c r="D24" s="142">
        <v>3073.43</v>
      </c>
      <c r="E24" s="29"/>
      <c r="F24" s="135"/>
    </row>
    <row r="25" spans="1:6" ht="30" x14ac:dyDescent="0.25">
      <c r="A25" s="147" t="s">
        <v>149</v>
      </c>
      <c r="B25" s="227" t="s">
        <v>170</v>
      </c>
      <c r="C25" s="227" t="s">
        <v>76</v>
      </c>
      <c r="D25" s="142">
        <v>3375.93</v>
      </c>
      <c r="E25" s="29"/>
      <c r="F25" s="135"/>
    </row>
    <row r="26" spans="1:6" ht="30.75" thickBot="1" x14ac:dyDescent="0.3">
      <c r="A26" s="228" t="s">
        <v>150</v>
      </c>
      <c r="B26" s="229" t="s">
        <v>171</v>
      </c>
      <c r="C26" s="229" t="s">
        <v>76</v>
      </c>
      <c r="D26" s="156">
        <f>+'6 MATRIZ DE BÁSICOS'!F489</f>
        <v>3708.6506183442471</v>
      </c>
      <c r="E26" s="34"/>
      <c r="F26" s="136"/>
    </row>
    <row r="27" spans="1:6" ht="15.75" thickTop="1" x14ac:dyDescent="0.25">
      <c r="B27" s="28"/>
      <c r="C27" s="28"/>
    </row>
    <row r="28" spans="1:6" x14ac:dyDescent="0.25">
      <c r="B28" s="28"/>
      <c r="C28" s="28"/>
    </row>
    <row r="29" spans="1:6" x14ac:dyDescent="0.25">
      <c r="B29" s="28"/>
      <c r="C29" s="28"/>
    </row>
    <row r="30" spans="1:6" x14ac:dyDescent="0.25">
      <c r="B30" s="28"/>
      <c r="C30" s="28"/>
    </row>
    <row r="31" spans="1:6" x14ac:dyDescent="0.25">
      <c r="B31" s="28"/>
      <c r="C31" s="28"/>
    </row>
    <row r="32" spans="1:6" x14ac:dyDescent="0.25">
      <c r="B32" s="28"/>
      <c r="C32" s="28"/>
    </row>
    <row r="33" spans="2:3" x14ac:dyDescent="0.25">
      <c r="B33" s="28"/>
      <c r="C33" s="28"/>
    </row>
    <row r="34" spans="2:3" x14ac:dyDescent="0.25">
      <c r="B34" s="28"/>
      <c r="C34" s="28"/>
    </row>
    <row r="35" spans="2:3" x14ac:dyDescent="0.25">
      <c r="B35" s="28"/>
      <c r="C35" s="28"/>
    </row>
    <row r="36" spans="2:3" x14ac:dyDescent="0.25">
      <c r="B36" s="28"/>
      <c r="C36" s="28"/>
    </row>
    <row r="37" spans="2:3" x14ac:dyDescent="0.25">
      <c r="B37" s="28"/>
      <c r="C37" s="28"/>
    </row>
    <row r="38" spans="2:3" x14ac:dyDescent="0.25">
      <c r="B38" s="28"/>
      <c r="C38" s="28"/>
    </row>
    <row r="39" spans="2:3" x14ac:dyDescent="0.25">
      <c r="B39" s="28"/>
      <c r="C39" s="28"/>
    </row>
    <row r="40" spans="2:3" x14ac:dyDescent="0.25">
      <c r="B40" s="28"/>
      <c r="C40" s="28"/>
    </row>
    <row r="41" spans="2:3" x14ac:dyDescent="0.25">
      <c r="B41" s="28"/>
      <c r="C41" s="28"/>
    </row>
    <row r="42" spans="2:3" x14ac:dyDescent="0.25">
      <c r="B42" s="28"/>
      <c r="C42" s="28"/>
    </row>
    <row r="43" spans="2:3" x14ac:dyDescent="0.25">
      <c r="B43" s="28"/>
      <c r="C43" s="28"/>
    </row>
    <row r="44" spans="2:3" x14ac:dyDescent="0.25">
      <c r="B44" s="28"/>
      <c r="C44" s="28"/>
    </row>
    <row r="45" spans="2:3" x14ac:dyDescent="0.25">
      <c r="B45" s="28"/>
      <c r="C45" s="28"/>
    </row>
    <row r="46" spans="2:3" x14ac:dyDescent="0.25">
      <c r="B46" s="28"/>
      <c r="C46" s="28"/>
    </row>
    <row r="47" spans="2:3" x14ac:dyDescent="0.25">
      <c r="B47" s="28"/>
      <c r="C47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0"/>
  <sheetViews>
    <sheetView topLeftCell="A16" zoomScale="140" zoomScaleNormal="140" workbookViewId="0">
      <selection activeCell="F354" sqref="F354"/>
    </sheetView>
  </sheetViews>
  <sheetFormatPr baseColWidth="10" defaultRowHeight="15" x14ac:dyDescent="0.25"/>
  <cols>
    <col min="1" max="1" width="10.28515625" customWidth="1"/>
    <col min="2" max="2" width="40.5703125" customWidth="1"/>
    <col min="3" max="3" width="9.140625" customWidth="1"/>
    <col min="4" max="4" width="12.85546875" customWidth="1"/>
    <col min="5" max="5" width="10.5703125" customWidth="1"/>
    <col min="6" max="6" width="13" customWidth="1"/>
  </cols>
  <sheetData>
    <row r="1" spans="1:6" ht="15.75" thickTop="1" x14ac:dyDescent="0.25">
      <c r="A1" s="106" t="s">
        <v>341</v>
      </c>
      <c r="B1" s="107"/>
      <c r="C1" s="108"/>
      <c r="D1" s="109" t="s">
        <v>340</v>
      </c>
      <c r="E1" s="110"/>
      <c r="F1" s="111" t="s">
        <v>349</v>
      </c>
    </row>
    <row r="2" spans="1:6" ht="15.75" thickBot="1" x14ac:dyDescent="0.3">
      <c r="A2" s="112"/>
      <c r="B2" s="113"/>
      <c r="C2" s="114"/>
      <c r="D2" s="115"/>
      <c r="E2" s="116"/>
      <c r="F2" s="117"/>
    </row>
    <row r="3" spans="1:6" x14ac:dyDescent="0.25">
      <c r="A3" s="118" t="s">
        <v>342</v>
      </c>
      <c r="B3" s="119"/>
      <c r="C3" s="114"/>
      <c r="D3" s="115"/>
      <c r="E3" s="116"/>
      <c r="F3" s="117"/>
    </row>
    <row r="4" spans="1:6" ht="15.75" thickBot="1" x14ac:dyDescent="0.3">
      <c r="A4" s="112"/>
      <c r="B4" s="113"/>
      <c r="C4" s="114"/>
      <c r="D4" s="115"/>
      <c r="E4" s="116"/>
      <c r="F4" s="117"/>
    </row>
    <row r="5" spans="1:6" ht="15.75" thickBot="1" x14ac:dyDescent="0.3">
      <c r="A5" s="120" t="s">
        <v>343</v>
      </c>
      <c r="B5" s="121"/>
      <c r="C5" s="122" t="s">
        <v>345</v>
      </c>
      <c r="D5" s="123"/>
      <c r="E5" s="124" t="s">
        <v>346</v>
      </c>
      <c r="F5" s="125"/>
    </row>
    <row r="6" spans="1:6" ht="15.75" thickBot="1" x14ac:dyDescent="0.3">
      <c r="A6" s="126" t="s">
        <v>344</v>
      </c>
      <c r="B6" s="127"/>
      <c r="C6" s="122" t="s">
        <v>347</v>
      </c>
      <c r="D6" s="123"/>
      <c r="E6" s="128" t="s">
        <v>348</v>
      </c>
      <c r="F6" s="129"/>
    </row>
    <row r="7" spans="1:6" ht="16.5" thickTop="1" thickBot="1" x14ac:dyDescent="0.3">
      <c r="A7" s="46"/>
      <c r="B7" s="47"/>
      <c r="C7" s="47"/>
      <c r="D7" s="47"/>
      <c r="E7" s="47"/>
      <c r="F7" s="48"/>
    </row>
    <row r="8" spans="1:6" x14ac:dyDescent="0.25">
      <c r="A8" s="46"/>
      <c r="B8" s="47" t="s">
        <v>356</v>
      </c>
      <c r="C8" s="319" t="s">
        <v>368</v>
      </c>
      <c r="D8" s="320"/>
      <c r="E8" s="320"/>
      <c r="F8" s="321"/>
    </row>
    <row r="9" spans="1:6" ht="15.75" thickBot="1" x14ac:dyDescent="0.3">
      <c r="A9" s="49"/>
      <c r="B9" s="50"/>
      <c r="C9" s="322"/>
      <c r="D9" s="323"/>
      <c r="E9" s="323"/>
      <c r="F9" s="324"/>
    </row>
    <row r="10" spans="1:6" x14ac:dyDescent="0.25">
      <c r="A10" s="52" t="s">
        <v>154</v>
      </c>
      <c r="B10" s="53" t="s">
        <v>25</v>
      </c>
      <c r="C10" s="53" t="s">
        <v>26</v>
      </c>
      <c r="D10" s="44"/>
      <c r="E10" s="44"/>
      <c r="F10" s="45"/>
    </row>
    <row r="11" spans="1:6" ht="31.5" customHeight="1" thickBot="1" x14ac:dyDescent="0.3">
      <c r="A11" s="54" t="str">
        <f>+'5 CATÁLOGO DE BÁSICOS'!A11</f>
        <v>CUAD001</v>
      </c>
      <c r="B11" s="55" t="str">
        <f>+'5 CATÁLOGO DE BÁSICOS'!B11</f>
        <v>CUADRILLA No. 1 (1 PEÓN + 1/20 DE CABO DE OFICIOS)</v>
      </c>
      <c r="C11" s="56" t="str">
        <f>+'5 CATÁLOGO DE BÁSICOS'!C11</f>
        <v>JOR</v>
      </c>
      <c r="D11" s="50"/>
      <c r="E11" s="50"/>
      <c r="F11" s="51"/>
    </row>
    <row r="12" spans="1:6" ht="15.75" thickBot="1" x14ac:dyDescent="0.3"/>
    <row r="13" spans="1:6" ht="15.75" thickBot="1" x14ac:dyDescent="0.3">
      <c r="A13" s="60" t="s">
        <v>154</v>
      </c>
      <c r="B13" s="61" t="s">
        <v>25</v>
      </c>
      <c r="C13" s="61" t="s">
        <v>26</v>
      </c>
      <c r="D13" s="61" t="s">
        <v>27</v>
      </c>
      <c r="E13" s="61" t="s">
        <v>155</v>
      </c>
      <c r="F13" s="62" t="s">
        <v>156</v>
      </c>
    </row>
    <row r="14" spans="1:6" x14ac:dyDescent="0.25">
      <c r="A14" s="43"/>
      <c r="B14" s="53" t="s">
        <v>157</v>
      </c>
      <c r="C14" s="44"/>
      <c r="D14" s="44"/>
      <c r="E14" s="44"/>
      <c r="F14" s="45"/>
    </row>
    <row r="15" spans="1:6" x14ac:dyDescent="0.25">
      <c r="A15" s="46"/>
      <c r="B15" s="47"/>
      <c r="C15" s="47"/>
      <c r="D15" s="47"/>
      <c r="E15" s="47"/>
      <c r="F15" s="48"/>
    </row>
    <row r="16" spans="1:6" x14ac:dyDescent="0.25">
      <c r="A16" s="46"/>
      <c r="B16" s="47"/>
      <c r="C16" s="47"/>
      <c r="D16" s="47"/>
      <c r="E16" s="47"/>
      <c r="F16" s="48"/>
    </row>
    <row r="17" spans="1:6" ht="15.75" thickBot="1" x14ac:dyDescent="0.3">
      <c r="A17" s="49"/>
      <c r="B17" s="63" t="s">
        <v>158</v>
      </c>
      <c r="C17" s="50"/>
      <c r="D17" s="50"/>
      <c r="E17" s="50"/>
      <c r="F17" s="51"/>
    </row>
    <row r="18" spans="1:6" ht="15.75" thickBot="1" x14ac:dyDescent="0.3">
      <c r="A18" s="46"/>
      <c r="B18" s="47"/>
      <c r="C18" s="47"/>
      <c r="D18" s="47"/>
      <c r="E18" s="47"/>
      <c r="F18" s="48"/>
    </row>
    <row r="19" spans="1:6" x14ac:dyDescent="0.25">
      <c r="A19" s="43"/>
      <c r="B19" s="53" t="s">
        <v>159</v>
      </c>
      <c r="C19" s="44"/>
      <c r="D19" s="44"/>
      <c r="E19" s="44"/>
      <c r="F19" s="45"/>
    </row>
    <row r="20" spans="1:6" x14ac:dyDescent="0.25">
      <c r="A20" s="46" t="str">
        <f>+'3 CATÁLOGO DE M. DE O.'!A14</f>
        <v>MO01001</v>
      </c>
      <c r="B20" s="47" t="str">
        <f>+'3 CATÁLOGO DE M. DE O.'!B14</f>
        <v>PEÓN</v>
      </c>
      <c r="C20" s="47" t="str">
        <f>+'3 CATÁLOGO DE M. DE O.'!C14</f>
        <v>JOR</v>
      </c>
      <c r="D20" s="58">
        <f>+'3 CATÁLOGO DE M. DE O.'!F14</f>
        <v>512.24001763546801</v>
      </c>
      <c r="E20" s="47">
        <v>1</v>
      </c>
      <c r="F20" s="59">
        <f>+D20*E20</f>
        <v>512.24001763546801</v>
      </c>
    </row>
    <row r="21" spans="1:6" x14ac:dyDescent="0.25">
      <c r="A21" s="46" t="str">
        <f>+'3 CATÁLOGO DE M. DE O.'!A15</f>
        <v>MO08001</v>
      </c>
      <c r="B21" s="47" t="str">
        <f>+'3 CATÁLOGO DE M. DE O.'!B15</f>
        <v>CABO DE OFICIOS</v>
      </c>
      <c r="C21" s="47" t="str">
        <f>+'3 CATÁLOGO DE M. DE O.'!C15</f>
        <v>JOR</v>
      </c>
      <c r="D21" s="58">
        <f>+'3 CATÁLOGO DE M. DE O.'!F15</f>
        <v>1227.1941539655172</v>
      </c>
      <c r="E21" s="47">
        <f>1/20</f>
        <v>0.05</v>
      </c>
      <c r="F21" s="59">
        <f>+D21*E21</f>
        <v>61.359707698275862</v>
      </c>
    </row>
    <row r="22" spans="1:6" x14ac:dyDescent="0.25">
      <c r="A22" s="46"/>
      <c r="B22" s="47"/>
      <c r="C22" s="47"/>
      <c r="D22" s="58"/>
      <c r="E22" s="47"/>
      <c r="F22" s="48"/>
    </row>
    <row r="23" spans="1:6" x14ac:dyDescent="0.25">
      <c r="A23" s="46"/>
      <c r="B23" s="47"/>
      <c r="C23" s="47"/>
      <c r="D23" s="47"/>
      <c r="E23" s="47"/>
      <c r="F23" s="48"/>
    </row>
    <row r="24" spans="1:6" ht="15.75" thickBot="1" x14ac:dyDescent="0.3">
      <c r="A24" s="49"/>
      <c r="B24" s="63" t="s">
        <v>160</v>
      </c>
      <c r="C24" s="50"/>
      <c r="D24" s="50"/>
      <c r="E24" s="50"/>
      <c r="F24" s="64">
        <f>SUM(F20:F23)</f>
        <v>573.59972533374389</v>
      </c>
    </row>
    <row r="25" spans="1:6" ht="15.75" thickBot="1" x14ac:dyDescent="0.3">
      <c r="A25" s="46"/>
      <c r="B25" s="47"/>
      <c r="C25" s="47"/>
      <c r="D25" s="47"/>
      <c r="E25" s="47"/>
      <c r="F25" s="48"/>
    </row>
    <row r="26" spans="1:6" x14ac:dyDescent="0.25">
      <c r="A26" s="43"/>
      <c r="B26" s="53" t="s">
        <v>161</v>
      </c>
      <c r="C26" s="44"/>
      <c r="D26" s="44"/>
      <c r="E26" s="44"/>
      <c r="F26" s="45"/>
    </row>
    <row r="27" spans="1:6" x14ac:dyDescent="0.25">
      <c r="A27" s="46"/>
      <c r="B27" s="47"/>
      <c r="C27" s="47"/>
      <c r="D27" s="47"/>
      <c r="E27" s="47"/>
      <c r="F27" s="48"/>
    </row>
    <row r="28" spans="1:6" x14ac:dyDescent="0.25">
      <c r="A28" s="46"/>
      <c r="B28" s="47"/>
      <c r="C28" s="47"/>
      <c r="D28" s="47"/>
      <c r="E28" s="47"/>
      <c r="F28" s="48"/>
    </row>
    <row r="29" spans="1:6" x14ac:dyDescent="0.25">
      <c r="A29" s="46"/>
      <c r="B29" s="47"/>
      <c r="C29" s="47"/>
      <c r="D29" s="47"/>
      <c r="E29" s="47"/>
      <c r="F29" s="48"/>
    </row>
    <row r="30" spans="1:6" ht="15.75" thickBot="1" x14ac:dyDescent="0.3">
      <c r="A30" s="49"/>
      <c r="B30" s="63" t="s">
        <v>162</v>
      </c>
      <c r="C30" s="50"/>
      <c r="D30" s="50"/>
      <c r="E30" s="50"/>
      <c r="F30" s="51"/>
    </row>
    <row r="31" spans="1:6" ht="15.75" thickBot="1" x14ac:dyDescent="0.3">
      <c r="A31" s="46"/>
      <c r="B31" s="47"/>
      <c r="C31" s="47"/>
      <c r="D31" s="47"/>
      <c r="E31" s="47"/>
      <c r="F31" s="48"/>
    </row>
    <row r="32" spans="1:6" x14ac:dyDescent="0.25">
      <c r="A32" s="43"/>
      <c r="B32" s="53" t="s">
        <v>163</v>
      </c>
      <c r="C32" s="44"/>
      <c r="D32" s="44"/>
      <c r="E32" s="44"/>
      <c r="F32" s="45"/>
    </row>
    <row r="33" spans="1:6" x14ac:dyDescent="0.25">
      <c r="A33" s="46"/>
      <c r="B33" s="47"/>
      <c r="C33" s="47"/>
      <c r="D33" s="47"/>
      <c r="E33" s="47"/>
      <c r="F33" s="48"/>
    </row>
    <row r="34" spans="1:6" x14ac:dyDescent="0.25">
      <c r="A34" s="46"/>
      <c r="B34" s="47"/>
      <c r="C34" s="47"/>
      <c r="D34" s="47"/>
      <c r="E34" s="47"/>
      <c r="F34" s="48"/>
    </row>
    <row r="35" spans="1:6" ht="15.75" thickBot="1" x14ac:dyDescent="0.3">
      <c r="A35" s="49"/>
      <c r="B35" s="63" t="s">
        <v>164</v>
      </c>
      <c r="C35" s="50"/>
      <c r="D35" s="50"/>
      <c r="E35" s="50"/>
      <c r="F35" s="51"/>
    </row>
    <row r="36" spans="1:6" x14ac:dyDescent="0.25">
      <c r="A36" s="46"/>
      <c r="B36" s="47"/>
      <c r="C36" s="47"/>
      <c r="D36" s="47"/>
      <c r="E36" s="47"/>
      <c r="F36" s="48"/>
    </row>
    <row r="37" spans="1:6" x14ac:dyDescent="0.25">
      <c r="A37" s="46"/>
      <c r="B37" s="57" t="s">
        <v>165</v>
      </c>
      <c r="C37" s="47"/>
      <c r="D37" s="47"/>
      <c r="E37" s="47"/>
      <c r="F37" s="59">
        <f>+F35+F30+F24+F17</f>
        <v>573.59972533374389</v>
      </c>
    </row>
    <row r="38" spans="1:6" ht="15.75" thickBot="1" x14ac:dyDescent="0.3">
      <c r="A38" s="49"/>
      <c r="B38" s="50"/>
      <c r="C38" s="50"/>
      <c r="D38" s="50"/>
      <c r="E38" s="50"/>
      <c r="F38" s="51"/>
    </row>
    <row r="51" spans="1:6" ht="15.75" thickBot="1" x14ac:dyDescent="0.3"/>
    <row r="52" spans="1:6" x14ac:dyDescent="0.25">
      <c r="A52" s="43"/>
      <c r="B52" s="44"/>
      <c r="C52" s="44"/>
      <c r="D52" s="44"/>
      <c r="E52" s="44"/>
      <c r="F52" s="45"/>
    </row>
    <row r="53" spans="1:6" x14ac:dyDescent="0.25">
      <c r="A53" s="46"/>
      <c r="B53" s="47"/>
      <c r="C53" s="47"/>
      <c r="D53" s="47"/>
      <c r="E53" s="47"/>
      <c r="F53" s="48"/>
    </row>
    <row r="54" spans="1:6" ht="15.75" thickBot="1" x14ac:dyDescent="0.3">
      <c r="A54" s="49"/>
      <c r="B54" s="50"/>
      <c r="C54" s="50"/>
      <c r="D54" s="50"/>
      <c r="E54" s="50"/>
      <c r="F54" s="51"/>
    </row>
    <row r="55" spans="1:6" x14ac:dyDescent="0.25">
      <c r="A55" s="52" t="s">
        <v>154</v>
      </c>
      <c r="B55" s="53" t="s">
        <v>25</v>
      </c>
      <c r="C55" s="53" t="s">
        <v>26</v>
      </c>
      <c r="D55" s="44"/>
      <c r="E55" s="44"/>
      <c r="F55" s="45"/>
    </row>
    <row r="56" spans="1:6" ht="31.5" customHeight="1" thickBot="1" x14ac:dyDescent="0.3">
      <c r="A56" s="54" t="str">
        <f>+'5 CATÁLOGO DE BÁSICOS'!A12</f>
        <v>CUAD002</v>
      </c>
      <c r="B56" s="54" t="str">
        <f>+'5 CATÁLOGO DE BÁSICOS'!B12</f>
        <v>CUADRILLA No. 2 (1 OF. ALBAÑIL + 1 PEÓN + 2/20 DE CABO DE OFICIOS)</v>
      </c>
      <c r="C56" s="54" t="str">
        <f>+'5 CATÁLOGO DE BÁSICOS'!C12</f>
        <v>JOR</v>
      </c>
      <c r="D56" s="50"/>
      <c r="E56" s="50"/>
      <c r="F56" s="51"/>
    </row>
    <row r="57" spans="1:6" ht="15.75" thickBot="1" x14ac:dyDescent="0.3"/>
    <row r="58" spans="1:6" ht="15.75" thickBot="1" x14ac:dyDescent="0.3">
      <c r="A58" s="60" t="s">
        <v>154</v>
      </c>
      <c r="B58" s="61" t="s">
        <v>25</v>
      </c>
      <c r="C58" s="61" t="s">
        <v>26</v>
      </c>
      <c r="D58" s="61" t="s">
        <v>27</v>
      </c>
      <c r="E58" s="61" t="s">
        <v>155</v>
      </c>
      <c r="F58" s="62" t="s">
        <v>156</v>
      </c>
    </row>
    <row r="59" spans="1:6" x14ac:dyDescent="0.25">
      <c r="A59" s="43"/>
      <c r="B59" s="53" t="s">
        <v>157</v>
      </c>
      <c r="C59" s="44"/>
      <c r="D59" s="44"/>
      <c r="E59" s="44"/>
      <c r="F59" s="45"/>
    </row>
    <row r="60" spans="1:6" x14ac:dyDescent="0.25">
      <c r="A60" s="46"/>
      <c r="B60" s="47"/>
      <c r="C60" s="47"/>
      <c r="D60" s="47"/>
      <c r="E60" s="47"/>
      <c r="F60" s="48"/>
    </row>
    <row r="61" spans="1:6" x14ac:dyDescent="0.25">
      <c r="A61" s="46"/>
      <c r="B61" s="47"/>
      <c r="C61" s="47"/>
      <c r="D61" s="47"/>
      <c r="E61" s="47"/>
      <c r="F61" s="48"/>
    </row>
    <row r="62" spans="1:6" ht="15.75" thickBot="1" x14ac:dyDescent="0.3">
      <c r="A62" s="49"/>
      <c r="B62" s="63" t="s">
        <v>158</v>
      </c>
      <c r="C62" s="50"/>
      <c r="D62" s="50"/>
      <c r="E62" s="50"/>
      <c r="F62" s="51"/>
    </row>
    <row r="63" spans="1:6" ht="15.75" thickBot="1" x14ac:dyDescent="0.3">
      <c r="A63" s="46"/>
      <c r="B63" s="47"/>
      <c r="C63" s="47"/>
      <c r="D63" s="47"/>
      <c r="E63" s="47"/>
      <c r="F63" s="48"/>
    </row>
    <row r="64" spans="1:6" x14ac:dyDescent="0.25">
      <c r="A64" s="43"/>
      <c r="B64" s="53" t="s">
        <v>159</v>
      </c>
      <c r="C64" s="44"/>
      <c r="D64" s="44"/>
      <c r="E64" s="44"/>
      <c r="F64" s="45"/>
    </row>
    <row r="65" spans="1:6" x14ac:dyDescent="0.25">
      <c r="A65" s="46" t="str">
        <f>+'3 CATÁLOGO DE M. DE O.'!A14</f>
        <v>MO01001</v>
      </c>
      <c r="B65" s="46" t="str">
        <f>+'3 CATÁLOGO DE M. DE O.'!B14</f>
        <v>PEÓN</v>
      </c>
      <c r="C65" s="46" t="str">
        <f>+'3 CATÁLOGO DE M. DE O.'!C14</f>
        <v>JOR</v>
      </c>
      <c r="D65" s="58">
        <f>+'3 CATÁLOGO DE M. DE O.'!F14</f>
        <v>512.24001763546801</v>
      </c>
      <c r="E65" s="47">
        <v>1</v>
      </c>
      <c r="F65" s="59">
        <f>+D65*E65</f>
        <v>512.24001763546801</v>
      </c>
    </row>
    <row r="66" spans="1:6" x14ac:dyDescent="0.25">
      <c r="A66" s="46" t="str">
        <f>+'3 CATÁLOGO DE M. DE O.'!A13</f>
        <v>MO02001</v>
      </c>
      <c r="B66" s="46" t="str">
        <f>+'3 CATÁLOGO DE M. DE O.'!B13</f>
        <v>OFICIAL ALBAÑIL</v>
      </c>
      <c r="C66" s="46" t="str">
        <f>+'3 CATÁLOGO DE M. DE O.'!C13</f>
        <v>JOR</v>
      </c>
      <c r="D66" s="58">
        <f>+'3 CATÁLOGO DE M. DE O.'!F13</f>
        <v>796.99683284482762</v>
      </c>
      <c r="E66" s="47">
        <v>1</v>
      </c>
      <c r="F66" s="59">
        <f>+D66*E66</f>
        <v>796.99683284482762</v>
      </c>
    </row>
    <row r="67" spans="1:6" x14ac:dyDescent="0.25">
      <c r="A67" s="46" t="str">
        <f>+'3 CATÁLOGO DE M. DE O.'!A15</f>
        <v>MO08001</v>
      </c>
      <c r="B67" s="46" t="str">
        <f>+'3 CATÁLOGO DE M. DE O.'!B15</f>
        <v>CABO DE OFICIOS</v>
      </c>
      <c r="C67" s="46" t="str">
        <f>+'3 CATÁLOGO DE M. DE O.'!C15</f>
        <v>JOR</v>
      </c>
      <c r="D67" s="58">
        <f>+'3 CATÁLOGO DE M. DE O.'!F15</f>
        <v>1227.1941539655172</v>
      </c>
      <c r="E67" s="47">
        <f>2/20</f>
        <v>0.1</v>
      </c>
      <c r="F67" s="59">
        <f>+D67*E67</f>
        <v>122.71941539655172</v>
      </c>
    </row>
    <row r="68" spans="1:6" x14ac:dyDescent="0.25">
      <c r="A68" s="46"/>
      <c r="B68" s="47"/>
      <c r="C68" s="47"/>
      <c r="D68" s="47"/>
      <c r="E68" s="47"/>
      <c r="F68" s="48"/>
    </row>
    <row r="69" spans="1:6" ht="15.75" thickBot="1" x14ac:dyDescent="0.3">
      <c r="A69" s="49"/>
      <c r="B69" s="63" t="s">
        <v>160</v>
      </c>
      <c r="C69" s="50"/>
      <c r="D69" s="50"/>
      <c r="E69" s="50"/>
      <c r="F69" s="64">
        <f>SUM(F65:F68)</f>
        <v>1431.9562658768475</v>
      </c>
    </row>
    <row r="70" spans="1:6" ht="15.75" thickBot="1" x14ac:dyDescent="0.3">
      <c r="A70" s="46"/>
      <c r="B70" s="47"/>
      <c r="C70" s="47"/>
      <c r="D70" s="47"/>
      <c r="E70" s="47"/>
      <c r="F70" s="48"/>
    </row>
    <row r="71" spans="1:6" x14ac:dyDescent="0.25">
      <c r="A71" s="43"/>
      <c r="B71" s="53" t="s">
        <v>161</v>
      </c>
      <c r="C71" s="44"/>
      <c r="D71" s="44"/>
      <c r="E71" s="44"/>
      <c r="F71" s="45"/>
    </row>
    <row r="72" spans="1:6" x14ac:dyDescent="0.25">
      <c r="A72" s="46"/>
      <c r="B72" s="47"/>
      <c r="C72" s="47"/>
      <c r="D72" s="47"/>
      <c r="E72" s="47"/>
      <c r="F72" s="48"/>
    </row>
    <row r="73" spans="1:6" x14ac:dyDescent="0.25">
      <c r="A73" s="46"/>
      <c r="B73" s="47"/>
      <c r="C73" s="47"/>
      <c r="D73" s="47"/>
      <c r="E73" s="47"/>
      <c r="F73" s="48"/>
    </row>
    <row r="74" spans="1:6" x14ac:dyDescent="0.25">
      <c r="A74" s="46"/>
      <c r="B74" s="47"/>
      <c r="C74" s="47"/>
      <c r="D74" s="47"/>
      <c r="E74" s="47"/>
      <c r="F74" s="48"/>
    </row>
    <row r="75" spans="1:6" ht="15.75" thickBot="1" x14ac:dyDescent="0.3">
      <c r="A75" s="49"/>
      <c r="B75" s="63" t="s">
        <v>162</v>
      </c>
      <c r="C75" s="50"/>
      <c r="D75" s="50"/>
      <c r="E75" s="50"/>
      <c r="F75" s="51"/>
    </row>
    <row r="76" spans="1:6" ht="15.75" thickBot="1" x14ac:dyDescent="0.3">
      <c r="A76" s="46"/>
      <c r="B76" s="47"/>
      <c r="C76" s="47"/>
      <c r="D76" s="47"/>
      <c r="E76" s="47"/>
      <c r="F76" s="48"/>
    </row>
    <row r="77" spans="1:6" x14ac:dyDescent="0.25">
      <c r="A77" s="43"/>
      <c r="B77" s="53" t="s">
        <v>163</v>
      </c>
      <c r="C77" s="44"/>
      <c r="D77" s="44"/>
      <c r="E77" s="44"/>
      <c r="F77" s="45"/>
    </row>
    <row r="78" spans="1:6" x14ac:dyDescent="0.25">
      <c r="A78" s="46"/>
      <c r="B78" s="47"/>
      <c r="C78" s="47"/>
      <c r="D78" s="47"/>
      <c r="E78" s="47"/>
      <c r="F78" s="48"/>
    </row>
    <row r="79" spans="1:6" x14ac:dyDescent="0.25">
      <c r="A79" s="46"/>
      <c r="B79" s="47"/>
      <c r="C79" s="47"/>
      <c r="D79" s="47"/>
      <c r="E79" s="47"/>
      <c r="F79" s="48"/>
    </row>
    <row r="80" spans="1:6" ht="15.75" thickBot="1" x14ac:dyDescent="0.3">
      <c r="A80" s="49"/>
      <c r="B80" s="63" t="s">
        <v>164</v>
      </c>
      <c r="C80" s="50"/>
      <c r="D80" s="50"/>
      <c r="E80" s="50"/>
      <c r="F80" s="51"/>
    </row>
    <row r="81" spans="1:6" x14ac:dyDescent="0.25">
      <c r="A81" s="46"/>
      <c r="B81" s="47"/>
      <c r="C81" s="47"/>
      <c r="D81" s="47"/>
      <c r="E81" s="47"/>
      <c r="F81" s="48"/>
    </row>
    <row r="82" spans="1:6" x14ac:dyDescent="0.25">
      <c r="A82" s="46"/>
      <c r="B82" s="57" t="s">
        <v>165</v>
      </c>
      <c r="C82" s="47"/>
      <c r="D82" s="47"/>
      <c r="E82" s="47"/>
      <c r="F82" s="59">
        <f>+F80+F75+F69+F62</f>
        <v>1431.9562658768475</v>
      </c>
    </row>
    <row r="83" spans="1:6" ht="15.75" thickBot="1" x14ac:dyDescent="0.3">
      <c r="A83" s="49"/>
      <c r="B83" s="50"/>
      <c r="C83" s="50"/>
      <c r="D83" s="50"/>
      <c r="E83" s="50"/>
      <c r="F83" s="51"/>
    </row>
    <row r="96" spans="1:6" ht="15.75" thickBot="1" x14ac:dyDescent="0.3"/>
    <row r="97" spans="1:6" x14ac:dyDescent="0.25">
      <c r="A97" s="43"/>
      <c r="B97" s="44"/>
      <c r="C97" s="44"/>
      <c r="D97" s="44"/>
      <c r="E97" s="44"/>
      <c r="F97" s="45"/>
    </row>
    <row r="98" spans="1:6" x14ac:dyDescent="0.25">
      <c r="A98" s="46"/>
      <c r="B98" s="47"/>
      <c r="C98" s="47"/>
      <c r="D98" s="47"/>
      <c r="E98" s="47"/>
      <c r="F98" s="48"/>
    </row>
    <row r="99" spans="1:6" ht="15.75" thickBot="1" x14ac:dyDescent="0.3">
      <c r="A99" s="49"/>
      <c r="B99" s="50"/>
      <c r="C99" s="50"/>
      <c r="D99" s="50"/>
      <c r="E99" s="50"/>
      <c r="F99" s="51"/>
    </row>
    <row r="100" spans="1:6" x14ac:dyDescent="0.25">
      <c r="A100" s="52" t="s">
        <v>154</v>
      </c>
      <c r="B100" s="53" t="s">
        <v>25</v>
      </c>
      <c r="C100" s="53" t="s">
        <v>26</v>
      </c>
      <c r="D100" s="44"/>
      <c r="E100" s="44"/>
      <c r="F100" s="45"/>
    </row>
    <row r="101" spans="1:6" ht="31.5" customHeight="1" thickBot="1" x14ac:dyDescent="0.3">
      <c r="A101" s="54" t="str">
        <f>+'5 CATÁLOGO DE BÁSICOS'!A13</f>
        <v>CUAD003</v>
      </c>
      <c r="B101" s="54" t="str">
        <f>+'5 CATÁLOGO DE BÁSICOS'!B13</f>
        <v>CUADRILLA No- 3 (1 OF. FIERRERO + 1 AYUD. ESPECIALIZ. +2/20 DE CABO DE OFICIOS</v>
      </c>
      <c r="C101" s="54" t="str">
        <f>+'5 CATÁLOGO DE BÁSICOS'!C13</f>
        <v>JOR</v>
      </c>
      <c r="D101" s="50"/>
      <c r="E101" s="50"/>
      <c r="F101" s="51"/>
    </row>
    <row r="102" spans="1:6" ht="15.75" thickBot="1" x14ac:dyDescent="0.3"/>
    <row r="103" spans="1:6" ht="15.75" thickBot="1" x14ac:dyDescent="0.3">
      <c r="A103" s="60" t="s">
        <v>154</v>
      </c>
      <c r="B103" s="61" t="s">
        <v>25</v>
      </c>
      <c r="C103" s="61" t="s">
        <v>26</v>
      </c>
      <c r="D103" s="61" t="s">
        <v>27</v>
      </c>
      <c r="E103" s="61" t="s">
        <v>155</v>
      </c>
      <c r="F103" s="62" t="s">
        <v>156</v>
      </c>
    </row>
    <row r="104" spans="1:6" x14ac:dyDescent="0.25">
      <c r="A104" s="43"/>
      <c r="B104" s="53" t="s">
        <v>157</v>
      </c>
      <c r="C104" s="44"/>
      <c r="D104" s="44"/>
      <c r="E104" s="44"/>
      <c r="F104" s="45"/>
    </row>
    <row r="105" spans="1:6" x14ac:dyDescent="0.25">
      <c r="A105" s="46"/>
      <c r="B105" s="47"/>
      <c r="C105" s="47"/>
      <c r="D105" s="47"/>
      <c r="E105" s="47"/>
      <c r="F105" s="48"/>
    </row>
    <row r="106" spans="1:6" x14ac:dyDescent="0.25">
      <c r="A106" s="46"/>
      <c r="B106" s="47"/>
      <c r="C106" s="47"/>
      <c r="D106" s="47"/>
      <c r="E106" s="47"/>
      <c r="F106" s="48"/>
    </row>
    <row r="107" spans="1:6" ht="15.75" thickBot="1" x14ac:dyDescent="0.3">
      <c r="A107" s="49"/>
      <c r="B107" s="63" t="s">
        <v>158</v>
      </c>
      <c r="C107" s="50"/>
      <c r="D107" s="50"/>
      <c r="E107" s="50"/>
      <c r="F107" s="51"/>
    </row>
    <row r="108" spans="1:6" ht="15.75" thickBot="1" x14ac:dyDescent="0.3">
      <c r="A108" s="46"/>
      <c r="B108" s="47"/>
      <c r="C108" s="47"/>
      <c r="D108" s="47"/>
      <c r="E108" s="47"/>
      <c r="F108" s="48"/>
    </row>
    <row r="109" spans="1:6" x14ac:dyDescent="0.25">
      <c r="A109" s="43"/>
      <c r="B109" s="53" t="s">
        <v>159</v>
      </c>
      <c r="C109" s="44"/>
      <c r="D109" s="44"/>
      <c r="E109" s="44"/>
      <c r="F109" s="45"/>
    </row>
    <row r="110" spans="1:6" x14ac:dyDescent="0.25">
      <c r="A110" s="46" t="str">
        <f>+'3 CATÁLOGO DE M. DE O.'!A12</f>
        <v>MO01002</v>
      </c>
      <c r="B110" s="46" t="str">
        <f>+'3 CATÁLOGO DE M. DE O.'!B12</f>
        <v>AYUDANTE ESPECIALIZADO</v>
      </c>
      <c r="C110" s="46" t="str">
        <f>+'3 CATÁLOGO DE M. DE O.'!C12</f>
        <v>JOR</v>
      </c>
      <c r="D110" s="58">
        <f>+'3 CATÁLOGO DE M. DE O.'!F12</f>
        <v>536.39953500000001</v>
      </c>
      <c r="E110" s="47">
        <v>1</v>
      </c>
      <c r="F110" s="59">
        <f>+D110*E110</f>
        <v>536.39953500000001</v>
      </c>
    </row>
    <row r="111" spans="1:6" x14ac:dyDescent="0.25">
      <c r="A111" s="46" t="str">
        <f>+'3 CATÁLOGO DE M. DE O.'!A17</f>
        <v>MO04001</v>
      </c>
      <c r="B111" s="46" t="str">
        <f>+'3 CATÁLOGO DE M. DE O.'!B17</f>
        <v>OFICIAL FIERRERO</v>
      </c>
      <c r="C111" s="46" t="str">
        <f>+'3 CATÁLOGO DE M. DE O.'!C17</f>
        <v>JOR</v>
      </c>
      <c r="D111" s="58">
        <f>+'3 CATÁLOGO DE M. DE O.'!F17</f>
        <v>883.03629706896561</v>
      </c>
      <c r="E111" s="47">
        <v>1</v>
      </c>
      <c r="F111" s="59">
        <f>+D111*E111</f>
        <v>883.03629706896561</v>
      </c>
    </row>
    <row r="112" spans="1:6" x14ac:dyDescent="0.25">
      <c r="A112" s="46" t="str">
        <f>+'3 CATÁLOGO DE M. DE O.'!A15</f>
        <v>MO08001</v>
      </c>
      <c r="B112" s="46" t="str">
        <f>+'3 CATÁLOGO DE M. DE O.'!B15</f>
        <v>CABO DE OFICIOS</v>
      </c>
      <c r="C112" s="46" t="str">
        <f>+'3 CATÁLOGO DE M. DE O.'!C15</f>
        <v>JOR</v>
      </c>
      <c r="D112" s="58">
        <f>+'3 CATÁLOGO DE M. DE O.'!F15</f>
        <v>1227.1941539655172</v>
      </c>
      <c r="E112" s="47">
        <f>2/20</f>
        <v>0.1</v>
      </c>
      <c r="F112" s="59">
        <f>+D112*E112</f>
        <v>122.71941539655172</v>
      </c>
    </row>
    <row r="113" spans="1:6" x14ac:dyDescent="0.25">
      <c r="A113" s="46"/>
      <c r="B113" s="47"/>
      <c r="C113" s="47"/>
      <c r="D113" s="47"/>
      <c r="E113" s="47"/>
      <c r="F113" s="48"/>
    </row>
    <row r="114" spans="1:6" ht="15.75" thickBot="1" x14ac:dyDescent="0.3">
      <c r="A114" s="49"/>
      <c r="B114" s="63" t="s">
        <v>160</v>
      </c>
      <c r="C114" s="50"/>
      <c r="D114" s="50"/>
      <c r="E114" s="50"/>
      <c r="F114" s="64">
        <f>SUM(F110:F113)</f>
        <v>1542.1552474655175</v>
      </c>
    </row>
    <row r="115" spans="1:6" ht="15.75" thickBot="1" x14ac:dyDescent="0.3">
      <c r="A115" s="46"/>
      <c r="B115" s="47"/>
      <c r="C115" s="47"/>
      <c r="D115" s="47"/>
      <c r="E115" s="47"/>
      <c r="F115" s="48"/>
    </row>
    <row r="116" spans="1:6" x14ac:dyDescent="0.25">
      <c r="A116" s="43"/>
      <c r="B116" s="53" t="s">
        <v>161</v>
      </c>
      <c r="C116" s="44"/>
      <c r="D116" s="44"/>
      <c r="E116" s="44"/>
      <c r="F116" s="45"/>
    </row>
    <row r="117" spans="1:6" x14ac:dyDescent="0.25">
      <c r="A117" s="46"/>
      <c r="B117" s="47"/>
      <c r="C117" s="47"/>
      <c r="D117" s="47"/>
      <c r="E117" s="47"/>
      <c r="F117" s="48"/>
    </row>
    <row r="118" spans="1:6" x14ac:dyDescent="0.25">
      <c r="A118" s="46"/>
      <c r="B118" s="47"/>
      <c r="C118" s="47"/>
      <c r="D118" s="47"/>
      <c r="E118" s="47"/>
      <c r="F118" s="48"/>
    </row>
    <row r="119" spans="1:6" x14ac:dyDescent="0.25">
      <c r="A119" s="46"/>
      <c r="B119" s="47"/>
      <c r="C119" s="47"/>
      <c r="D119" s="47"/>
      <c r="E119" s="47"/>
      <c r="F119" s="48"/>
    </row>
    <row r="120" spans="1:6" ht="15.75" thickBot="1" x14ac:dyDescent="0.3">
      <c r="A120" s="49"/>
      <c r="B120" s="63" t="s">
        <v>162</v>
      </c>
      <c r="C120" s="50"/>
      <c r="D120" s="50"/>
      <c r="E120" s="50"/>
      <c r="F120" s="51"/>
    </row>
    <row r="121" spans="1:6" ht="15.75" thickBot="1" x14ac:dyDescent="0.3">
      <c r="A121" s="46"/>
      <c r="B121" s="47"/>
      <c r="C121" s="47"/>
      <c r="D121" s="47"/>
      <c r="E121" s="47"/>
      <c r="F121" s="48"/>
    </row>
    <row r="122" spans="1:6" x14ac:dyDescent="0.25">
      <c r="A122" s="43"/>
      <c r="B122" s="53" t="s">
        <v>163</v>
      </c>
      <c r="C122" s="44"/>
      <c r="D122" s="44"/>
      <c r="E122" s="44"/>
      <c r="F122" s="45"/>
    </row>
    <row r="123" spans="1:6" x14ac:dyDescent="0.25">
      <c r="A123" s="46"/>
      <c r="B123" s="47"/>
      <c r="C123" s="47"/>
      <c r="D123" s="47"/>
      <c r="E123" s="47"/>
      <c r="F123" s="48"/>
    </row>
    <row r="124" spans="1:6" x14ac:dyDescent="0.25">
      <c r="A124" s="46"/>
      <c r="B124" s="47"/>
      <c r="C124" s="47"/>
      <c r="D124" s="47"/>
      <c r="E124" s="47"/>
      <c r="F124" s="48"/>
    </row>
    <row r="125" spans="1:6" ht="15.75" thickBot="1" x14ac:dyDescent="0.3">
      <c r="A125" s="49"/>
      <c r="B125" s="63" t="s">
        <v>164</v>
      </c>
      <c r="C125" s="50"/>
      <c r="D125" s="50"/>
      <c r="E125" s="50"/>
      <c r="F125" s="51"/>
    </row>
    <row r="126" spans="1:6" x14ac:dyDescent="0.25">
      <c r="A126" s="46"/>
      <c r="B126" s="47"/>
      <c r="C126" s="47"/>
      <c r="D126" s="47"/>
      <c r="E126" s="47"/>
      <c r="F126" s="48"/>
    </row>
    <row r="127" spans="1:6" x14ac:dyDescent="0.25">
      <c r="A127" s="46"/>
      <c r="B127" s="57" t="s">
        <v>165</v>
      </c>
      <c r="C127" s="47"/>
      <c r="D127" s="47"/>
      <c r="E127" s="47"/>
      <c r="F127" s="59">
        <f>+F125+F120+F114+F107</f>
        <v>1542.1552474655175</v>
      </c>
    </row>
    <row r="128" spans="1:6" ht="15.75" thickBot="1" x14ac:dyDescent="0.3">
      <c r="A128" s="49"/>
      <c r="B128" s="50"/>
      <c r="C128" s="50"/>
      <c r="D128" s="50"/>
      <c r="E128" s="50"/>
      <c r="F128" s="51"/>
    </row>
    <row r="141" spans="1:6" ht="15.75" thickBot="1" x14ac:dyDescent="0.3"/>
    <row r="142" spans="1:6" x14ac:dyDescent="0.25">
      <c r="A142" s="43"/>
      <c r="B142" s="44"/>
      <c r="C142" s="44"/>
      <c r="D142" s="44"/>
      <c r="E142" s="44"/>
      <c r="F142" s="45"/>
    </row>
    <row r="143" spans="1:6" x14ac:dyDescent="0.25">
      <c r="A143" s="46"/>
      <c r="B143" s="47"/>
      <c r="C143" s="47"/>
      <c r="D143" s="47"/>
      <c r="E143" s="47"/>
      <c r="F143" s="48"/>
    </row>
    <row r="144" spans="1:6" ht="15.75" thickBot="1" x14ac:dyDescent="0.3">
      <c r="A144" s="49"/>
      <c r="B144" s="50"/>
      <c r="C144" s="50"/>
      <c r="D144" s="50"/>
      <c r="E144" s="50"/>
      <c r="F144" s="51"/>
    </row>
    <row r="145" spans="1:6" x14ac:dyDescent="0.25">
      <c r="A145" s="52" t="s">
        <v>154</v>
      </c>
      <c r="B145" s="53" t="s">
        <v>25</v>
      </c>
      <c r="C145" s="53" t="s">
        <v>26</v>
      </c>
      <c r="D145" s="44"/>
      <c r="E145" s="44"/>
      <c r="F145" s="45"/>
    </row>
    <row r="146" spans="1:6" ht="31.5" customHeight="1" thickBot="1" x14ac:dyDescent="0.3">
      <c r="A146" s="54" t="str">
        <f>+'5 CATÁLOGO DE BÁSICOS'!A16</f>
        <v>CUAD006</v>
      </c>
      <c r="B146" s="54" t="str">
        <f>+'5 CATÁLOGO DE BÁSICOS'!B16</f>
        <v>CUADRILLA No. 6 (1 TÉCNICO TOPÓGRAFO +2 AYUDANTES ESPECIALIZADOS)</v>
      </c>
      <c r="C146" s="54" t="str">
        <f>+'5 CATÁLOGO DE BÁSICOS'!C16</f>
        <v>JOR</v>
      </c>
      <c r="D146" s="50"/>
      <c r="E146" s="50"/>
      <c r="F146" s="51"/>
    </row>
    <row r="147" spans="1:6" ht="15.75" thickBot="1" x14ac:dyDescent="0.3"/>
    <row r="148" spans="1:6" ht="15.75" thickBot="1" x14ac:dyDescent="0.3">
      <c r="A148" s="60" t="s">
        <v>154</v>
      </c>
      <c r="B148" s="61" t="s">
        <v>25</v>
      </c>
      <c r="C148" s="61" t="s">
        <v>26</v>
      </c>
      <c r="D148" s="61" t="s">
        <v>27</v>
      </c>
      <c r="E148" s="61" t="s">
        <v>155</v>
      </c>
      <c r="F148" s="62" t="s">
        <v>156</v>
      </c>
    </row>
    <row r="149" spans="1:6" x14ac:dyDescent="0.25">
      <c r="A149" s="43"/>
      <c r="B149" s="53" t="s">
        <v>157</v>
      </c>
      <c r="C149" s="44"/>
      <c r="D149" s="44"/>
      <c r="E149" s="44"/>
      <c r="F149" s="45"/>
    </row>
    <row r="150" spans="1:6" x14ac:dyDescent="0.25">
      <c r="A150" s="46"/>
      <c r="B150" s="47"/>
      <c r="C150" s="47"/>
      <c r="D150" s="47"/>
      <c r="E150" s="47"/>
      <c r="F150" s="48"/>
    </row>
    <row r="151" spans="1:6" x14ac:dyDescent="0.25">
      <c r="A151" s="46"/>
      <c r="B151" s="47"/>
      <c r="C151" s="47"/>
      <c r="D151" s="47"/>
      <c r="E151" s="47"/>
      <c r="F151" s="48"/>
    </row>
    <row r="152" spans="1:6" ht="15.75" thickBot="1" x14ac:dyDescent="0.3">
      <c r="A152" s="49"/>
      <c r="B152" s="63" t="s">
        <v>158</v>
      </c>
      <c r="C152" s="50"/>
      <c r="D152" s="50"/>
      <c r="E152" s="50"/>
      <c r="F152" s="51"/>
    </row>
    <row r="153" spans="1:6" ht="15.75" thickBot="1" x14ac:dyDescent="0.3">
      <c r="A153" s="46"/>
      <c r="B153" s="47"/>
      <c r="C153" s="47"/>
      <c r="D153" s="47"/>
      <c r="E153" s="47"/>
      <c r="F153" s="48"/>
    </row>
    <row r="154" spans="1:6" x14ac:dyDescent="0.25">
      <c r="A154" s="43"/>
      <c r="B154" s="53" t="s">
        <v>159</v>
      </c>
      <c r="C154" s="44"/>
      <c r="D154" s="44"/>
      <c r="E154" s="44"/>
      <c r="F154" s="45"/>
    </row>
    <row r="155" spans="1:6" x14ac:dyDescent="0.25">
      <c r="A155" s="46" t="str">
        <f>+'3 CATÁLOGO DE M. DE O.'!A11</f>
        <v>MO08003</v>
      </c>
      <c r="B155" s="46" t="str">
        <f>+'3 CATÁLOGO DE M. DE O.'!B11</f>
        <v>TÉCNICO TOPÓGRAFO</v>
      </c>
      <c r="C155" s="46" t="str">
        <f>+'3 CATÁLOGO DE M. DE O.'!C11</f>
        <v>JOR</v>
      </c>
      <c r="D155" s="58">
        <f>+'3 CATÁLOGO DE M. DE O.'!F11</f>
        <v>1227.1941539655172</v>
      </c>
      <c r="E155" s="47">
        <v>1</v>
      </c>
      <c r="F155" s="59">
        <f>+D155*E155</f>
        <v>1227.1941539655172</v>
      </c>
    </row>
    <row r="156" spans="1:6" x14ac:dyDescent="0.25">
      <c r="A156" s="46" t="str">
        <f>+'3 CATÁLOGO DE M. DE O.'!A12</f>
        <v>MO01002</v>
      </c>
      <c r="B156" s="46" t="str">
        <f>+'3 CATÁLOGO DE M. DE O.'!B12</f>
        <v>AYUDANTE ESPECIALIZADO</v>
      </c>
      <c r="C156" s="46" t="str">
        <f>+'3 CATÁLOGO DE M. DE O.'!C12</f>
        <v>JOR</v>
      </c>
      <c r="D156" s="58">
        <f>+'3 CATÁLOGO DE M. DE O.'!F12</f>
        <v>536.39953500000001</v>
      </c>
      <c r="E156" s="47">
        <v>2</v>
      </c>
      <c r="F156" s="59">
        <f>+D156*E156</f>
        <v>1072.79907</v>
      </c>
    </row>
    <row r="157" spans="1:6" x14ac:dyDescent="0.25">
      <c r="A157" s="46"/>
      <c r="B157" s="46"/>
      <c r="C157" s="46"/>
      <c r="D157" s="58"/>
      <c r="E157" s="47"/>
      <c r="F157" s="59"/>
    </row>
    <row r="158" spans="1:6" x14ac:dyDescent="0.25">
      <c r="A158" s="46"/>
      <c r="B158" s="47"/>
      <c r="C158" s="47"/>
      <c r="D158" s="47"/>
      <c r="E158" s="47"/>
      <c r="F158" s="48"/>
    </row>
    <row r="159" spans="1:6" ht="15.75" thickBot="1" x14ac:dyDescent="0.3">
      <c r="A159" s="49"/>
      <c r="B159" s="63" t="s">
        <v>160</v>
      </c>
      <c r="C159" s="50"/>
      <c r="D159" s="50"/>
      <c r="E159" s="50"/>
      <c r="F159" s="64">
        <f>SUM(F155:F158)</f>
        <v>2299.9932239655172</v>
      </c>
    </row>
    <row r="160" spans="1:6" ht="15.75" thickBot="1" x14ac:dyDescent="0.3">
      <c r="A160" s="46"/>
      <c r="B160" s="47"/>
      <c r="C160" s="47"/>
      <c r="D160" s="47"/>
      <c r="E160" s="47"/>
      <c r="F160" s="48"/>
    </row>
    <row r="161" spans="1:6" x14ac:dyDescent="0.25">
      <c r="A161" s="43"/>
      <c r="B161" s="53" t="s">
        <v>161</v>
      </c>
      <c r="C161" s="44"/>
      <c r="D161" s="44"/>
      <c r="E161" s="44"/>
      <c r="F161" s="45"/>
    </row>
    <row r="162" spans="1:6" x14ac:dyDescent="0.25">
      <c r="A162" s="46"/>
      <c r="B162" s="47"/>
      <c r="C162" s="47"/>
      <c r="D162" s="47"/>
      <c r="E162" s="47"/>
      <c r="F162" s="48"/>
    </row>
    <row r="163" spans="1:6" x14ac:dyDescent="0.25">
      <c r="A163" s="46"/>
      <c r="B163" s="47"/>
      <c r="C163" s="47"/>
      <c r="D163" s="47"/>
      <c r="E163" s="47"/>
      <c r="F163" s="48"/>
    </row>
    <row r="164" spans="1:6" x14ac:dyDescent="0.25">
      <c r="A164" s="46"/>
      <c r="B164" s="47"/>
      <c r="C164" s="47"/>
      <c r="D164" s="47"/>
      <c r="E164" s="47"/>
      <c r="F164" s="48"/>
    </row>
    <row r="165" spans="1:6" ht="15.75" thickBot="1" x14ac:dyDescent="0.3">
      <c r="A165" s="49"/>
      <c r="B165" s="63" t="s">
        <v>162</v>
      </c>
      <c r="C165" s="50"/>
      <c r="D165" s="50"/>
      <c r="E165" s="50"/>
      <c r="F165" s="51"/>
    </row>
    <row r="166" spans="1:6" ht="15.75" thickBot="1" x14ac:dyDescent="0.3">
      <c r="A166" s="46"/>
      <c r="B166" s="47"/>
      <c r="C166" s="47"/>
      <c r="D166" s="47"/>
      <c r="E166" s="47"/>
      <c r="F166" s="48"/>
    </row>
    <row r="167" spans="1:6" x14ac:dyDescent="0.25">
      <c r="A167" s="43"/>
      <c r="B167" s="53" t="s">
        <v>163</v>
      </c>
      <c r="C167" s="44"/>
      <c r="D167" s="44"/>
      <c r="E167" s="44"/>
      <c r="F167" s="45"/>
    </row>
    <row r="168" spans="1:6" x14ac:dyDescent="0.25">
      <c r="A168" s="46"/>
      <c r="B168" s="47"/>
      <c r="C168" s="47"/>
      <c r="D168" s="47"/>
      <c r="E168" s="47"/>
      <c r="F168" s="48"/>
    </row>
    <row r="169" spans="1:6" x14ac:dyDescent="0.25">
      <c r="A169" s="46"/>
      <c r="B169" s="47"/>
      <c r="C169" s="47"/>
      <c r="D169" s="47"/>
      <c r="E169" s="47"/>
      <c r="F169" s="48"/>
    </row>
    <row r="170" spans="1:6" ht="15.75" thickBot="1" x14ac:dyDescent="0.3">
      <c r="A170" s="49"/>
      <c r="B170" s="63" t="s">
        <v>164</v>
      </c>
      <c r="C170" s="50"/>
      <c r="D170" s="50"/>
      <c r="E170" s="50"/>
      <c r="F170" s="51"/>
    </row>
    <row r="171" spans="1:6" x14ac:dyDescent="0.25">
      <c r="A171" s="46"/>
      <c r="B171" s="47"/>
      <c r="C171" s="47"/>
      <c r="D171" s="47"/>
      <c r="E171" s="47"/>
      <c r="F171" s="48"/>
    </row>
    <row r="172" spans="1:6" x14ac:dyDescent="0.25">
      <c r="A172" s="46"/>
      <c r="B172" s="57" t="s">
        <v>165</v>
      </c>
      <c r="C172" s="47"/>
      <c r="D172" s="47"/>
      <c r="E172" s="47"/>
      <c r="F172" s="59">
        <f>+F170+F165+F159+F152</f>
        <v>2299.9932239655172</v>
      </c>
    </row>
    <row r="173" spans="1:6" ht="15.75" thickBot="1" x14ac:dyDescent="0.3">
      <c r="A173" s="49"/>
      <c r="B173" s="50"/>
      <c r="C173" s="50"/>
      <c r="D173" s="50"/>
      <c r="E173" s="50"/>
      <c r="F173" s="51"/>
    </row>
    <row r="186" spans="1:6" ht="15.75" thickBot="1" x14ac:dyDescent="0.3"/>
    <row r="187" spans="1:6" x14ac:dyDescent="0.25">
      <c r="A187" s="43"/>
      <c r="B187" s="44"/>
      <c r="C187" s="44"/>
      <c r="D187" s="44"/>
      <c r="E187" s="44"/>
      <c r="F187" s="45"/>
    </row>
    <row r="188" spans="1:6" x14ac:dyDescent="0.25">
      <c r="A188" s="46"/>
      <c r="B188" s="47"/>
      <c r="C188" s="47"/>
      <c r="D188" s="47"/>
      <c r="E188" s="47"/>
      <c r="F188" s="48"/>
    </row>
    <row r="189" spans="1:6" ht="15.75" thickBot="1" x14ac:dyDescent="0.3">
      <c r="A189" s="49"/>
      <c r="B189" s="50"/>
      <c r="C189" s="50"/>
      <c r="D189" s="50"/>
      <c r="E189" s="50"/>
      <c r="F189" s="51"/>
    </row>
    <row r="190" spans="1:6" x14ac:dyDescent="0.25">
      <c r="A190" s="52" t="s">
        <v>154</v>
      </c>
      <c r="B190" s="53" t="s">
        <v>25</v>
      </c>
      <c r="C190" s="53" t="s">
        <v>26</v>
      </c>
      <c r="D190" s="44"/>
      <c r="E190" s="44"/>
      <c r="F190" s="45"/>
    </row>
    <row r="191" spans="1:6" ht="31.5" customHeight="1" thickBot="1" x14ac:dyDescent="0.3">
      <c r="A191" s="54" t="str">
        <f>+'5 CATÁLOGO DE BÁSICOS'!A15</f>
        <v>CUAD005</v>
      </c>
      <c r="B191" s="54" t="str">
        <f>+'5 CATÁLOGO DE BÁSICOS'!B15</f>
        <v>CUADRILLA No. 5 (1 OF. ALBAÑIL + 4 PEÓN + 5/20 DE CABO DE OFICIOS)</v>
      </c>
      <c r="C191" s="54" t="str">
        <f>+'5 CATÁLOGO DE BÁSICOS'!C15</f>
        <v>JOR</v>
      </c>
      <c r="D191" s="50"/>
      <c r="E191" s="50"/>
      <c r="F191" s="51"/>
    </row>
    <row r="192" spans="1:6" ht="15.75" thickBot="1" x14ac:dyDescent="0.3"/>
    <row r="193" spans="1:6" ht="15.75" thickBot="1" x14ac:dyDescent="0.3">
      <c r="A193" s="60" t="s">
        <v>154</v>
      </c>
      <c r="B193" s="61" t="s">
        <v>25</v>
      </c>
      <c r="C193" s="61" t="s">
        <v>26</v>
      </c>
      <c r="D193" s="61" t="s">
        <v>27</v>
      </c>
      <c r="E193" s="61" t="s">
        <v>155</v>
      </c>
      <c r="F193" s="62" t="s">
        <v>156</v>
      </c>
    </row>
    <row r="194" spans="1:6" x14ac:dyDescent="0.25">
      <c r="A194" s="43"/>
      <c r="B194" s="53" t="s">
        <v>157</v>
      </c>
      <c r="C194" s="44"/>
      <c r="D194" s="44"/>
      <c r="E194" s="44"/>
      <c r="F194" s="45"/>
    </row>
    <row r="195" spans="1:6" x14ac:dyDescent="0.25">
      <c r="A195" s="46"/>
      <c r="B195" s="47"/>
      <c r="C195" s="47"/>
      <c r="D195" s="47"/>
      <c r="E195" s="47"/>
      <c r="F195" s="48"/>
    </row>
    <row r="196" spans="1:6" x14ac:dyDescent="0.25">
      <c r="A196" s="46"/>
      <c r="B196" s="47"/>
      <c r="C196" s="47"/>
      <c r="D196" s="47"/>
      <c r="E196" s="47"/>
      <c r="F196" s="48"/>
    </row>
    <row r="197" spans="1:6" ht="15.75" thickBot="1" x14ac:dyDescent="0.3">
      <c r="A197" s="49"/>
      <c r="B197" s="63" t="s">
        <v>158</v>
      </c>
      <c r="C197" s="50"/>
      <c r="D197" s="50"/>
      <c r="E197" s="50"/>
      <c r="F197" s="51"/>
    </row>
    <row r="198" spans="1:6" ht="15.75" thickBot="1" x14ac:dyDescent="0.3">
      <c r="A198" s="46"/>
      <c r="B198" s="47"/>
      <c r="C198" s="47"/>
      <c r="D198" s="47"/>
      <c r="E198" s="47"/>
      <c r="F198" s="48"/>
    </row>
    <row r="199" spans="1:6" x14ac:dyDescent="0.25">
      <c r="A199" s="43"/>
      <c r="B199" s="53" t="s">
        <v>159</v>
      </c>
      <c r="C199" s="44"/>
      <c r="D199" s="44"/>
      <c r="E199" s="44"/>
      <c r="F199" s="45"/>
    </row>
    <row r="200" spans="1:6" x14ac:dyDescent="0.25">
      <c r="A200" s="46" t="str">
        <f>+'3 CATÁLOGO DE M. DE O.'!A13</f>
        <v>MO02001</v>
      </c>
      <c r="B200" s="46" t="str">
        <f>+'3 CATÁLOGO DE M. DE O.'!B13</f>
        <v>OFICIAL ALBAÑIL</v>
      </c>
      <c r="C200" s="46" t="str">
        <f>+'3 CATÁLOGO DE M. DE O.'!C13</f>
        <v>JOR</v>
      </c>
      <c r="D200" s="58">
        <f>+'3 CATÁLOGO DE M. DE O.'!F13</f>
        <v>796.99683284482762</v>
      </c>
      <c r="E200" s="47">
        <v>1</v>
      </c>
      <c r="F200" s="59">
        <f>+D200*E200</f>
        <v>796.99683284482762</v>
      </c>
    </row>
    <row r="201" spans="1:6" x14ac:dyDescent="0.25">
      <c r="A201" s="46" t="str">
        <f>+'3 CATÁLOGO DE M. DE O.'!A14</f>
        <v>MO01001</v>
      </c>
      <c r="B201" s="46" t="str">
        <f>+'3 CATÁLOGO DE M. DE O.'!B14</f>
        <v>PEÓN</v>
      </c>
      <c r="C201" s="46" t="str">
        <f>+'3 CATÁLOGO DE M. DE O.'!C14</f>
        <v>JOR</v>
      </c>
      <c r="D201" s="58">
        <f>+'3 CATÁLOGO DE M. DE O.'!F14</f>
        <v>512.24001763546801</v>
      </c>
      <c r="E201" s="47">
        <v>4</v>
      </c>
      <c r="F201" s="59">
        <f>+D201*E201</f>
        <v>2048.960070541872</v>
      </c>
    </row>
    <row r="202" spans="1:6" x14ac:dyDescent="0.25">
      <c r="A202" s="46" t="str">
        <f>+'3 CATÁLOGO DE M. DE O.'!A15</f>
        <v>MO08001</v>
      </c>
      <c r="B202" s="46" t="str">
        <f>+'3 CATÁLOGO DE M. DE O.'!B15</f>
        <v>CABO DE OFICIOS</v>
      </c>
      <c r="C202" s="46" t="str">
        <f>+'3 CATÁLOGO DE M. DE O.'!C15</f>
        <v>JOR</v>
      </c>
      <c r="D202" s="58">
        <f>+'3 CATÁLOGO DE M. DE O.'!F15</f>
        <v>1227.1941539655172</v>
      </c>
      <c r="E202" s="47">
        <f>5/20</f>
        <v>0.25</v>
      </c>
      <c r="F202" s="59">
        <f>+D202*E202</f>
        <v>306.7985384913793</v>
      </c>
    </row>
    <row r="203" spans="1:6" x14ac:dyDescent="0.25">
      <c r="A203" s="46"/>
      <c r="B203" s="47"/>
      <c r="C203" s="47"/>
      <c r="D203" s="47"/>
      <c r="E203" s="47"/>
      <c r="F203" s="48"/>
    </row>
    <row r="204" spans="1:6" ht="15.75" thickBot="1" x14ac:dyDescent="0.3">
      <c r="A204" s="49"/>
      <c r="B204" s="63" t="s">
        <v>160</v>
      </c>
      <c r="C204" s="50"/>
      <c r="D204" s="50"/>
      <c r="E204" s="50"/>
      <c r="F204" s="64">
        <f>SUM(F200:F203)</f>
        <v>3152.7554418780792</v>
      </c>
    </row>
    <row r="205" spans="1:6" ht="15.75" thickBot="1" x14ac:dyDescent="0.3">
      <c r="A205" s="46"/>
      <c r="B205" s="47"/>
      <c r="C205" s="47"/>
      <c r="D205" s="47"/>
      <c r="E205" s="47"/>
      <c r="F205" s="48"/>
    </row>
    <row r="206" spans="1:6" x14ac:dyDescent="0.25">
      <c r="A206" s="43"/>
      <c r="B206" s="53" t="s">
        <v>161</v>
      </c>
      <c r="C206" s="44"/>
      <c r="D206" s="44"/>
      <c r="E206" s="44"/>
      <c r="F206" s="45"/>
    </row>
    <row r="207" spans="1:6" x14ac:dyDescent="0.25">
      <c r="A207" s="46"/>
      <c r="B207" s="47"/>
      <c r="C207" s="47"/>
      <c r="D207" s="47"/>
      <c r="E207" s="47"/>
      <c r="F207" s="48"/>
    </row>
    <row r="208" spans="1:6" x14ac:dyDescent="0.25">
      <c r="A208" s="46"/>
      <c r="B208" s="47"/>
      <c r="C208" s="47"/>
      <c r="D208" s="47"/>
      <c r="E208" s="47"/>
      <c r="F208" s="48"/>
    </row>
    <row r="209" spans="1:6" x14ac:dyDescent="0.25">
      <c r="A209" s="46"/>
      <c r="B209" s="47"/>
      <c r="C209" s="47"/>
      <c r="D209" s="47"/>
      <c r="E209" s="47"/>
      <c r="F209" s="48"/>
    </row>
    <row r="210" spans="1:6" ht="15.75" thickBot="1" x14ac:dyDescent="0.3">
      <c r="A210" s="49"/>
      <c r="B210" s="63" t="s">
        <v>162</v>
      </c>
      <c r="C210" s="50"/>
      <c r="D210" s="50"/>
      <c r="E210" s="50"/>
      <c r="F210" s="51"/>
    </row>
    <row r="211" spans="1:6" ht="15.75" thickBot="1" x14ac:dyDescent="0.3">
      <c r="A211" s="46"/>
      <c r="B211" s="47"/>
      <c r="C211" s="47"/>
      <c r="D211" s="47"/>
      <c r="E211" s="47"/>
      <c r="F211" s="48"/>
    </row>
    <row r="212" spans="1:6" x14ac:dyDescent="0.25">
      <c r="A212" s="43"/>
      <c r="B212" s="53" t="s">
        <v>163</v>
      </c>
      <c r="C212" s="44"/>
      <c r="D212" s="44"/>
      <c r="E212" s="44"/>
      <c r="F212" s="45"/>
    </row>
    <row r="213" spans="1:6" x14ac:dyDescent="0.25">
      <c r="A213" s="46"/>
      <c r="B213" s="47"/>
      <c r="C213" s="47"/>
      <c r="D213" s="47"/>
      <c r="E213" s="47"/>
      <c r="F213" s="48"/>
    </row>
    <row r="214" spans="1:6" x14ac:dyDescent="0.25">
      <c r="A214" s="46"/>
      <c r="B214" s="47"/>
      <c r="C214" s="47"/>
      <c r="D214" s="47"/>
      <c r="E214" s="47"/>
      <c r="F214" s="48"/>
    </row>
    <row r="215" spans="1:6" ht="15.75" thickBot="1" x14ac:dyDescent="0.3">
      <c r="A215" s="49"/>
      <c r="B215" s="63" t="s">
        <v>164</v>
      </c>
      <c r="C215" s="50"/>
      <c r="D215" s="50"/>
      <c r="E215" s="50"/>
      <c r="F215" s="51"/>
    </row>
    <row r="216" spans="1:6" x14ac:dyDescent="0.25">
      <c r="A216" s="46"/>
      <c r="B216" s="47"/>
      <c r="C216" s="47"/>
      <c r="D216" s="47"/>
      <c r="E216" s="47"/>
      <c r="F216" s="48"/>
    </row>
    <row r="217" spans="1:6" x14ac:dyDescent="0.25">
      <c r="A217" s="46"/>
      <c r="B217" s="57" t="s">
        <v>165</v>
      </c>
      <c r="C217" s="47"/>
      <c r="D217" s="47"/>
      <c r="E217" s="47"/>
      <c r="F217" s="59">
        <f>+F215+F210+F204+F197</f>
        <v>3152.7554418780792</v>
      </c>
    </row>
    <row r="218" spans="1:6" ht="15.75" thickBot="1" x14ac:dyDescent="0.3">
      <c r="A218" s="49"/>
      <c r="B218" s="50"/>
      <c r="C218" s="50"/>
      <c r="D218" s="50"/>
      <c r="E218" s="50"/>
      <c r="F218" s="51"/>
    </row>
    <row r="231" spans="1:6" ht="15.75" thickBot="1" x14ac:dyDescent="0.3"/>
    <row r="232" spans="1:6" x14ac:dyDescent="0.25">
      <c r="A232" s="43"/>
      <c r="B232" s="44"/>
      <c r="C232" s="44"/>
      <c r="D232" s="44"/>
      <c r="E232" s="44"/>
      <c r="F232" s="45"/>
    </row>
    <row r="233" spans="1:6" x14ac:dyDescent="0.25">
      <c r="A233" s="46"/>
      <c r="B233" s="47"/>
      <c r="C233" s="47"/>
      <c r="D233" s="47"/>
      <c r="E233" s="47"/>
      <c r="F233" s="48"/>
    </row>
    <row r="234" spans="1:6" ht="15.75" thickBot="1" x14ac:dyDescent="0.3">
      <c r="A234" s="49"/>
      <c r="B234" s="50"/>
      <c r="C234" s="50"/>
      <c r="D234" s="50"/>
      <c r="E234" s="50"/>
      <c r="F234" s="51"/>
    </row>
    <row r="235" spans="1:6" x14ac:dyDescent="0.25">
      <c r="A235" s="52" t="s">
        <v>154</v>
      </c>
      <c r="B235" s="53" t="s">
        <v>25</v>
      </c>
      <c r="C235" s="53" t="s">
        <v>26</v>
      </c>
      <c r="D235" s="44"/>
      <c r="E235" s="44"/>
      <c r="F235" s="45"/>
    </row>
    <row r="236" spans="1:6" ht="15.75" thickBot="1" x14ac:dyDescent="0.3">
      <c r="A236" s="54" t="str">
        <f>+'5 CATÁLOGO DE BÁSICOS'!A17</f>
        <v>BAMOR01</v>
      </c>
      <c r="B236" s="54" t="str">
        <f>+'5 CATÁLOGO DE BÁSICOS'!B17</f>
        <v>MORTERO CEMENTO -ARENA PROP. 1:3</v>
      </c>
      <c r="C236" s="334" t="str">
        <f>+'5 CATÁLOGO DE BÁSICOS'!C17</f>
        <v>M3</v>
      </c>
      <c r="D236" s="50"/>
      <c r="E236" s="50"/>
      <c r="F236" s="51"/>
    </row>
    <row r="237" spans="1:6" ht="15.75" thickBot="1" x14ac:dyDescent="0.3"/>
    <row r="238" spans="1:6" ht="15.75" thickBot="1" x14ac:dyDescent="0.3">
      <c r="A238" s="60" t="s">
        <v>154</v>
      </c>
      <c r="B238" s="61" t="s">
        <v>25</v>
      </c>
      <c r="C238" s="61" t="s">
        <v>26</v>
      </c>
      <c r="D238" s="61" t="s">
        <v>27</v>
      </c>
      <c r="E238" s="61" t="s">
        <v>155</v>
      </c>
      <c r="F238" s="62" t="s">
        <v>156</v>
      </c>
    </row>
    <row r="239" spans="1:6" x14ac:dyDescent="0.25">
      <c r="A239" s="43"/>
      <c r="B239" s="53" t="s">
        <v>157</v>
      </c>
      <c r="C239" s="44"/>
      <c r="D239" s="44"/>
      <c r="E239" s="44"/>
      <c r="F239" s="45"/>
    </row>
    <row r="240" spans="1:6" x14ac:dyDescent="0.25">
      <c r="A240" s="46" t="str">
        <f>+'2 CATÁLOGO DE MAT.'!A19</f>
        <v>MACEM002</v>
      </c>
      <c r="B240" s="46" t="str">
        <f>+'2 CATÁLOGO DE MAT.'!B19</f>
        <v>CEMENTO GRIS</v>
      </c>
      <c r="C240" s="46" t="str">
        <f>+'2 CATÁLOGO DE MAT.'!C19</f>
        <v>TON</v>
      </c>
      <c r="D240" s="58">
        <f>+'2 CATÁLOGO DE MAT.'!D19</f>
        <v>3965.5172413793107</v>
      </c>
      <c r="E240" s="47">
        <v>0.51</v>
      </c>
      <c r="F240" s="59">
        <f>+D240*E240</f>
        <v>2022.4137931034486</v>
      </c>
    </row>
    <row r="241" spans="1:6" x14ac:dyDescent="0.25">
      <c r="A241" s="46" t="str">
        <f>+'2 CATÁLOGO DE MAT.'!A20</f>
        <v>MAAGR001</v>
      </c>
      <c r="B241" s="46" t="str">
        <f>+'2 CATÁLOGO DE MAT.'!B20</f>
        <v>ARENA DE MINA</v>
      </c>
      <c r="C241" s="46" t="str">
        <f>+'2 CATÁLOGO DE MAT.'!C20</f>
        <v>M3</v>
      </c>
      <c r="D241" s="58">
        <f>+'2 CATÁLOGO DE MAT.'!D20</f>
        <v>400</v>
      </c>
      <c r="E241" s="47">
        <v>1.1000000000000001</v>
      </c>
      <c r="F241" s="59">
        <f t="shared" ref="F241:F242" si="0">+D241*E241</f>
        <v>440.00000000000006</v>
      </c>
    </row>
    <row r="242" spans="1:6" x14ac:dyDescent="0.25">
      <c r="A242" s="46" t="str">
        <f>+'2 CATÁLOGO DE MAT.'!A22</f>
        <v>MAAGUAP</v>
      </c>
      <c r="B242" s="46" t="str">
        <f>+'2 CATÁLOGO DE MAT.'!B22</f>
        <v>AGUA TRANSPORTADA EN PIPAS</v>
      </c>
      <c r="C242" s="46" t="str">
        <f>+'2 CATÁLOGO DE MAT.'!C22</f>
        <v>M3</v>
      </c>
      <c r="D242" s="58">
        <f>+'2 CATÁLOGO DE MAT.'!D22</f>
        <v>80</v>
      </c>
      <c r="E242" s="47">
        <v>0.27200000000000002</v>
      </c>
      <c r="F242" s="59">
        <f t="shared" si="0"/>
        <v>21.76</v>
      </c>
    </row>
    <row r="243" spans="1:6" ht="15.75" thickBot="1" x14ac:dyDescent="0.3">
      <c r="A243" s="49"/>
      <c r="B243" s="63" t="s">
        <v>158</v>
      </c>
      <c r="C243" s="50"/>
      <c r="D243" s="50"/>
      <c r="E243" s="50"/>
      <c r="F243" s="64">
        <f>SUM(F240:F242)</f>
        <v>2484.173793103449</v>
      </c>
    </row>
    <row r="244" spans="1:6" ht="15.75" thickBot="1" x14ac:dyDescent="0.3">
      <c r="A244" s="46"/>
      <c r="B244" s="47"/>
      <c r="C244" s="47"/>
      <c r="D244" s="47"/>
      <c r="E244" s="47"/>
      <c r="F244" s="48"/>
    </row>
    <row r="245" spans="1:6" x14ac:dyDescent="0.25">
      <c r="A245" s="43"/>
      <c r="B245" s="53" t="s">
        <v>159</v>
      </c>
      <c r="C245" s="44"/>
      <c r="D245" s="44"/>
      <c r="E245" s="44"/>
      <c r="F245" s="45"/>
    </row>
    <row r="246" spans="1:6" x14ac:dyDescent="0.25">
      <c r="A246" s="46"/>
      <c r="B246" s="46"/>
      <c r="C246" s="46"/>
      <c r="D246" s="58"/>
      <c r="E246" s="47"/>
      <c r="F246" s="59">
        <f>+D246*E246</f>
        <v>0</v>
      </c>
    </row>
    <row r="247" spans="1:6" x14ac:dyDescent="0.25">
      <c r="A247" s="46"/>
      <c r="B247" s="46"/>
      <c r="C247" s="46"/>
      <c r="D247" s="58"/>
      <c r="E247" s="47"/>
      <c r="F247" s="59">
        <f>+D247*E247</f>
        <v>0</v>
      </c>
    </row>
    <row r="248" spans="1:6" x14ac:dyDescent="0.25">
      <c r="A248" s="46"/>
      <c r="B248" s="46"/>
      <c r="C248" s="46"/>
      <c r="D248" s="58"/>
      <c r="E248" s="47"/>
      <c r="F248" s="59">
        <f>+D248*E248</f>
        <v>0</v>
      </c>
    </row>
    <row r="249" spans="1:6" x14ac:dyDescent="0.25">
      <c r="A249" s="46"/>
      <c r="B249" s="47"/>
      <c r="C249" s="47"/>
      <c r="D249" s="47"/>
      <c r="E249" s="47"/>
      <c r="F249" s="48"/>
    </row>
    <row r="250" spans="1:6" ht="15.75" thickBot="1" x14ac:dyDescent="0.3">
      <c r="A250" s="49"/>
      <c r="B250" s="63" t="s">
        <v>160</v>
      </c>
      <c r="C250" s="50"/>
      <c r="D250" s="50"/>
      <c r="E250" s="50"/>
      <c r="F250" s="64">
        <f>SUM(F246:F249)</f>
        <v>0</v>
      </c>
    </row>
    <row r="251" spans="1:6" ht="15.75" thickBot="1" x14ac:dyDescent="0.3">
      <c r="A251" s="46"/>
      <c r="B251" s="47"/>
      <c r="C251" s="47"/>
      <c r="D251" s="47"/>
      <c r="E251" s="47"/>
      <c r="F251" s="48"/>
    </row>
    <row r="252" spans="1:6" x14ac:dyDescent="0.25">
      <c r="A252" s="43"/>
      <c r="B252" s="53" t="s">
        <v>161</v>
      </c>
      <c r="C252" s="44"/>
      <c r="D252" s="44"/>
      <c r="E252" s="44"/>
      <c r="F252" s="45"/>
    </row>
    <row r="253" spans="1:6" x14ac:dyDescent="0.25">
      <c r="A253" s="46"/>
      <c r="B253" s="47"/>
      <c r="C253" s="47"/>
      <c r="D253" s="47"/>
      <c r="E253" s="47"/>
      <c r="F253" s="48"/>
    </row>
    <row r="254" spans="1:6" x14ac:dyDescent="0.25">
      <c r="A254" s="46"/>
      <c r="B254" s="47"/>
      <c r="C254" s="47"/>
      <c r="D254" s="47"/>
      <c r="E254" s="47"/>
      <c r="F254" s="48"/>
    </row>
    <row r="255" spans="1:6" x14ac:dyDescent="0.25">
      <c r="A255" s="46"/>
      <c r="B255" s="47"/>
      <c r="C255" s="47"/>
      <c r="D255" s="47"/>
      <c r="E255" s="47"/>
      <c r="F255" s="48"/>
    </row>
    <row r="256" spans="1:6" ht="15.75" thickBot="1" x14ac:dyDescent="0.3">
      <c r="A256" s="49"/>
      <c r="B256" s="63" t="s">
        <v>162</v>
      </c>
      <c r="C256" s="50"/>
      <c r="D256" s="50"/>
      <c r="E256" s="50"/>
      <c r="F256" s="51"/>
    </row>
    <row r="257" spans="1:6" ht="15.75" thickBot="1" x14ac:dyDescent="0.3">
      <c r="A257" s="46"/>
      <c r="B257" s="47"/>
      <c r="C257" s="47"/>
      <c r="D257" s="47"/>
      <c r="E257" s="47"/>
      <c r="F257" s="48"/>
    </row>
    <row r="258" spans="1:6" x14ac:dyDescent="0.25">
      <c r="A258" s="43"/>
      <c r="B258" s="53" t="s">
        <v>163</v>
      </c>
      <c r="C258" s="44"/>
      <c r="D258" s="44"/>
      <c r="E258" s="44"/>
      <c r="F258" s="45"/>
    </row>
    <row r="259" spans="1:6" x14ac:dyDescent="0.25">
      <c r="A259" s="46"/>
      <c r="B259" s="47"/>
      <c r="C259" s="47"/>
      <c r="D259" s="47"/>
      <c r="E259" s="47"/>
      <c r="F259" s="48"/>
    </row>
    <row r="260" spans="1:6" x14ac:dyDescent="0.25">
      <c r="A260" s="46"/>
      <c r="B260" s="47"/>
      <c r="C260" s="47"/>
      <c r="D260" s="47"/>
      <c r="E260" s="47"/>
      <c r="F260" s="48"/>
    </row>
    <row r="261" spans="1:6" ht="15.75" thickBot="1" x14ac:dyDescent="0.3">
      <c r="A261" s="49"/>
      <c r="B261" s="63" t="s">
        <v>164</v>
      </c>
      <c r="C261" s="50"/>
      <c r="D261" s="50"/>
      <c r="E261" s="50"/>
      <c r="F261" s="51"/>
    </row>
    <row r="262" spans="1:6" x14ac:dyDescent="0.25">
      <c r="A262" s="46"/>
      <c r="B262" s="47"/>
      <c r="C262" s="47"/>
      <c r="D262" s="47"/>
      <c r="E262" s="47"/>
      <c r="F262" s="48"/>
    </row>
    <row r="263" spans="1:6" x14ac:dyDescent="0.25">
      <c r="A263" s="46"/>
      <c r="B263" s="57" t="s">
        <v>165</v>
      </c>
      <c r="C263" s="47"/>
      <c r="D263" s="47"/>
      <c r="E263" s="47"/>
      <c r="F263" s="59">
        <f>+F261+F256+F250+F243</f>
        <v>2484.173793103449</v>
      </c>
    </row>
    <row r="264" spans="1:6" ht="15.75" thickBot="1" x14ac:dyDescent="0.3">
      <c r="A264" s="49"/>
      <c r="B264" s="50"/>
      <c r="C264" s="50"/>
      <c r="D264" s="50"/>
      <c r="E264" s="50"/>
      <c r="F264" s="51"/>
    </row>
    <row r="276" spans="1:6" ht="15.75" thickBot="1" x14ac:dyDescent="0.3"/>
    <row r="277" spans="1:6" x14ac:dyDescent="0.25">
      <c r="A277" s="43"/>
      <c r="B277" s="44"/>
      <c r="C277" s="44"/>
      <c r="D277" s="44"/>
      <c r="E277" s="44"/>
      <c r="F277" s="45"/>
    </row>
    <row r="278" spans="1:6" x14ac:dyDescent="0.25">
      <c r="A278" s="46"/>
      <c r="B278" s="47"/>
      <c r="C278" s="47"/>
      <c r="D278" s="47"/>
      <c r="E278" s="47"/>
      <c r="F278" s="48"/>
    </row>
    <row r="279" spans="1:6" ht="15.75" thickBot="1" x14ac:dyDescent="0.3">
      <c r="A279" s="49"/>
      <c r="B279" s="50"/>
      <c r="C279" s="50"/>
      <c r="D279" s="50"/>
      <c r="E279" s="50"/>
      <c r="F279" s="51"/>
    </row>
    <row r="280" spans="1:6" x14ac:dyDescent="0.25">
      <c r="A280" s="52" t="s">
        <v>154</v>
      </c>
      <c r="B280" s="53" t="s">
        <v>25</v>
      </c>
      <c r="C280" s="53" t="s">
        <v>26</v>
      </c>
      <c r="D280" s="44"/>
      <c r="E280" s="44"/>
      <c r="F280" s="45"/>
    </row>
    <row r="281" spans="1:6" ht="15.75" thickBot="1" x14ac:dyDescent="0.3">
      <c r="A281" s="54" t="str">
        <f>+'5 CATÁLOGO DE BÁSICOS'!A18</f>
        <v>BAMOR02</v>
      </c>
      <c r="B281" s="54" t="str">
        <f>+'5 CATÁLOGO DE BÁSICOS'!B18</f>
        <v>MORTERO CEMENTO -ARENA PROP. 1:4</v>
      </c>
      <c r="C281" s="54" t="str">
        <f>+'5 CATÁLOGO DE BÁSICOS'!C18</f>
        <v>M3</v>
      </c>
      <c r="D281" s="50"/>
      <c r="E281" s="50"/>
      <c r="F281" s="51"/>
    </row>
    <row r="282" spans="1:6" ht="15.75" thickBot="1" x14ac:dyDescent="0.3"/>
    <row r="283" spans="1:6" ht="15.75" thickBot="1" x14ac:dyDescent="0.3">
      <c r="A283" s="60" t="s">
        <v>154</v>
      </c>
      <c r="B283" s="61" t="s">
        <v>25</v>
      </c>
      <c r="C283" s="61" t="s">
        <v>26</v>
      </c>
      <c r="D283" s="61" t="s">
        <v>27</v>
      </c>
      <c r="E283" s="61" t="s">
        <v>155</v>
      </c>
      <c r="F283" s="62" t="s">
        <v>156</v>
      </c>
    </row>
    <row r="284" spans="1:6" x14ac:dyDescent="0.25">
      <c r="A284" s="43"/>
      <c r="B284" s="53" t="s">
        <v>157</v>
      </c>
      <c r="C284" s="44"/>
      <c r="D284" s="44"/>
      <c r="E284" s="44"/>
      <c r="F284" s="45"/>
    </row>
    <row r="285" spans="1:6" x14ac:dyDescent="0.25">
      <c r="A285" s="46" t="str">
        <f>+'2 CATÁLOGO DE MAT.'!A19</f>
        <v>MACEM002</v>
      </c>
      <c r="B285" s="46" t="str">
        <f>+'2 CATÁLOGO DE MAT.'!B19</f>
        <v>CEMENTO GRIS</v>
      </c>
      <c r="C285" s="46" t="str">
        <f>+'2 CATÁLOGO DE MAT.'!C19</f>
        <v>TON</v>
      </c>
      <c r="D285" s="58">
        <f>+'2 CATÁLOGO DE MAT.'!D19</f>
        <v>3965.5172413793107</v>
      </c>
      <c r="E285" s="47">
        <v>0.43</v>
      </c>
      <c r="F285" s="59">
        <f>+D285*E285</f>
        <v>1705.1724137931035</v>
      </c>
    </row>
    <row r="286" spans="1:6" x14ac:dyDescent="0.25">
      <c r="A286" s="46" t="str">
        <f>+'2 CATÁLOGO DE MAT.'!A20</f>
        <v>MAAGR001</v>
      </c>
      <c r="B286" s="46" t="str">
        <f>+'2 CATÁLOGO DE MAT.'!B20</f>
        <v>ARENA DE MINA</v>
      </c>
      <c r="C286" s="46" t="str">
        <f>+'2 CATÁLOGO DE MAT.'!C20</f>
        <v>M3</v>
      </c>
      <c r="D286" s="58">
        <f>+'2 CATÁLOGO DE MAT.'!D20</f>
        <v>400</v>
      </c>
      <c r="E286" s="47">
        <v>1.1200000000000001</v>
      </c>
      <c r="F286" s="59">
        <f t="shared" ref="F286:F287" si="1">+D286*E286</f>
        <v>448.00000000000006</v>
      </c>
    </row>
    <row r="287" spans="1:6" x14ac:dyDescent="0.25">
      <c r="A287" s="46" t="str">
        <f>+'2 CATÁLOGO DE MAT.'!A22</f>
        <v>MAAGUAP</v>
      </c>
      <c r="B287" s="46" t="str">
        <f>+'2 CATÁLOGO DE MAT.'!B22</f>
        <v>AGUA TRANSPORTADA EN PIPAS</v>
      </c>
      <c r="C287" s="46" t="str">
        <f>+'2 CATÁLOGO DE MAT.'!C22</f>
        <v>M3</v>
      </c>
      <c r="D287" s="58">
        <f>+'2 CATÁLOGO DE MAT.'!D22</f>
        <v>80</v>
      </c>
      <c r="E287" s="47">
        <v>0.26600000000000001</v>
      </c>
      <c r="F287" s="59">
        <f t="shared" si="1"/>
        <v>21.28</v>
      </c>
    </row>
    <row r="288" spans="1:6" ht="15.75" thickBot="1" x14ac:dyDescent="0.3">
      <c r="A288" s="49"/>
      <c r="B288" s="63" t="s">
        <v>158</v>
      </c>
      <c r="C288" s="50"/>
      <c r="D288" s="50"/>
      <c r="E288" s="50"/>
      <c r="F288" s="64">
        <f>SUM(F285:F287)</f>
        <v>2174.4524137931039</v>
      </c>
    </row>
    <row r="289" spans="1:6" ht="15.75" thickBot="1" x14ac:dyDescent="0.3">
      <c r="A289" s="46"/>
      <c r="B289" s="47"/>
      <c r="C289" s="47"/>
      <c r="D289" s="47"/>
      <c r="E289" s="47"/>
      <c r="F289" s="48"/>
    </row>
    <row r="290" spans="1:6" x14ac:dyDescent="0.25">
      <c r="A290" s="43"/>
      <c r="B290" s="53" t="s">
        <v>159</v>
      </c>
      <c r="C290" s="44"/>
      <c r="D290" s="44"/>
      <c r="E290" s="44"/>
      <c r="F290" s="45"/>
    </row>
    <row r="291" spans="1:6" x14ac:dyDescent="0.25">
      <c r="A291" s="46"/>
      <c r="B291" s="46"/>
      <c r="C291" s="46"/>
      <c r="D291" s="58"/>
      <c r="E291" s="47"/>
      <c r="F291" s="59">
        <f>+D291*E291</f>
        <v>0</v>
      </c>
    </row>
    <row r="292" spans="1:6" x14ac:dyDescent="0.25">
      <c r="A292" s="46"/>
      <c r="B292" s="46"/>
      <c r="C292" s="46"/>
      <c r="D292" s="58"/>
      <c r="E292" s="47"/>
      <c r="F292" s="59">
        <f>+D292*E292</f>
        <v>0</v>
      </c>
    </row>
    <row r="293" spans="1:6" x14ac:dyDescent="0.25">
      <c r="A293" s="46"/>
      <c r="B293" s="46"/>
      <c r="C293" s="46"/>
      <c r="D293" s="58"/>
      <c r="E293" s="47"/>
      <c r="F293" s="59">
        <f>+D293*E293</f>
        <v>0</v>
      </c>
    </row>
    <row r="294" spans="1:6" x14ac:dyDescent="0.25">
      <c r="A294" s="46"/>
      <c r="B294" s="47"/>
      <c r="C294" s="47"/>
      <c r="D294" s="47"/>
      <c r="E294" s="47"/>
      <c r="F294" s="48"/>
    </row>
    <row r="295" spans="1:6" ht="15.75" thickBot="1" x14ac:dyDescent="0.3">
      <c r="A295" s="49"/>
      <c r="B295" s="63" t="s">
        <v>160</v>
      </c>
      <c r="C295" s="50"/>
      <c r="D295" s="50"/>
      <c r="E295" s="50"/>
      <c r="F295" s="64">
        <f>SUM(F291:F294)</f>
        <v>0</v>
      </c>
    </row>
    <row r="296" spans="1:6" ht="15.75" thickBot="1" x14ac:dyDescent="0.3">
      <c r="A296" s="46"/>
      <c r="B296" s="47"/>
      <c r="C296" s="47"/>
      <c r="D296" s="47"/>
      <c r="E296" s="47"/>
      <c r="F296" s="48"/>
    </row>
    <row r="297" spans="1:6" x14ac:dyDescent="0.25">
      <c r="A297" s="43"/>
      <c r="B297" s="53" t="s">
        <v>161</v>
      </c>
      <c r="C297" s="44"/>
      <c r="D297" s="44"/>
      <c r="E297" s="44"/>
      <c r="F297" s="45"/>
    </row>
    <row r="298" spans="1:6" x14ac:dyDescent="0.25">
      <c r="A298" s="46"/>
      <c r="B298" s="47"/>
      <c r="C298" s="47"/>
      <c r="D298" s="47"/>
      <c r="E298" s="47"/>
      <c r="F298" s="48"/>
    </row>
    <row r="299" spans="1:6" x14ac:dyDescent="0.25">
      <c r="A299" s="46"/>
      <c r="B299" s="47"/>
      <c r="C299" s="47"/>
      <c r="D299" s="47"/>
      <c r="E299" s="47"/>
      <c r="F299" s="48"/>
    </row>
    <row r="300" spans="1:6" x14ac:dyDescent="0.25">
      <c r="A300" s="46"/>
      <c r="B300" s="47"/>
      <c r="C300" s="47"/>
      <c r="D300" s="47"/>
      <c r="E300" s="47"/>
      <c r="F300" s="48"/>
    </row>
    <row r="301" spans="1:6" ht="15.75" thickBot="1" x14ac:dyDescent="0.3">
      <c r="A301" s="49"/>
      <c r="B301" s="63" t="s">
        <v>162</v>
      </c>
      <c r="C301" s="50"/>
      <c r="D301" s="50"/>
      <c r="E301" s="50"/>
      <c r="F301" s="51"/>
    </row>
    <row r="302" spans="1:6" ht="15.75" thickBot="1" x14ac:dyDescent="0.3">
      <c r="A302" s="46"/>
      <c r="B302" s="47"/>
      <c r="C302" s="47"/>
      <c r="D302" s="47"/>
      <c r="E302" s="47"/>
      <c r="F302" s="48"/>
    </row>
    <row r="303" spans="1:6" x14ac:dyDescent="0.25">
      <c r="A303" s="43"/>
      <c r="B303" s="53" t="s">
        <v>163</v>
      </c>
      <c r="C303" s="44"/>
      <c r="D303" s="44"/>
      <c r="E303" s="44"/>
      <c r="F303" s="45"/>
    </row>
    <row r="304" spans="1:6" x14ac:dyDescent="0.25">
      <c r="A304" s="46"/>
      <c r="B304" s="47"/>
      <c r="C304" s="47"/>
      <c r="D304" s="47"/>
      <c r="E304" s="47"/>
      <c r="F304" s="48"/>
    </row>
    <row r="305" spans="1:6" x14ac:dyDescent="0.25">
      <c r="A305" s="46"/>
      <c r="B305" s="47"/>
      <c r="C305" s="47"/>
      <c r="D305" s="47"/>
      <c r="E305" s="47"/>
      <c r="F305" s="48"/>
    </row>
    <row r="306" spans="1:6" ht="15.75" thickBot="1" x14ac:dyDescent="0.3">
      <c r="A306" s="49"/>
      <c r="B306" s="63" t="s">
        <v>164</v>
      </c>
      <c r="C306" s="50"/>
      <c r="D306" s="50"/>
      <c r="E306" s="50"/>
      <c r="F306" s="51"/>
    </row>
    <row r="307" spans="1:6" x14ac:dyDescent="0.25">
      <c r="A307" s="46"/>
      <c r="B307" s="47"/>
      <c r="C307" s="47"/>
      <c r="D307" s="47"/>
      <c r="E307" s="47"/>
      <c r="F307" s="48"/>
    </row>
    <row r="308" spans="1:6" x14ac:dyDescent="0.25">
      <c r="A308" s="46"/>
      <c r="B308" s="57" t="s">
        <v>165</v>
      </c>
      <c r="C308" s="47"/>
      <c r="D308" s="47"/>
      <c r="E308" s="47"/>
      <c r="F308" s="59">
        <f>+F306+F301+F295+F288</f>
        <v>2174.4524137931039</v>
      </c>
    </row>
    <row r="309" spans="1:6" ht="15.75" thickBot="1" x14ac:dyDescent="0.3">
      <c r="A309" s="49"/>
      <c r="B309" s="50"/>
      <c r="C309" s="50"/>
      <c r="D309" s="50"/>
      <c r="E309" s="50"/>
      <c r="F309" s="51"/>
    </row>
    <row r="321" spans="1:9" ht="15.75" thickBot="1" x14ac:dyDescent="0.3"/>
    <row r="322" spans="1:9" x14ac:dyDescent="0.25">
      <c r="A322" s="43"/>
      <c r="B322" s="44"/>
      <c r="C322" s="44"/>
      <c r="D322" s="44"/>
      <c r="E322" s="44"/>
      <c r="F322" s="45"/>
    </row>
    <row r="323" spans="1:9" x14ac:dyDescent="0.25">
      <c r="A323" s="46"/>
      <c r="B323" s="47"/>
      <c r="C323" s="47"/>
      <c r="D323" s="47"/>
      <c r="E323" s="47"/>
      <c r="F323" s="48"/>
    </row>
    <row r="324" spans="1:9" ht="15.75" thickBot="1" x14ac:dyDescent="0.3">
      <c r="A324" s="49"/>
      <c r="B324" s="50"/>
      <c r="C324" s="50"/>
      <c r="D324" s="50"/>
      <c r="E324" s="50"/>
      <c r="F324" s="51"/>
    </row>
    <row r="325" spans="1:9" x14ac:dyDescent="0.25">
      <c r="A325" s="52" t="s">
        <v>154</v>
      </c>
      <c r="B325" s="53" t="s">
        <v>25</v>
      </c>
      <c r="C325" s="53" t="s">
        <v>26</v>
      </c>
      <c r="D325" s="44"/>
      <c r="E325" s="44"/>
      <c r="F325" s="45"/>
    </row>
    <row r="326" spans="1:9" ht="30.75" thickBot="1" x14ac:dyDescent="0.3">
      <c r="A326" s="54" t="str">
        <f>+'5 CATÁLOGO DE BÁSICOS'!A21</f>
        <v>BACON001</v>
      </c>
      <c r="B326" s="54" t="str">
        <f>+'5 CATÁLOGO DE BÁSICOS'!B21</f>
        <v>CONCRETO F'C= 100 KG/CM2, HECHO EN OBRA, A.M. 19 MM, REV. 10-12, R.N.</v>
      </c>
      <c r="C326" s="334" t="str">
        <f>+'5 CATÁLOGO DE BÁSICOS'!C21</f>
        <v>M3</v>
      </c>
      <c r="D326" s="50"/>
      <c r="E326" s="50"/>
      <c r="F326" s="51"/>
    </row>
    <row r="327" spans="1:9" ht="15.75" thickBot="1" x14ac:dyDescent="0.3"/>
    <row r="328" spans="1:9" ht="15.75" thickBot="1" x14ac:dyDescent="0.3">
      <c r="A328" s="60" t="s">
        <v>154</v>
      </c>
      <c r="B328" s="61" t="s">
        <v>25</v>
      </c>
      <c r="C328" s="61" t="s">
        <v>26</v>
      </c>
      <c r="D328" s="61" t="s">
        <v>27</v>
      </c>
      <c r="E328" s="61" t="s">
        <v>155</v>
      </c>
      <c r="F328" s="62" t="s">
        <v>156</v>
      </c>
    </row>
    <row r="329" spans="1:9" x14ac:dyDescent="0.25">
      <c r="A329" s="43"/>
      <c r="B329" s="53" t="s">
        <v>157</v>
      </c>
      <c r="C329" s="44"/>
      <c r="D329" s="44"/>
      <c r="E329" s="44"/>
      <c r="F329" s="45"/>
      <c r="H329" t="s">
        <v>172</v>
      </c>
    </row>
    <row r="330" spans="1:9" x14ac:dyDescent="0.25">
      <c r="A330" s="46" t="str">
        <f>+'2 CATÁLOGO DE MAT.'!A19</f>
        <v>MACEM002</v>
      </c>
      <c r="B330" s="46" t="str">
        <f>+'2 CATÁLOGO DE MAT.'!B19</f>
        <v>CEMENTO GRIS</v>
      </c>
      <c r="C330" s="46" t="str">
        <f>+'2 CATÁLOGO DE MAT.'!C19</f>
        <v>TON</v>
      </c>
      <c r="D330" s="58">
        <f>+'2 CATÁLOGO DE MAT.'!D19</f>
        <v>3965.5172413793107</v>
      </c>
      <c r="E330" s="47">
        <v>0.26</v>
      </c>
      <c r="F330" s="59">
        <f>+D330*E330</f>
        <v>1031.0344827586209</v>
      </c>
    </row>
    <row r="331" spans="1:9" x14ac:dyDescent="0.25">
      <c r="A331" s="46" t="str">
        <f>+'2 CATÁLOGO DE MAT.'!A20</f>
        <v>MAAGR001</v>
      </c>
      <c r="B331" s="46" t="str">
        <f>+'2 CATÁLOGO DE MAT.'!B20</f>
        <v>ARENA DE MINA</v>
      </c>
      <c r="C331" s="46" t="str">
        <f>+'2 CATÁLOGO DE MAT.'!C20</f>
        <v>M3</v>
      </c>
      <c r="D331" s="58">
        <f>+'2 CATÁLOGO DE MAT.'!D20</f>
        <v>400</v>
      </c>
      <c r="E331" s="47">
        <v>0.5</v>
      </c>
      <c r="F331" s="59">
        <f t="shared" ref="F331:F333" si="2">+D331*E331</f>
        <v>200</v>
      </c>
    </row>
    <row r="332" spans="1:9" x14ac:dyDescent="0.25">
      <c r="A332" s="46" t="str">
        <f>+'2 CATÁLOGO DE MAT.'!A21</f>
        <v>MAAGR002</v>
      </c>
      <c r="B332" s="46" t="str">
        <f>+'2 CATÁLOGO DE MAT.'!B21</f>
        <v>GRAVA</v>
      </c>
      <c r="C332" s="46" t="str">
        <f>+'2 CATÁLOGO DE MAT.'!C21</f>
        <v>M3</v>
      </c>
      <c r="D332" s="58">
        <f>+'2 CATÁLOGO DE MAT.'!D21</f>
        <v>650</v>
      </c>
      <c r="E332" s="47">
        <v>0.68</v>
      </c>
      <c r="F332" s="59">
        <f t="shared" ref="F332" si="3">+D332*E332</f>
        <v>442.00000000000006</v>
      </c>
    </row>
    <row r="333" spans="1:9" x14ac:dyDescent="0.25">
      <c r="A333" s="46" t="str">
        <f>+'2 CATÁLOGO DE MAT.'!A22</f>
        <v>MAAGUAP</v>
      </c>
      <c r="B333" s="46" t="str">
        <f>+'2 CATÁLOGO DE MAT.'!B22</f>
        <v>AGUA TRANSPORTADA EN PIPAS</v>
      </c>
      <c r="C333" s="46" t="str">
        <f>+'2 CATÁLOGO DE MAT.'!C22</f>
        <v>M3</v>
      </c>
      <c r="D333" s="58">
        <f>+'2 CATÁLOGO DE MAT.'!D22</f>
        <v>80</v>
      </c>
      <c r="E333" s="47">
        <v>0.19500000000000001</v>
      </c>
      <c r="F333" s="59">
        <f t="shared" si="2"/>
        <v>15.600000000000001</v>
      </c>
      <c r="H333" t="s">
        <v>172</v>
      </c>
    </row>
    <row r="334" spans="1:9" ht="15.75" thickBot="1" x14ac:dyDescent="0.3">
      <c r="A334" s="49"/>
      <c r="B334" s="63" t="s">
        <v>158</v>
      </c>
      <c r="C334" s="50"/>
      <c r="D334" s="50"/>
      <c r="E334" s="50"/>
      <c r="F334" s="64">
        <f>SUM(F330:F333)</f>
        <v>1688.6344827586208</v>
      </c>
    </row>
    <row r="335" spans="1:9" ht="15.75" thickBot="1" x14ac:dyDescent="0.3">
      <c r="A335" s="46"/>
      <c r="B335" s="47"/>
      <c r="C335" s="47"/>
      <c r="D335" s="47"/>
      <c r="E335" s="47"/>
      <c r="F335" s="48"/>
    </row>
    <row r="336" spans="1:9" x14ac:dyDescent="0.25">
      <c r="A336" s="43"/>
      <c r="B336" s="53" t="s">
        <v>159</v>
      </c>
      <c r="C336" s="44"/>
      <c r="D336" s="44"/>
      <c r="E336" s="44"/>
      <c r="F336" s="45"/>
      <c r="H336">
        <v>1</v>
      </c>
      <c r="I336">
        <v>8</v>
      </c>
    </row>
    <row r="337" spans="1:9" x14ac:dyDescent="0.25">
      <c r="A337" s="46" t="str">
        <f>+'5 CATÁLOGO DE BÁSICOS'!A15</f>
        <v>CUAD005</v>
      </c>
      <c r="B337" s="46" t="str">
        <f>+'5 CATÁLOGO DE BÁSICOS'!B15</f>
        <v>CUADRILLA No. 5 (1 OF. ALBAÑIL + 4 PEÓN + 5/20 DE CABO DE OFICIOS)</v>
      </c>
      <c r="C337" s="46" t="str">
        <f>+'5 CATÁLOGO DE BÁSICOS'!C15</f>
        <v>JOR</v>
      </c>
      <c r="D337" s="58">
        <f>+'5 CATÁLOGO DE BÁSICOS'!D15</f>
        <v>3152.7554418780792</v>
      </c>
      <c r="E337" s="47">
        <f>1/6</f>
        <v>0.16666666666666666</v>
      </c>
      <c r="F337" s="59">
        <f>+D337*E337</f>
        <v>525.4592403130132</v>
      </c>
      <c r="H337">
        <v>0.16666700000000001</v>
      </c>
      <c r="I337">
        <f>+H337*I336/H336</f>
        <v>1.3333360000000001</v>
      </c>
    </row>
    <row r="338" spans="1:9" x14ac:dyDescent="0.25">
      <c r="A338" s="46"/>
      <c r="B338" s="46"/>
      <c r="C338" s="46"/>
      <c r="D338" s="58"/>
      <c r="E338" s="47"/>
      <c r="F338" s="59">
        <f>+D338*E338</f>
        <v>0</v>
      </c>
    </row>
    <row r="339" spans="1:9" x14ac:dyDescent="0.25">
      <c r="A339" s="46"/>
      <c r="B339" s="46"/>
      <c r="C339" s="46"/>
      <c r="D339" s="58"/>
      <c r="E339" s="47"/>
      <c r="F339" s="59">
        <f>+D339*E339</f>
        <v>0</v>
      </c>
    </row>
    <row r="340" spans="1:9" x14ac:dyDescent="0.25">
      <c r="A340" s="46"/>
      <c r="B340" s="47"/>
      <c r="C340" s="47"/>
      <c r="D340" s="47"/>
      <c r="E340" s="47"/>
      <c r="F340" s="48"/>
    </row>
    <row r="341" spans="1:9" ht="15.75" thickBot="1" x14ac:dyDescent="0.3">
      <c r="A341" s="49"/>
      <c r="B341" s="63" t="s">
        <v>160</v>
      </c>
      <c r="C341" s="50"/>
      <c r="D341" s="50"/>
      <c r="E341" s="50"/>
      <c r="F341" s="64">
        <f>SUM(F337:F340)</f>
        <v>525.4592403130132</v>
      </c>
    </row>
    <row r="342" spans="1:9" ht="15.75" thickBot="1" x14ac:dyDescent="0.3">
      <c r="A342" s="46"/>
      <c r="B342" s="47"/>
      <c r="C342" s="47"/>
      <c r="D342" s="47"/>
      <c r="E342" s="47"/>
      <c r="F342" s="48"/>
    </row>
    <row r="343" spans="1:9" x14ac:dyDescent="0.25">
      <c r="A343" s="43"/>
      <c r="B343" s="53" t="s">
        <v>161</v>
      </c>
      <c r="C343" s="44"/>
      <c r="D343" s="44"/>
      <c r="E343" s="44"/>
      <c r="F343" s="45"/>
    </row>
    <row r="344" spans="1:9" x14ac:dyDescent="0.25">
      <c r="A344" s="46" t="str">
        <f>+'4 CATÁLOGO DE EQ. Y HERR'!A11</f>
        <v>%MO01</v>
      </c>
      <c r="B344" s="46" t="str">
        <f>+'4 CATÁLOGO DE EQ. Y HERR'!B11</f>
        <v>HERRAMIENTA MENOR (3-5%)</v>
      </c>
      <c r="C344" s="46" t="str">
        <f>+'4 CATÁLOGO DE EQ. Y HERR'!C11</f>
        <v>%</v>
      </c>
      <c r="D344" s="58">
        <f>+F341</f>
        <v>525.4592403130132</v>
      </c>
      <c r="E344" s="47">
        <v>0.03</v>
      </c>
      <c r="F344" s="59">
        <f t="shared" ref="F344:F346" si="4">+D344*E344</f>
        <v>15.763777209390396</v>
      </c>
    </row>
    <row r="345" spans="1:9" x14ac:dyDescent="0.25">
      <c r="A345" s="46" t="str">
        <f>+'4 CATÁLOGO DE EQ. Y HERR'!A12</f>
        <v>%MO02</v>
      </c>
      <c r="B345" s="46" t="str">
        <f>+'4 CATÁLOGO DE EQ. Y HERR'!B12</f>
        <v>EQUIPO DE SEGURIDAD (2-3%</v>
      </c>
      <c r="C345" s="46" t="str">
        <f>+'4 CATÁLOGO DE EQ. Y HERR'!C12</f>
        <v>%</v>
      </c>
      <c r="D345" s="58">
        <f>+F341</f>
        <v>525.4592403130132</v>
      </c>
      <c r="E345" s="47">
        <v>0.02</v>
      </c>
      <c r="F345" s="59">
        <f t="shared" si="4"/>
        <v>10.509184806260263</v>
      </c>
    </row>
    <row r="346" spans="1:9" x14ac:dyDescent="0.25">
      <c r="A346" s="46" t="str">
        <f>+'4 CATÁLOGO DE EQ. Y HERR'!A16</f>
        <v>EQREV001</v>
      </c>
      <c r="B346" s="46" t="str">
        <f>+'4 CATÁLOGO DE EQ. Y HERR'!B16</f>
        <v>REVOLVEDORA DE CONCRETO PARA 1 BULTO, CON MOTOR DE GASOLINA DE 14 HP</v>
      </c>
      <c r="C346" s="46" t="str">
        <f>+'4 CATÁLOGO DE EQ. Y HERR'!C16</f>
        <v>HORA</v>
      </c>
      <c r="D346" s="335">
        <f>+'4 CATÁLOGO DE EQ. Y HERR'!D16</f>
        <v>171.42881398164513</v>
      </c>
      <c r="E346" s="47">
        <f>+I337</f>
        <v>1.3333360000000001</v>
      </c>
      <c r="F346" s="59">
        <f t="shared" si="4"/>
        <v>228.57220911903082</v>
      </c>
    </row>
    <row r="347" spans="1:9" ht="15.75" thickBot="1" x14ac:dyDescent="0.3">
      <c r="A347" s="49"/>
      <c r="B347" s="63" t="s">
        <v>162</v>
      </c>
      <c r="C347" s="50"/>
      <c r="D347" s="50"/>
      <c r="E347" s="50"/>
      <c r="F347" s="64">
        <f>SUM(F344:F346)</f>
        <v>254.84517113468146</v>
      </c>
    </row>
    <row r="348" spans="1:9" ht="15.75" thickBot="1" x14ac:dyDescent="0.3">
      <c r="A348" s="46"/>
      <c r="B348" s="47"/>
      <c r="C348" s="47"/>
      <c r="D348" s="47"/>
      <c r="E348" s="47"/>
      <c r="F348" s="48"/>
    </row>
    <row r="349" spans="1:9" x14ac:dyDescent="0.25">
      <c r="A349" s="43"/>
      <c r="B349" s="53" t="s">
        <v>163</v>
      </c>
      <c r="C349" s="44"/>
      <c r="D349" s="44"/>
      <c r="E349" s="44"/>
      <c r="F349" s="45"/>
    </row>
    <row r="350" spans="1:9" x14ac:dyDescent="0.25">
      <c r="A350" s="46"/>
      <c r="B350" s="47"/>
      <c r="C350" s="47"/>
      <c r="D350" s="47"/>
      <c r="E350" s="47"/>
      <c r="F350" s="48"/>
    </row>
    <row r="351" spans="1:9" x14ac:dyDescent="0.25">
      <c r="A351" s="46"/>
      <c r="B351" s="47"/>
      <c r="C351" s="47"/>
      <c r="D351" s="47"/>
      <c r="E351" s="47"/>
      <c r="F351" s="48"/>
    </row>
    <row r="352" spans="1:9" ht="15.75" thickBot="1" x14ac:dyDescent="0.3">
      <c r="A352" s="49"/>
      <c r="B352" s="63" t="s">
        <v>164</v>
      </c>
      <c r="C352" s="50"/>
      <c r="D352" s="50"/>
      <c r="E352" s="50"/>
      <c r="F352" s="51"/>
    </row>
    <row r="353" spans="1:6" x14ac:dyDescent="0.25">
      <c r="A353" s="46"/>
      <c r="B353" s="47"/>
      <c r="C353" s="47"/>
      <c r="D353" s="47"/>
      <c r="E353" s="47"/>
      <c r="F353" s="48"/>
    </row>
    <row r="354" spans="1:6" x14ac:dyDescent="0.25">
      <c r="A354" s="46"/>
      <c r="B354" s="57" t="s">
        <v>165</v>
      </c>
      <c r="C354" s="47"/>
      <c r="D354" s="47"/>
      <c r="E354" s="47"/>
      <c r="F354" s="59">
        <f>+F352+F347+F341+F334</f>
        <v>2468.9388942063156</v>
      </c>
    </row>
    <row r="355" spans="1:6" ht="15.75" thickBot="1" x14ac:dyDescent="0.3">
      <c r="A355" s="49"/>
      <c r="B355" s="50"/>
      <c r="C355" s="50"/>
      <c r="D355" s="50"/>
      <c r="E355" s="50"/>
      <c r="F355" s="51"/>
    </row>
    <row r="366" spans="1:6" ht="15.75" thickBot="1" x14ac:dyDescent="0.3"/>
    <row r="367" spans="1:6" x14ac:dyDescent="0.25">
      <c r="A367" s="43"/>
      <c r="B367" s="44"/>
      <c r="C367" s="44"/>
      <c r="D367" s="44"/>
      <c r="E367" s="44"/>
      <c r="F367" s="45"/>
    </row>
    <row r="368" spans="1:6" x14ac:dyDescent="0.25">
      <c r="A368" s="46"/>
      <c r="B368" s="47"/>
      <c r="C368" s="47"/>
      <c r="D368" s="47"/>
      <c r="E368" s="47"/>
      <c r="F368" s="48"/>
    </row>
    <row r="369" spans="1:9" ht="15.75" thickBot="1" x14ac:dyDescent="0.3">
      <c r="A369" s="49"/>
      <c r="B369" s="50"/>
      <c r="C369" s="50"/>
      <c r="D369" s="50"/>
      <c r="E369" s="50"/>
      <c r="F369" s="51"/>
    </row>
    <row r="370" spans="1:9" x14ac:dyDescent="0.25">
      <c r="A370" s="52" t="s">
        <v>154</v>
      </c>
      <c r="B370" s="53" t="s">
        <v>25</v>
      </c>
      <c r="C370" s="53" t="s">
        <v>26</v>
      </c>
      <c r="D370" s="44"/>
      <c r="E370" s="44"/>
      <c r="F370" s="45"/>
    </row>
    <row r="371" spans="1:9" ht="30.75" thickBot="1" x14ac:dyDescent="0.3">
      <c r="A371" s="54" t="str">
        <f>+'5 CATÁLOGO DE BÁSICOS'!A22</f>
        <v>BACON002</v>
      </c>
      <c r="B371" s="54" t="str">
        <f>+'5 CATÁLOGO DE BÁSICOS'!B22</f>
        <v>CONCRETO F'C= 150 KG/CM2, HECHO EN OBRA, A.M. 19 MM, REV. 10-12, R.N.</v>
      </c>
      <c r="C371" s="54" t="str">
        <f>+'5 CATÁLOGO DE BÁSICOS'!C22</f>
        <v>M3</v>
      </c>
      <c r="D371" s="50"/>
      <c r="E371" s="50"/>
      <c r="F371" s="51"/>
    </row>
    <row r="372" spans="1:9" ht="15.75" thickBot="1" x14ac:dyDescent="0.3"/>
    <row r="373" spans="1:9" ht="15.75" thickBot="1" x14ac:dyDescent="0.3">
      <c r="A373" s="60" t="s">
        <v>154</v>
      </c>
      <c r="B373" s="61" t="s">
        <v>25</v>
      </c>
      <c r="C373" s="61" t="s">
        <v>26</v>
      </c>
      <c r="D373" s="61" t="s">
        <v>27</v>
      </c>
      <c r="E373" s="61" t="s">
        <v>155</v>
      </c>
      <c r="F373" s="62" t="s">
        <v>156</v>
      </c>
    </row>
    <row r="374" spans="1:9" x14ac:dyDescent="0.25">
      <c r="A374" s="43"/>
      <c r="B374" s="53" t="s">
        <v>157</v>
      </c>
      <c r="C374" s="44"/>
      <c r="D374" s="44"/>
      <c r="E374" s="44"/>
      <c r="F374" s="45"/>
      <c r="H374" t="s">
        <v>172</v>
      </c>
    </row>
    <row r="375" spans="1:9" x14ac:dyDescent="0.25">
      <c r="A375" s="46" t="str">
        <f>+'2 CATÁLOGO DE MAT.'!A19</f>
        <v>MACEM002</v>
      </c>
      <c r="B375" s="46" t="str">
        <f>+'2 CATÁLOGO DE MAT.'!B19</f>
        <v>CEMENTO GRIS</v>
      </c>
      <c r="C375" s="46" t="str">
        <f>+'2 CATÁLOGO DE MAT.'!C19</f>
        <v>TON</v>
      </c>
      <c r="D375" s="58">
        <f>+'2 CATÁLOGO DE MAT.'!D19</f>
        <v>3965.5172413793107</v>
      </c>
      <c r="E375" s="47">
        <v>0.32300000000000001</v>
      </c>
      <c r="F375" s="59">
        <f>+D375*E375</f>
        <v>1280.8620689655174</v>
      </c>
    </row>
    <row r="376" spans="1:9" x14ac:dyDescent="0.25">
      <c r="A376" s="46" t="str">
        <f>+'2 CATÁLOGO DE MAT.'!A20</f>
        <v>MAAGR001</v>
      </c>
      <c r="B376" s="46" t="str">
        <f>+'2 CATÁLOGO DE MAT.'!B20</f>
        <v>ARENA DE MINA</v>
      </c>
      <c r="C376" s="46" t="str">
        <f>+'2 CATÁLOGO DE MAT.'!C20</f>
        <v>M3</v>
      </c>
      <c r="D376" s="58">
        <f>+'2 CATÁLOGO DE MAT.'!D20</f>
        <v>400</v>
      </c>
      <c r="E376" s="47">
        <v>0.48</v>
      </c>
      <c r="F376" s="59">
        <f t="shared" ref="F376:F378" si="5">+D376*E376</f>
        <v>192</v>
      </c>
    </row>
    <row r="377" spans="1:9" x14ac:dyDescent="0.25">
      <c r="A377" s="46" t="str">
        <f>+'2 CATÁLOGO DE MAT.'!A21</f>
        <v>MAAGR002</v>
      </c>
      <c r="B377" s="46" t="str">
        <f>+'2 CATÁLOGO DE MAT.'!B21</f>
        <v>GRAVA</v>
      </c>
      <c r="C377" s="46" t="str">
        <f>+'2 CATÁLOGO DE MAT.'!C21</f>
        <v>M3</v>
      </c>
      <c r="D377" s="58">
        <f>+'2 CATÁLOGO DE MAT.'!D21</f>
        <v>650</v>
      </c>
      <c r="E377" s="47">
        <v>0.67</v>
      </c>
      <c r="F377" s="59">
        <f t="shared" si="5"/>
        <v>435.5</v>
      </c>
    </row>
    <row r="378" spans="1:9" x14ac:dyDescent="0.25">
      <c r="A378" s="46" t="str">
        <f>+'2 CATÁLOGO DE MAT.'!A22</f>
        <v>MAAGUAP</v>
      </c>
      <c r="B378" s="46" t="str">
        <f>+'2 CATÁLOGO DE MAT.'!B22</f>
        <v>AGUA TRANSPORTADA EN PIPAS</v>
      </c>
      <c r="C378" s="46" t="str">
        <f>+'2 CATÁLOGO DE MAT.'!C22</f>
        <v>M3</v>
      </c>
      <c r="D378" s="58">
        <f>+'2 CATÁLOGO DE MAT.'!D22</f>
        <v>80</v>
      </c>
      <c r="E378" s="47">
        <v>0.21</v>
      </c>
      <c r="F378" s="59">
        <f t="shared" si="5"/>
        <v>16.8</v>
      </c>
    </row>
    <row r="379" spans="1:9" ht="15.75" thickBot="1" x14ac:dyDescent="0.3">
      <c r="A379" s="49"/>
      <c r="B379" s="63" t="s">
        <v>158</v>
      </c>
      <c r="C379" s="50"/>
      <c r="D379" s="50"/>
      <c r="E379" s="50"/>
      <c r="F379" s="64">
        <f>SUM(F375:F378)</f>
        <v>1925.1620689655174</v>
      </c>
    </row>
    <row r="380" spans="1:9" ht="15.75" thickBot="1" x14ac:dyDescent="0.3">
      <c r="A380" s="46"/>
      <c r="B380" s="47"/>
      <c r="C380" s="47"/>
      <c r="D380" s="47"/>
      <c r="E380" s="47"/>
      <c r="F380" s="48"/>
    </row>
    <row r="381" spans="1:9" x14ac:dyDescent="0.25">
      <c r="A381" s="43"/>
      <c r="B381" s="53" t="s">
        <v>159</v>
      </c>
      <c r="C381" s="44"/>
      <c r="D381" s="44"/>
      <c r="E381" s="44"/>
      <c r="F381" s="45"/>
      <c r="H381">
        <v>1</v>
      </c>
      <c r="I381">
        <v>8</v>
      </c>
    </row>
    <row r="382" spans="1:9" x14ac:dyDescent="0.25">
      <c r="A382" s="46" t="str">
        <f>+'5 CATÁLOGO DE BÁSICOS'!A15</f>
        <v>CUAD005</v>
      </c>
      <c r="B382" s="46" t="str">
        <f>+'5 CATÁLOGO DE BÁSICOS'!B15</f>
        <v>CUADRILLA No. 5 (1 OF. ALBAÑIL + 4 PEÓN + 5/20 DE CABO DE OFICIOS)</v>
      </c>
      <c r="C382" s="46" t="str">
        <f>+'5 CATÁLOGO DE BÁSICOS'!C15</f>
        <v>JOR</v>
      </c>
      <c r="D382" s="58">
        <f>+'5 CATÁLOGO DE BÁSICOS'!D15</f>
        <v>3152.7554418780792</v>
      </c>
      <c r="E382" s="47">
        <f>1/6</f>
        <v>0.16666666666666666</v>
      </c>
      <c r="F382" s="59">
        <f>+D382*E382</f>
        <v>525.4592403130132</v>
      </c>
      <c r="H382">
        <v>0.16666700000000001</v>
      </c>
      <c r="I382">
        <f>+H382*I381/H381</f>
        <v>1.3333360000000001</v>
      </c>
    </row>
    <row r="383" spans="1:9" x14ac:dyDescent="0.25">
      <c r="A383" s="46"/>
      <c r="B383" s="46"/>
      <c r="C383" s="46"/>
      <c r="D383" s="58"/>
      <c r="E383" s="47"/>
      <c r="F383" s="59">
        <f>+D383*E383</f>
        <v>0</v>
      </c>
    </row>
    <row r="384" spans="1:9" x14ac:dyDescent="0.25">
      <c r="A384" s="46"/>
      <c r="B384" s="46"/>
      <c r="C384" s="46"/>
      <c r="D384" s="58"/>
      <c r="E384" s="47"/>
      <c r="F384" s="59">
        <f>+D384*E384</f>
        <v>0</v>
      </c>
    </row>
    <row r="385" spans="1:6" x14ac:dyDescent="0.25">
      <c r="A385" s="46"/>
      <c r="B385" s="47"/>
      <c r="C385" s="47"/>
      <c r="D385" s="47"/>
      <c r="E385" s="47"/>
      <c r="F385" s="48"/>
    </row>
    <row r="386" spans="1:6" ht="15.75" thickBot="1" x14ac:dyDescent="0.3">
      <c r="A386" s="49"/>
      <c r="B386" s="63" t="s">
        <v>160</v>
      </c>
      <c r="C386" s="50"/>
      <c r="D386" s="50"/>
      <c r="E386" s="50"/>
      <c r="F386" s="64">
        <f>SUM(F382:F385)</f>
        <v>525.4592403130132</v>
      </c>
    </row>
    <row r="387" spans="1:6" ht="15.75" thickBot="1" x14ac:dyDescent="0.3">
      <c r="A387" s="46"/>
      <c r="B387" s="47"/>
      <c r="C387" s="47"/>
      <c r="D387" s="47"/>
      <c r="E387" s="47"/>
      <c r="F387" s="48"/>
    </row>
    <row r="388" spans="1:6" x14ac:dyDescent="0.25">
      <c r="A388" s="43"/>
      <c r="B388" s="53" t="s">
        <v>161</v>
      </c>
      <c r="C388" s="44"/>
      <c r="D388" s="44"/>
      <c r="E388" s="44"/>
      <c r="F388" s="45"/>
    </row>
    <row r="389" spans="1:6" x14ac:dyDescent="0.25">
      <c r="A389" s="46" t="str">
        <f>+'4 CATÁLOGO DE EQ. Y HERR'!A11</f>
        <v>%MO01</v>
      </c>
      <c r="B389" s="46" t="str">
        <f>+'4 CATÁLOGO DE EQ. Y HERR'!B11</f>
        <v>HERRAMIENTA MENOR (3-5%)</v>
      </c>
      <c r="C389" s="46" t="str">
        <f>+'4 CATÁLOGO DE EQ. Y HERR'!C11</f>
        <v>%</v>
      </c>
      <c r="D389" s="58">
        <f>+F386</f>
        <v>525.4592403130132</v>
      </c>
      <c r="E389" s="47">
        <v>0.03</v>
      </c>
      <c r="F389" s="59">
        <f t="shared" ref="F389:F391" si="6">+D389*E389</f>
        <v>15.763777209390396</v>
      </c>
    </row>
    <row r="390" spans="1:6" x14ac:dyDescent="0.25">
      <c r="A390" s="46" t="str">
        <f>+'4 CATÁLOGO DE EQ. Y HERR'!A12</f>
        <v>%MO02</v>
      </c>
      <c r="B390" s="46" t="str">
        <f>+'4 CATÁLOGO DE EQ. Y HERR'!B12</f>
        <v>EQUIPO DE SEGURIDAD (2-3%</v>
      </c>
      <c r="C390" s="46" t="str">
        <f>+'4 CATÁLOGO DE EQ. Y HERR'!C12</f>
        <v>%</v>
      </c>
      <c r="D390" s="58">
        <f>+F386</f>
        <v>525.4592403130132</v>
      </c>
      <c r="E390" s="47">
        <v>0.02</v>
      </c>
      <c r="F390" s="59">
        <f t="shared" si="6"/>
        <v>10.509184806260263</v>
      </c>
    </row>
    <row r="391" spans="1:6" x14ac:dyDescent="0.25">
      <c r="A391" s="46" t="str">
        <f>+'4 CATÁLOGO DE EQ. Y HERR'!A16</f>
        <v>EQREV001</v>
      </c>
      <c r="B391" s="46" t="str">
        <f>+'4 CATÁLOGO DE EQ. Y HERR'!B16</f>
        <v>REVOLVEDORA DE CONCRETO PARA 1 BULTO, CON MOTOR DE GASOLINA DE 14 HP</v>
      </c>
      <c r="C391" s="46" t="str">
        <f>+'4 CATÁLOGO DE EQ. Y HERR'!C16</f>
        <v>HORA</v>
      </c>
      <c r="D391" s="47">
        <f>+'4 CATÁLOGO DE EQ. Y HERR'!D16</f>
        <v>171.42881398164513</v>
      </c>
      <c r="E391" s="47">
        <f>+I382</f>
        <v>1.3333360000000001</v>
      </c>
      <c r="F391" s="59">
        <f t="shared" si="6"/>
        <v>228.57220911903082</v>
      </c>
    </row>
    <row r="392" spans="1:6" ht="15.75" thickBot="1" x14ac:dyDescent="0.3">
      <c r="A392" s="49"/>
      <c r="B392" s="63" t="s">
        <v>162</v>
      </c>
      <c r="C392" s="50"/>
      <c r="D392" s="50"/>
      <c r="E392" s="50"/>
      <c r="F392" s="64">
        <f>SUM(F389:F391)</f>
        <v>254.84517113468146</v>
      </c>
    </row>
    <row r="393" spans="1:6" ht="15.75" thickBot="1" x14ac:dyDescent="0.3">
      <c r="A393" s="46"/>
      <c r="B393" s="47"/>
      <c r="C393" s="47"/>
      <c r="D393" s="47"/>
      <c r="E393" s="47"/>
      <c r="F393" s="48"/>
    </row>
    <row r="394" spans="1:6" x14ac:dyDescent="0.25">
      <c r="A394" s="43"/>
      <c r="B394" s="53" t="s">
        <v>163</v>
      </c>
      <c r="C394" s="44"/>
      <c r="D394" s="44"/>
      <c r="E394" s="44"/>
      <c r="F394" s="45"/>
    </row>
    <row r="395" spans="1:6" x14ac:dyDescent="0.25">
      <c r="A395" s="46"/>
      <c r="B395" s="47"/>
      <c r="C395" s="47"/>
      <c r="D395" s="47"/>
      <c r="E395" s="47"/>
      <c r="F395" s="48"/>
    </row>
    <row r="396" spans="1:6" x14ac:dyDescent="0.25">
      <c r="A396" s="46"/>
      <c r="B396" s="47"/>
      <c r="C396" s="47"/>
      <c r="D396" s="47"/>
      <c r="E396" s="47"/>
      <c r="F396" s="48"/>
    </row>
    <row r="397" spans="1:6" ht="15.75" thickBot="1" x14ac:dyDescent="0.3">
      <c r="A397" s="49"/>
      <c r="B397" s="63" t="s">
        <v>164</v>
      </c>
      <c r="C397" s="50"/>
      <c r="D397" s="50"/>
      <c r="E397" s="50"/>
      <c r="F397" s="51"/>
    </row>
    <row r="398" spans="1:6" x14ac:dyDescent="0.25">
      <c r="A398" s="46"/>
      <c r="B398" s="47"/>
      <c r="C398" s="47"/>
      <c r="D398" s="47"/>
      <c r="E398" s="47"/>
      <c r="F398" s="48"/>
    </row>
    <row r="399" spans="1:6" x14ac:dyDescent="0.25">
      <c r="A399" s="46"/>
      <c r="B399" s="57" t="s">
        <v>165</v>
      </c>
      <c r="C399" s="47"/>
      <c r="D399" s="47"/>
      <c r="E399" s="47"/>
      <c r="F399" s="59">
        <f>+F397+F392+F386+F379</f>
        <v>2705.4664804132121</v>
      </c>
    </row>
    <row r="400" spans="1:6" ht="15.75" thickBot="1" x14ac:dyDescent="0.3">
      <c r="A400" s="49"/>
      <c r="B400" s="50"/>
      <c r="C400" s="50"/>
      <c r="D400" s="50"/>
      <c r="E400" s="50"/>
      <c r="F400" s="51"/>
    </row>
    <row r="411" spans="1:6" ht="15.75" thickBot="1" x14ac:dyDescent="0.3"/>
    <row r="412" spans="1:6" x14ac:dyDescent="0.25">
      <c r="A412" s="43"/>
      <c r="B412" s="44"/>
      <c r="C412" s="44"/>
      <c r="D412" s="44"/>
      <c r="E412" s="44"/>
      <c r="F412" s="45"/>
    </row>
    <row r="413" spans="1:6" x14ac:dyDescent="0.25">
      <c r="A413" s="46"/>
      <c r="B413" s="47"/>
      <c r="C413" s="47"/>
      <c r="D413" s="47"/>
      <c r="E413" s="47"/>
      <c r="F413" s="48"/>
    </row>
    <row r="414" spans="1:6" ht="15.75" thickBot="1" x14ac:dyDescent="0.3">
      <c r="A414" s="49"/>
      <c r="B414" s="50"/>
      <c r="C414" s="50"/>
      <c r="D414" s="50"/>
      <c r="E414" s="50"/>
      <c r="F414" s="51"/>
    </row>
    <row r="415" spans="1:6" x14ac:dyDescent="0.25">
      <c r="A415" s="52" t="s">
        <v>154</v>
      </c>
      <c r="B415" s="53" t="s">
        <v>25</v>
      </c>
      <c r="C415" s="53" t="s">
        <v>26</v>
      </c>
      <c r="D415" s="44"/>
      <c r="E415" s="44"/>
      <c r="F415" s="45"/>
    </row>
    <row r="416" spans="1:6" ht="30.75" thickBot="1" x14ac:dyDescent="0.3">
      <c r="A416" s="54" t="str">
        <f>+'5 CATÁLOGO DE BÁSICOS'!A23</f>
        <v>BACON003</v>
      </c>
      <c r="B416" s="54" t="str">
        <f>+'5 CATÁLOGO DE BÁSICOS'!B23</f>
        <v>CONCRETO F'C= 200 KG/CM2, HECHO EN OBRA, A.M. 19 MM, REV. 10-12, R.N.</v>
      </c>
      <c r="C416" s="54" t="str">
        <f>+'5 CATÁLOGO DE BÁSICOS'!C23</f>
        <v>M3</v>
      </c>
      <c r="D416" s="50"/>
      <c r="E416" s="50"/>
      <c r="F416" s="51"/>
    </row>
    <row r="417" spans="1:9" ht="15.75" thickBot="1" x14ac:dyDescent="0.3"/>
    <row r="418" spans="1:9" ht="15.75" thickBot="1" x14ac:dyDescent="0.3">
      <c r="A418" s="60" t="s">
        <v>154</v>
      </c>
      <c r="B418" s="61" t="s">
        <v>25</v>
      </c>
      <c r="C418" s="61" t="s">
        <v>26</v>
      </c>
      <c r="D418" s="61" t="s">
        <v>27</v>
      </c>
      <c r="E418" s="61" t="s">
        <v>155</v>
      </c>
      <c r="F418" s="62" t="s">
        <v>156</v>
      </c>
    </row>
    <row r="419" spans="1:9" x14ac:dyDescent="0.25">
      <c r="A419" s="43"/>
      <c r="B419" s="53" t="s">
        <v>157</v>
      </c>
      <c r="C419" s="44"/>
      <c r="D419" s="44"/>
      <c r="E419" s="44"/>
      <c r="F419" s="45"/>
      <c r="H419" t="s">
        <v>172</v>
      </c>
    </row>
    <row r="420" spans="1:9" x14ac:dyDescent="0.25">
      <c r="A420" s="46" t="str">
        <f>+'2 CATÁLOGO DE MAT.'!A19</f>
        <v>MACEM002</v>
      </c>
      <c r="B420" s="46" t="str">
        <f>+'2 CATÁLOGO DE MAT.'!B19</f>
        <v>CEMENTO GRIS</v>
      </c>
      <c r="C420" s="46" t="str">
        <f>+'2 CATÁLOGO DE MAT.'!C19</f>
        <v>TON</v>
      </c>
      <c r="D420" s="58">
        <f>+'2 CATÁLOGO DE MAT.'!D19</f>
        <v>3965.5172413793107</v>
      </c>
      <c r="E420" s="47">
        <v>0.35499999999999998</v>
      </c>
      <c r="F420" s="59">
        <f>+D420*E420</f>
        <v>1407.7586206896551</v>
      </c>
    </row>
    <row r="421" spans="1:9" x14ac:dyDescent="0.25">
      <c r="A421" s="46" t="str">
        <f>+'2 CATÁLOGO DE MAT.'!A20</f>
        <v>MAAGR001</v>
      </c>
      <c r="B421" s="46" t="str">
        <f>+'2 CATÁLOGO DE MAT.'!B20</f>
        <v>ARENA DE MINA</v>
      </c>
      <c r="C421" s="46" t="str">
        <f>+'2 CATÁLOGO DE MAT.'!C20</f>
        <v>M3</v>
      </c>
      <c r="D421" s="58">
        <f>+'2 CATÁLOGO DE MAT.'!D20</f>
        <v>400</v>
      </c>
      <c r="E421" s="47">
        <v>0.47</v>
      </c>
      <c r="F421" s="59">
        <f t="shared" ref="F421:F423" si="7">+D421*E421</f>
        <v>188</v>
      </c>
      <c r="H421" t="s">
        <v>227</v>
      </c>
      <c r="I421" t="s">
        <v>6</v>
      </c>
    </row>
    <row r="422" spans="1:9" x14ac:dyDescent="0.25">
      <c r="A422" s="46" t="str">
        <f>+'2 CATÁLOGO DE MAT.'!A21</f>
        <v>MAAGR002</v>
      </c>
      <c r="B422" s="46" t="str">
        <f>+'2 CATÁLOGO DE MAT.'!B21</f>
        <v>GRAVA</v>
      </c>
      <c r="C422" s="46" t="str">
        <f>+'2 CATÁLOGO DE MAT.'!C21</f>
        <v>M3</v>
      </c>
      <c r="D422" s="58">
        <f>+'2 CATÁLOGO DE MAT.'!D21</f>
        <v>650</v>
      </c>
      <c r="E422" s="47">
        <v>0.65</v>
      </c>
      <c r="F422" s="59">
        <f t="shared" si="7"/>
        <v>422.5</v>
      </c>
      <c r="H422">
        <v>1</v>
      </c>
      <c r="I422">
        <v>6</v>
      </c>
    </row>
    <row r="423" spans="1:9" x14ac:dyDescent="0.25">
      <c r="A423" s="46" t="str">
        <f>+'2 CATÁLOGO DE MAT.'!A22</f>
        <v>MAAGUAP</v>
      </c>
      <c r="B423" s="46" t="str">
        <f>+'2 CATÁLOGO DE MAT.'!B22</f>
        <v>AGUA TRANSPORTADA EN PIPAS</v>
      </c>
      <c r="C423" s="46" t="str">
        <f>+'2 CATÁLOGO DE MAT.'!C22</f>
        <v>M3</v>
      </c>
      <c r="D423" s="58">
        <f>+'2 CATÁLOGO DE MAT.'!D22</f>
        <v>80</v>
      </c>
      <c r="E423" s="47">
        <v>0.19500000000000001</v>
      </c>
      <c r="F423" s="59">
        <f t="shared" si="7"/>
        <v>15.600000000000001</v>
      </c>
      <c r="H423">
        <f>+I423*H422/I422</f>
        <v>0.16666666666666666</v>
      </c>
      <c r="I423">
        <v>1</v>
      </c>
    </row>
    <row r="424" spans="1:9" ht="15.75" thickBot="1" x14ac:dyDescent="0.3">
      <c r="A424" s="49"/>
      <c r="B424" s="63" t="s">
        <v>158</v>
      </c>
      <c r="C424" s="50"/>
      <c r="D424" s="50"/>
      <c r="E424" s="50"/>
      <c r="F424" s="64">
        <f>SUM(F420:F423)</f>
        <v>2033.858620689655</v>
      </c>
    </row>
    <row r="425" spans="1:9" ht="15.75" thickBot="1" x14ac:dyDescent="0.3">
      <c r="A425" s="46"/>
      <c r="B425" s="47"/>
      <c r="C425" s="47"/>
      <c r="D425" s="47"/>
      <c r="E425" s="47"/>
      <c r="F425" s="48"/>
    </row>
    <row r="426" spans="1:9" x14ac:dyDescent="0.25">
      <c r="A426" s="43"/>
      <c r="B426" s="53" t="s">
        <v>159</v>
      </c>
      <c r="C426" s="44"/>
      <c r="D426" s="44"/>
      <c r="E426" s="44"/>
      <c r="F426" s="45"/>
      <c r="H426">
        <v>1</v>
      </c>
      <c r="I426">
        <v>8</v>
      </c>
    </row>
    <row r="427" spans="1:9" x14ac:dyDescent="0.25">
      <c r="A427" s="46" t="str">
        <f>+'5 CATÁLOGO DE BÁSICOS'!A15</f>
        <v>CUAD005</v>
      </c>
      <c r="B427" s="46" t="str">
        <f>+'5 CATÁLOGO DE BÁSICOS'!B15</f>
        <v>CUADRILLA No. 5 (1 OF. ALBAÑIL + 4 PEÓN + 5/20 DE CABO DE OFICIOS)</v>
      </c>
      <c r="C427" s="46" t="str">
        <f>+'5 CATÁLOGO DE BÁSICOS'!C15</f>
        <v>JOR</v>
      </c>
      <c r="D427" s="58">
        <f>+'5 CATÁLOGO DE BÁSICOS'!D15</f>
        <v>3152.7554418780792</v>
      </c>
      <c r="E427" s="47">
        <f>1/6</f>
        <v>0.16666666666666666</v>
      </c>
      <c r="F427" s="59">
        <f>+D427*E427</f>
        <v>525.4592403130132</v>
      </c>
      <c r="H427">
        <v>0.16666700000000001</v>
      </c>
      <c r="I427">
        <f>+H427*I426/H426</f>
        <v>1.3333360000000001</v>
      </c>
    </row>
    <row r="428" spans="1:9" x14ac:dyDescent="0.25">
      <c r="A428" s="46"/>
      <c r="B428" s="46"/>
      <c r="C428" s="46"/>
      <c r="D428" s="58"/>
      <c r="E428" s="47"/>
      <c r="F428" s="59">
        <f>+D428*E428</f>
        <v>0</v>
      </c>
    </row>
    <row r="429" spans="1:9" x14ac:dyDescent="0.25">
      <c r="A429" s="46"/>
      <c r="B429" s="46"/>
      <c r="C429" s="46"/>
      <c r="D429" s="58"/>
      <c r="E429" s="47"/>
      <c r="F429" s="59">
        <f>+D429*E429</f>
        <v>0</v>
      </c>
    </row>
    <row r="430" spans="1:9" x14ac:dyDescent="0.25">
      <c r="A430" s="46"/>
      <c r="B430" s="47"/>
      <c r="C430" s="47"/>
      <c r="D430" s="47"/>
      <c r="E430" s="47"/>
      <c r="F430" s="48"/>
    </row>
    <row r="431" spans="1:9" ht="15.75" thickBot="1" x14ac:dyDescent="0.3">
      <c r="A431" s="49"/>
      <c r="B431" s="63" t="s">
        <v>160</v>
      </c>
      <c r="C431" s="50"/>
      <c r="D431" s="50"/>
      <c r="E431" s="50"/>
      <c r="F431" s="64">
        <f>SUM(F427:F430)</f>
        <v>525.4592403130132</v>
      </c>
    </row>
    <row r="432" spans="1:9" ht="15.75" thickBot="1" x14ac:dyDescent="0.3">
      <c r="A432" s="46"/>
      <c r="B432" s="47"/>
      <c r="C432" s="47"/>
      <c r="D432" s="47"/>
      <c r="E432" s="47"/>
      <c r="F432" s="48"/>
    </row>
    <row r="433" spans="1:6" x14ac:dyDescent="0.25">
      <c r="A433" s="43"/>
      <c r="B433" s="53" t="s">
        <v>161</v>
      </c>
      <c r="C433" s="44"/>
      <c r="D433" s="44"/>
      <c r="E433" s="44"/>
      <c r="F433" s="45"/>
    </row>
    <row r="434" spans="1:6" x14ac:dyDescent="0.25">
      <c r="A434" s="46" t="str">
        <f>+'4 CATÁLOGO DE EQ. Y HERR'!A11</f>
        <v>%MO01</v>
      </c>
      <c r="B434" s="46" t="str">
        <f>+'4 CATÁLOGO DE EQ. Y HERR'!B11</f>
        <v>HERRAMIENTA MENOR (3-5%)</v>
      </c>
      <c r="C434" s="46" t="str">
        <f>+'4 CATÁLOGO DE EQ. Y HERR'!C11</f>
        <v>%</v>
      </c>
      <c r="D434" s="58">
        <f>+F431</f>
        <v>525.4592403130132</v>
      </c>
      <c r="E434" s="47">
        <v>0.03</v>
      </c>
      <c r="F434" s="59">
        <f t="shared" ref="F434:F436" si="8">+D434*E434</f>
        <v>15.763777209390396</v>
      </c>
    </row>
    <row r="435" spans="1:6" x14ac:dyDescent="0.25">
      <c r="A435" s="46" t="str">
        <f>+'4 CATÁLOGO DE EQ. Y HERR'!A12</f>
        <v>%MO02</v>
      </c>
      <c r="B435" s="46" t="str">
        <f>+'4 CATÁLOGO DE EQ. Y HERR'!B12</f>
        <v>EQUIPO DE SEGURIDAD (2-3%</v>
      </c>
      <c r="C435" s="46" t="str">
        <f>+'4 CATÁLOGO DE EQ. Y HERR'!C12</f>
        <v>%</v>
      </c>
      <c r="D435" s="58">
        <f>+F431</f>
        <v>525.4592403130132</v>
      </c>
      <c r="E435" s="47">
        <v>0.02</v>
      </c>
      <c r="F435" s="59">
        <f t="shared" si="8"/>
        <v>10.509184806260263</v>
      </c>
    </row>
    <row r="436" spans="1:6" x14ac:dyDescent="0.25">
      <c r="A436" s="46" t="str">
        <f>+'4 CATÁLOGO DE EQ. Y HERR'!A16</f>
        <v>EQREV001</v>
      </c>
      <c r="B436" s="46" t="str">
        <f>+'4 CATÁLOGO DE EQ. Y HERR'!B16</f>
        <v>REVOLVEDORA DE CONCRETO PARA 1 BULTO, CON MOTOR DE GASOLINA DE 14 HP</v>
      </c>
      <c r="C436" s="46" t="str">
        <f>+'4 CATÁLOGO DE EQ. Y HERR'!C16</f>
        <v>HORA</v>
      </c>
      <c r="D436" s="47">
        <f>+'4 CATÁLOGO DE EQ. Y HERR'!D16</f>
        <v>171.42881398164513</v>
      </c>
      <c r="E436" s="47">
        <f>+I427</f>
        <v>1.3333360000000001</v>
      </c>
      <c r="F436" s="59">
        <f t="shared" si="8"/>
        <v>228.57220911903082</v>
      </c>
    </row>
    <row r="437" spans="1:6" ht="15.75" thickBot="1" x14ac:dyDescent="0.3">
      <c r="A437" s="49"/>
      <c r="B437" s="63" t="s">
        <v>162</v>
      </c>
      <c r="C437" s="50"/>
      <c r="D437" s="50"/>
      <c r="E437" s="50"/>
      <c r="F437" s="64">
        <f>SUM(F434:F436)</f>
        <v>254.84517113468146</v>
      </c>
    </row>
    <row r="438" spans="1:6" ht="15.75" thickBot="1" x14ac:dyDescent="0.3">
      <c r="A438" s="46"/>
      <c r="B438" s="47"/>
      <c r="C438" s="47"/>
      <c r="D438" s="47"/>
      <c r="E438" s="47"/>
      <c r="F438" s="48"/>
    </row>
    <row r="439" spans="1:6" x14ac:dyDescent="0.25">
      <c r="A439" s="43"/>
      <c r="B439" s="53" t="s">
        <v>163</v>
      </c>
      <c r="C439" s="44"/>
      <c r="D439" s="44"/>
      <c r="E439" s="44"/>
      <c r="F439" s="45"/>
    </row>
    <row r="440" spans="1:6" x14ac:dyDescent="0.25">
      <c r="A440" s="46"/>
      <c r="B440" s="47"/>
      <c r="C440" s="47"/>
      <c r="D440" s="47"/>
      <c r="E440" s="47"/>
      <c r="F440" s="48"/>
    </row>
    <row r="441" spans="1:6" x14ac:dyDescent="0.25">
      <c r="A441" s="46"/>
      <c r="B441" s="47"/>
      <c r="C441" s="47"/>
      <c r="D441" s="47"/>
      <c r="E441" s="47"/>
      <c r="F441" s="48"/>
    </row>
    <row r="442" spans="1:6" ht="15.75" thickBot="1" x14ac:dyDescent="0.3">
      <c r="A442" s="49"/>
      <c r="B442" s="63" t="s">
        <v>164</v>
      </c>
      <c r="C442" s="50"/>
      <c r="D442" s="50"/>
      <c r="E442" s="50"/>
      <c r="F442" s="51"/>
    </row>
    <row r="443" spans="1:6" x14ac:dyDescent="0.25">
      <c r="A443" s="46"/>
      <c r="B443" s="47"/>
      <c r="C443" s="47"/>
      <c r="D443" s="47"/>
      <c r="E443" s="47"/>
      <c r="F443" s="48"/>
    </row>
    <row r="444" spans="1:6" x14ac:dyDescent="0.25">
      <c r="A444" s="46"/>
      <c r="B444" s="57" t="s">
        <v>165</v>
      </c>
      <c r="C444" s="47"/>
      <c r="D444" s="47"/>
      <c r="E444" s="47"/>
      <c r="F444" s="59">
        <f>+F442+F437+F431+F424</f>
        <v>2814.1630321373495</v>
      </c>
    </row>
    <row r="445" spans="1:6" ht="15.75" thickBot="1" x14ac:dyDescent="0.3">
      <c r="A445" s="49"/>
      <c r="B445" s="50"/>
      <c r="C445" s="50"/>
      <c r="D445" s="50"/>
      <c r="E445" s="50"/>
      <c r="F445" s="51"/>
    </row>
    <row r="456" spans="1:8" ht="15.75" thickBot="1" x14ac:dyDescent="0.3"/>
    <row r="457" spans="1:8" x14ac:dyDescent="0.25">
      <c r="A457" s="43"/>
      <c r="B457" s="44"/>
      <c r="C457" s="44"/>
      <c r="D457" s="44"/>
      <c r="E457" s="44"/>
      <c r="F457" s="45"/>
    </row>
    <row r="458" spans="1:8" x14ac:dyDescent="0.25">
      <c r="A458" s="46"/>
      <c r="B458" s="47"/>
      <c r="C458" s="47"/>
      <c r="D458" s="47"/>
      <c r="E458" s="47"/>
      <c r="F458" s="48"/>
    </row>
    <row r="459" spans="1:8" ht="15.75" thickBot="1" x14ac:dyDescent="0.3">
      <c r="A459" s="49"/>
      <c r="B459" s="50"/>
      <c r="C459" s="50"/>
      <c r="D459" s="50"/>
      <c r="E459" s="50"/>
      <c r="F459" s="51"/>
    </row>
    <row r="460" spans="1:8" x14ac:dyDescent="0.25">
      <c r="A460" s="52" t="s">
        <v>154</v>
      </c>
      <c r="B460" s="53" t="s">
        <v>25</v>
      </c>
      <c r="C460" s="53" t="s">
        <v>26</v>
      </c>
      <c r="D460" s="44"/>
      <c r="E460" s="44"/>
      <c r="F460" s="45"/>
    </row>
    <row r="461" spans="1:8" ht="30.75" thickBot="1" x14ac:dyDescent="0.3">
      <c r="A461" s="54" t="str">
        <f>+'5 CATÁLOGO DE BÁSICOS'!A26</f>
        <v>BACON006</v>
      </c>
      <c r="B461" s="54" t="str">
        <f>+'5 CATÁLOGO DE BÁSICOS'!B26</f>
        <v>CONCRETO F'C= 350 KG/CM2, HECHO EN OBRA, A.M. 19 MM, REV. 10-12, R.N.</v>
      </c>
      <c r="C461" s="54" t="str">
        <f>+'5 CATÁLOGO DE BÁSICOS'!C26</f>
        <v>M3</v>
      </c>
      <c r="D461" s="50"/>
      <c r="E461" s="50"/>
      <c r="F461" s="51"/>
    </row>
    <row r="462" spans="1:8" ht="15.75" thickBot="1" x14ac:dyDescent="0.3"/>
    <row r="463" spans="1:8" ht="15.75" thickBot="1" x14ac:dyDescent="0.3">
      <c r="A463" s="60" t="s">
        <v>154</v>
      </c>
      <c r="B463" s="61" t="s">
        <v>25</v>
      </c>
      <c r="C463" s="61" t="s">
        <v>26</v>
      </c>
      <c r="D463" s="61" t="s">
        <v>27</v>
      </c>
      <c r="E463" s="61" t="s">
        <v>155</v>
      </c>
      <c r="F463" s="62" t="s">
        <v>156</v>
      </c>
    </row>
    <row r="464" spans="1:8" x14ac:dyDescent="0.25">
      <c r="A464" s="43"/>
      <c r="B464" s="53" t="s">
        <v>157</v>
      </c>
      <c r="C464" s="44"/>
      <c r="D464" s="44"/>
      <c r="E464" s="44"/>
      <c r="F464" s="45"/>
      <c r="H464" t="s">
        <v>172</v>
      </c>
    </row>
    <row r="465" spans="1:9" x14ac:dyDescent="0.25">
      <c r="A465" s="46" t="str">
        <f>+'2 CATÁLOGO DE MAT.'!A19</f>
        <v>MACEM002</v>
      </c>
      <c r="B465" s="46" t="str">
        <f>+'2 CATÁLOGO DE MAT.'!B19</f>
        <v>CEMENTO GRIS</v>
      </c>
      <c r="C465" s="46" t="str">
        <f>+'2 CATÁLOGO DE MAT.'!C19</f>
        <v>TON</v>
      </c>
      <c r="D465" s="58">
        <f>+'2 CATÁLOGO DE MAT.'!D19</f>
        <v>3965.5172413793107</v>
      </c>
      <c r="E465" s="47">
        <v>0.53400000000000003</v>
      </c>
      <c r="F465" s="59">
        <f>+D465*E465</f>
        <v>2117.5862068965521</v>
      </c>
    </row>
    <row r="466" spans="1:9" x14ac:dyDescent="0.25">
      <c r="A466" s="46" t="str">
        <f>+'2 CATÁLOGO DE MAT.'!A20</f>
        <v>MAAGR001</v>
      </c>
      <c r="B466" s="46" t="str">
        <f>+'2 CATÁLOGO DE MAT.'!B20</f>
        <v>ARENA DE MINA</v>
      </c>
      <c r="C466" s="46" t="str">
        <f>+'2 CATÁLOGO DE MAT.'!C20</f>
        <v>M3</v>
      </c>
      <c r="D466" s="58">
        <f>+'2 CATÁLOGO DE MAT.'!D20</f>
        <v>400</v>
      </c>
      <c r="E466" s="47">
        <v>0.49399999999999999</v>
      </c>
      <c r="F466" s="59">
        <f t="shared" ref="F466:F468" si="9">+D466*E466</f>
        <v>197.6</v>
      </c>
      <c r="H466" t="s">
        <v>227</v>
      </c>
      <c r="I466" t="s">
        <v>6</v>
      </c>
    </row>
    <row r="467" spans="1:9" x14ac:dyDescent="0.25">
      <c r="A467" s="46" t="str">
        <f>+'2 CATÁLOGO DE MAT.'!A21</f>
        <v>MAAGR002</v>
      </c>
      <c r="B467" s="46" t="str">
        <f>+'2 CATÁLOGO DE MAT.'!B21</f>
        <v>GRAVA</v>
      </c>
      <c r="C467" s="46" t="str">
        <f>+'2 CATÁLOGO DE MAT.'!C21</f>
        <v>M3</v>
      </c>
      <c r="D467" s="58">
        <f>+'2 CATÁLOGO DE MAT.'!D21</f>
        <v>650</v>
      </c>
      <c r="E467" s="47">
        <v>0.91600000000000004</v>
      </c>
      <c r="F467" s="59">
        <f t="shared" si="9"/>
        <v>595.4</v>
      </c>
      <c r="H467">
        <v>1</v>
      </c>
      <c r="I467">
        <v>6</v>
      </c>
    </row>
    <row r="468" spans="1:9" x14ac:dyDescent="0.25">
      <c r="A468" s="46" t="str">
        <f>+'2 CATÁLOGO DE MAT.'!A22</f>
        <v>MAAGUAP</v>
      </c>
      <c r="B468" s="46" t="str">
        <f>+'2 CATÁLOGO DE MAT.'!B22</f>
        <v>AGUA TRANSPORTADA EN PIPAS</v>
      </c>
      <c r="C468" s="46" t="str">
        <f>+'2 CATÁLOGO DE MAT.'!C22</f>
        <v>M3</v>
      </c>
      <c r="D468" s="58">
        <f>+'2 CATÁLOGO DE MAT.'!D22</f>
        <v>80</v>
      </c>
      <c r="E468" s="47">
        <v>0.222</v>
      </c>
      <c r="F468" s="59">
        <f t="shared" si="9"/>
        <v>17.760000000000002</v>
      </c>
      <c r="H468">
        <f>+I468*H467/I467</f>
        <v>0.16666666666666666</v>
      </c>
      <c r="I468">
        <v>1</v>
      </c>
    </row>
    <row r="469" spans="1:9" ht="15.75" thickBot="1" x14ac:dyDescent="0.3">
      <c r="A469" s="49"/>
      <c r="B469" s="63" t="s">
        <v>158</v>
      </c>
      <c r="C469" s="50"/>
      <c r="D469" s="50"/>
      <c r="E469" s="50"/>
      <c r="F469" s="64">
        <f>SUM(F465:F468)</f>
        <v>2928.3462068965523</v>
      </c>
    </row>
    <row r="470" spans="1:9" ht="15.75" thickBot="1" x14ac:dyDescent="0.3">
      <c r="A470" s="46"/>
      <c r="B470" s="47"/>
      <c r="C470" s="47"/>
      <c r="D470" s="47"/>
      <c r="E470" s="47"/>
      <c r="F470" s="48"/>
    </row>
    <row r="471" spans="1:9" x14ac:dyDescent="0.25">
      <c r="A471" s="43"/>
      <c r="B471" s="53" t="s">
        <v>159</v>
      </c>
      <c r="C471" s="44"/>
      <c r="D471" s="44"/>
      <c r="E471" s="44"/>
      <c r="F471" s="45"/>
      <c r="H471">
        <v>1</v>
      </c>
      <c r="I471">
        <v>8</v>
      </c>
    </row>
    <row r="472" spans="1:9" x14ac:dyDescent="0.25">
      <c r="A472" s="46" t="str">
        <f>+'5 CATÁLOGO DE BÁSICOS'!A15</f>
        <v>CUAD005</v>
      </c>
      <c r="B472" s="46" t="str">
        <f>+'5 CATÁLOGO DE BÁSICOS'!B15</f>
        <v>CUADRILLA No. 5 (1 OF. ALBAÑIL + 4 PEÓN + 5/20 DE CABO DE OFICIOS)</v>
      </c>
      <c r="C472" s="46" t="str">
        <f>+'5 CATÁLOGO DE BÁSICOS'!C15</f>
        <v>JOR</v>
      </c>
      <c r="D472" s="58">
        <f>+'5 CATÁLOGO DE BÁSICOS'!D15</f>
        <v>3152.7554418780792</v>
      </c>
      <c r="E472" s="47">
        <f>1/6</f>
        <v>0.16666666666666666</v>
      </c>
      <c r="F472" s="59">
        <f>+D472*E472</f>
        <v>525.4592403130132</v>
      </c>
      <c r="H472">
        <v>0.16666700000000001</v>
      </c>
      <c r="I472">
        <f>+H472*I471/H471</f>
        <v>1.3333360000000001</v>
      </c>
    </row>
    <row r="473" spans="1:9" x14ac:dyDescent="0.25">
      <c r="A473" s="46"/>
      <c r="B473" s="46"/>
      <c r="C473" s="46"/>
      <c r="D473" s="58"/>
      <c r="E473" s="47"/>
      <c r="F473" s="59">
        <f>+D473*E473</f>
        <v>0</v>
      </c>
    </row>
    <row r="474" spans="1:9" x14ac:dyDescent="0.25">
      <c r="A474" s="46"/>
      <c r="B474" s="46"/>
      <c r="C474" s="46"/>
      <c r="D474" s="58"/>
      <c r="E474" s="47"/>
      <c r="F474" s="59">
        <f>+D474*E474</f>
        <v>0</v>
      </c>
    </row>
    <row r="475" spans="1:9" x14ac:dyDescent="0.25">
      <c r="A475" s="46"/>
      <c r="B475" s="47"/>
      <c r="C475" s="47"/>
      <c r="D475" s="47"/>
      <c r="E475" s="47"/>
      <c r="F475" s="48"/>
    </row>
    <row r="476" spans="1:9" ht="15.75" thickBot="1" x14ac:dyDescent="0.3">
      <c r="A476" s="49"/>
      <c r="B476" s="63" t="s">
        <v>160</v>
      </c>
      <c r="C476" s="50"/>
      <c r="D476" s="50"/>
      <c r="E476" s="50"/>
      <c r="F476" s="64">
        <f>SUM(F472:F475)</f>
        <v>525.4592403130132</v>
      </c>
    </row>
    <row r="477" spans="1:9" ht="15.75" thickBot="1" x14ac:dyDescent="0.3">
      <c r="A477" s="46"/>
      <c r="B477" s="47"/>
      <c r="C477" s="47"/>
      <c r="D477" s="47"/>
      <c r="E477" s="47"/>
      <c r="F477" s="48"/>
    </row>
    <row r="478" spans="1:9" x14ac:dyDescent="0.25">
      <c r="A478" s="43"/>
      <c r="B478" s="53" t="s">
        <v>161</v>
      </c>
      <c r="C478" s="44"/>
      <c r="D478" s="44"/>
      <c r="E478" s="44"/>
      <c r="F478" s="45"/>
    </row>
    <row r="479" spans="1:9" x14ac:dyDescent="0.25">
      <c r="A479" s="46" t="str">
        <f>+'4 CATÁLOGO DE EQ. Y HERR'!A11</f>
        <v>%MO01</v>
      </c>
      <c r="B479" s="46" t="str">
        <f>+'4 CATÁLOGO DE EQ. Y HERR'!B11</f>
        <v>HERRAMIENTA MENOR (3-5%)</v>
      </c>
      <c r="C479" s="46" t="str">
        <f>+'4 CATÁLOGO DE EQ. Y HERR'!C11</f>
        <v>%</v>
      </c>
      <c r="D479" s="58">
        <f>+F476</f>
        <v>525.4592403130132</v>
      </c>
      <c r="E479" s="47">
        <v>0.03</v>
      </c>
      <c r="F479" s="59">
        <f t="shared" ref="F479:F481" si="10">+D479*E479</f>
        <v>15.763777209390396</v>
      </c>
    </row>
    <row r="480" spans="1:9" x14ac:dyDescent="0.25">
      <c r="A480" s="46" t="str">
        <f>+'4 CATÁLOGO DE EQ. Y HERR'!A12</f>
        <v>%MO02</v>
      </c>
      <c r="B480" s="46" t="str">
        <f>+'4 CATÁLOGO DE EQ. Y HERR'!B12</f>
        <v>EQUIPO DE SEGURIDAD (2-3%</v>
      </c>
      <c r="C480" s="46" t="str">
        <f>+'4 CATÁLOGO DE EQ. Y HERR'!C12</f>
        <v>%</v>
      </c>
      <c r="D480" s="58">
        <f>+F476</f>
        <v>525.4592403130132</v>
      </c>
      <c r="E480" s="47">
        <v>0.02</v>
      </c>
      <c r="F480" s="59">
        <f t="shared" si="10"/>
        <v>10.509184806260263</v>
      </c>
    </row>
    <row r="481" spans="1:6" x14ac:dyDescent="0.25">
      <c r="A481" s="46" t="str">
        <f>+'4 CATÁLOGO DE EQ. Y HERR'!A16</f>
        <v>EQREV001</v>
      </c>
      <c r="B481" s="46" t="str">
        <f>+'4 CATÁLOGO DE EQ. Y HERR'!B16</f>
        <v>REVOLVEDORA DE CONCRETO PARA 1 BULTO, CON MOTOR DE GASOLINA DE 14 HP</v>
      </c>
      <c r="C481" s="46" t="str">
        <f>+'4 CATÁLOGO DE EQ. Y HERR'!C16</f>
        <v>HORA</v>
      </c>
      <c r="D481" s="47">
        <f>+'4 CATÁLOGO DE EQ. Y HERR'!D16</f>
        <v>171.42881398164513</v>
      </c>
      <c r="E481" s="47">
        <f>+I472</f>
        <v>1.3333360000000001</v>
      </c>
      <c r="F481" s="59">
        <f t="shared" si="10"/>
        <v>228.57220911903082</v>
      </c>
    </row>
    <row r="482" spans="1:6" ht="15.75" thickBot="1" x14ac:dyDescent="0.3">
      <c r="A482" s="49"/>
      <c r="B482" s="63" t="s">
        <v>162</v>
      </c>
      <c r="C482" s="50"/>
      <c r="D482" s="50"/>
      <c r="E482" s="50"/>
      <c r="F482" s="64">
        <f>SUM(F479:F481)</f>
        <v>254.84517113468146</v>
      </c>
    </row>
    <row r="483" spans="1:6" ht="15.75" thickBot="1" x14ac:dyDescent="0.3">
      <c r="A483" s="46"/>
      <c r="B483" s="47"/>
      <c r="C483" s="47"/>
      <c r="D483" s="47"/>
      <c r="E483" s="47"/>
      <c r="F483" s="48"/>
    </row>
    <row r="484" spans="1:6" x14ac:dyDescent="0.25">
      <c r="A484" s="43"/>
      <c r="B484" s="53" t="s">
        <v>163</v>
      </c>
      <c r="C484" s="44"/>
      <c r="D484" s="44"/>
      <c r="E484" s="44"/>
      <c r="F484" s="45"/>
    </row>
    <row r="485" spans="1:6" x14ac:dyDescent="0.25">
      <c r="A485" s="46"/>
      <c r="B485" s="47"/>
      <c r="C485" s="47"/>
      <c r="D485" s="47"/>
      <c r="E485" s="47"/>
      <c r="F485" s="48"/>
    </row>
    <row r="486" spans="1:6" x14ac:dyDescent="0.25">
      <c r="A486" s="46"/>
      <c r="B486" s="47"/>
      <c r="C486" s="47"/>
      <c r="D486" s="47"/>
      <c r="E486" s="47"/>
      <c r="F486" s="48"/>
    </row>
    <row r="487" spans="1:6" ht="15.75" thickBot="1" x14ac:dyDescent="0.3">
      <c r="A487" s="49"/>
      <c r="B487" s="63" t="s">
        <v>164</v>
      </c>
      <c r="C487" s="50"/>
      <c r="D487" s="50"/>
      <c r="E487" s="50"/>
      <c r="F487" s="51"/>
    </row>
    <row r="488" spans="1:6" x14ac:dyDescent="0.25">
      <c r="A488" s="46"/>
      <c r="B488" s="47"/>
      <c r="C488" s="47"/>
      <c r="D488" s="47"/>
      <c r="E488" s="47"/>
      <c r="F488" s="48"/>
    </row>
    <row r="489" spans="1:6" x14ac:dyDescent="0.25">
      <c r="A489" s="46"/>
      <c r="B489" s="57" t="s">
        <v>165</v>
      </c>
      <c r="C489" s="47"/>
      <c r="D489" s="47"/>
      <c r="E489" s="47"/>
      <c r="F489" s="59">
        <f>+F487+F482+F476+F469</f>
        <v>3708.6506183442471</v>
      </c>
    </row>
    <row r="490" spans="1:6" ht="15.75" thickBot="1" x14ac:dyDescent="0.3">
      <c r="A490" s="49"/>
      <c r="B490" s="50"/>
      <c r="C490" s="50"/>
      <c r="D490" s="50"/>
      <c r="E490" s="50"/>
      <c r="F490" s="51"/>
    </row>
  </sheetData>
  <mergeCells count="1">
    <mergeCell ref="C8:F9"/>
  </mergeCells>
  <pageMargins left="0.39370078740157483" right="0.43307086614173229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topLeftCell="A22" zoomScale="120" zoomScaleNormal="120" workbookViewId="0">
      <selection activeCell="F26" sqref="F26"/>
    </sheetView>
  </sheetViews>
  <sheetFormatPr baseColWidth="10" defaultRowHeight="15" x14ac:dyDescent="0.25"/>
  <cols>
    <col min="1" max="1" width="10.28515625" customWidth="1"/>
    <col min="2" max="2" width="26.5703125" customWidth="1"/>
    <col min="3" max="3" width="12.42578125" customWidth="1"/>
    <col min="4" max="4" width="13.28515625" customWidth="1"/>
    <col min="5" max="5" width="12.7109375" customWidth="1"/>
    <col min="6" max="6" width="13" customWidth="1"/>
    <col min="7" max="7" width="12.5703125" customWidth="1"/>
    <col min="8" max="8" width="15.5703125" customWidth="1"/>
    <col min="9" max="9" width="14.140625" customWidth="1"/>
    <col min="10" max="10" width="11.5703125" customWidth="1"/>
    <col min="11" max="11" width="11.7109375" customWidth="1"/>
    <col min="12" max="12" width="11.28515625" customWidth="1"/>
    <col min="13" max="13" width="12.140625" customWidth="1"/>
    <col min="14" max="14" width="9.28515625" customWidth="1"/>
    <col min="15" max="15" width="9.5703125" customWidth="1"/>
    <col min="17" max="17" width="15" customWidth="1"/>
  </cols>
  <sheetData>
    <row r="2" spans="2:10" ht="15.75" thickBot="1" x14ac:dyDescent="0.3">
      <c r="D2" s="21" t="s">
        <v>357</v>
      </c>
    </row>
    <row r="3" spans="2:10" ht="15.75" thickBot="1" x14ac:dyDescent="0.3">
      <c r="C3" s="303"/>
      <c r="D3" s="304" t="s">
        <v>359</v>
      </c>
      <c r="E3" s="305"/>
      <c r="F3" s="305"/>
      <c r="G3" s="306"/>
    </row>
    <row r="4" spans="2:10" x14ac:dyDescent="0.25">
      <c r="B4" s="43" t="s">
        <v>229</v>
      </c>
      <c r="C4" s="48"/>
      <c r="E4" s="46" t="s">
        <v>187</v>
      </c>
      <c r="F4" s="48"/>
      <c r="H4" s="65" t="s">
        <v>175</v>
      </c>
      <c r="I4" s="66"/>
      <c r="J4" s="67"/>
    </row>
    <row r="5" spans="2:10" x14ac:dyDescent="0.25">
      <c r="B5" s="46" t="s">
        <v>174</v>
      </c>
      <c r="C5" s="48">
        <v>278.8</v>
      </c>
      <c r="E5" s="46"/>
      <c r="F5" s="48"/>
      <c r="H5" s="68" t="s">
        <v>177</v>
      </c>
      <c r="I5" s="47"/>
      <c r="J5" s="69">
        <f>+C8</f>
        <v>365</v>
      </c>
    </row>
    <row r="6" spans="2:10" x14ac:dyDescent="0.25">
      <c r="B6" s="46" t="s">
        <v>176</v>
      </c>
      <c r="C6" s="48">
        <v>113.14</v>
      </c>
      <c r="E6" s="46" t="s">
        <v>218</v>
      </c>
      <c r="F6" s="48"/>
      <c r="H6" s="68" t="s">
        <v>180</v>
      </c>
      <c r="I6" s="47"/>
      <c r="J6" s="69">
        <v>15</v>
      </c>
    </row>
    <row r="7" spans="2:10" x14ac:dyDescent="0.25">
      <c r="B7" s="46" t="s">
        <v>178</v>
      </c>
      <c r="C7" s="160">
        <f>3*C6</f>
        <v>339.42</v>
      </c>
      <c r="E7" s="88" t="s">
        <v>219</v>
      </c>
      <c r="F7" s="48"/>
      <c r="H7" s="68" t="s">
        <v>183</v>
      </c>
      <c r="I7" s="47"/>
      <c r="J7" s="69">
        <f>+C9*0.25</f>
        <v>3</v>
      </c>
    </row>
    <row r="8" spans="2:10" x14ac:dyDescent="0.25">
      <c r="B8" s="46" t="s">
        <v>181</v>
      </c>
      <c r="C8" s="48">
        <v>365</v>
      </c>
      <c r="E8" s="88" t="s">
        <v>220</v>
      </c>
      <c r="F8" s="48"/>
      <c r="H8" s="174" t="s">
        <v>186</v>
      </c>
      <c r="I8" s="175"/>
      <c r="J8" s="176">
        <f>SUM(J5:J7)</f>
        <v>383</v>
      </c>
    </row>
    <row r="9" spans="2:10" x14ac:dyDescent="0.25">
      <c r="B9" s="46" t="s">
        <v>184</v>
      </c>
      <c r="C9" s="48">
        <v>12</v>
      </c>
      <c r="E9" s="166" t="s">
        <v>221</v>
      </c>
      <c r="F9" s="48"/>
      <c r="H9" s="70"/>
      <c r="I9" s="57"/>
      <c r="J9" s="71"/>
    </row>
    <row r="10" spans="2:10" x14ac:dyDescent="0.25">
      <c r="B10" s="46" t="s">
        <v>196</v>
      </c>
      <c r="C10" s="48">
        <v>15</v>
      </c>
      <c r="E10" s="166" t="s">
        <v>222</v>
      </c>
      <c r="F10" s="48"/>
      <c r="H10" s="70"/>
      <c r="I10" s="57"/>
      <c r="J10" s="71"/>
    </row>
    <row r="11" spans="2:10" x14ac:dyDescent="0.25">
      <c r="B11" s="46" t="s">
        <v>198</v>
      </c>
      <c r="C11" s="161">
        <v>0.25</v>
      </c>
      <c r="E11" s="166" t="s">
        <v>358</v>
      </c>
      <c r="F11" s="48"/>
      <c r="H11" s="70"/>
      <c r="I11" s="57"/>
      <c r="J11" s="71"/>
    </row>
    <row r="12" spans="2:10" x14ac:dyDescent="0.25">
      <c r="B12" s="46" t="s">
        <v>179</v>
      </c>
      <c r="C12" s="161">
        <v>0.02</v>
      </c>
      <c r="E12" s="88" t="s">
        <v>223</v>
      </c>
      <c r="F12" s="48"/>
      <c r="H12" s="68"/>
      <c r="I12" s="47"/>
      <c r="J12" s="69"/>
    </row>
    <row r="13" spans="2:10" x14ac:dyDescent="0.25">
      <c r="B13" s="46" t="s">
        <v>182</v>
      </c>
      <c r="C13" s="161">
        <v>0.05</v>
      </c>
      <c r="E13" s="46" t="s">
        <v>224</v>
      </c>
      <c r="F13" s="48"/>
      <c r="H13" s="68"/>
      <c r="I13" s="47"/>
      <c r="J13" s="69"/>
    </row>
    <row r="14" spans="2:10" ht="15.75" thickBot="1" x14ac:dyDescent="0.3">
      <c r="B14" s="49" t="s">
        <v>185</v>
      </c>
      <c r="C14" s="51">
        <v>7.5887799999999999</v>
      </c>
      <c r="E14" s="49"/>
      <c r="F14" s="51"/>
      <c r="H14" s="170" t="s">
        <v>188</v>
      </c>
      <c r="I14" s="171"/>
      <c r="J14" s="172">
        <f>+J8/J5</f>
        <v>1.0493150684931507</v>
      </c>
    </row>
    <row r="16" spans="2:10" x14ac:dyDescent="0.25">
      <c r="B16" s="72" t="s">
        <v>184</v>
      </c>
      <c r="C16" s="67">
        <v>12</v>
      </c>
      <c r="H16" s="167" t="s">
        <v>191</v>
      </c>
      <c r="I16" s="327" t="s">
        <v>192</v>
      </c>
      <c r="J16" s="328"/>
    </row>
    <row r="17" spans="1:24" x14ac:dyDescent="0.25">
      <c r="B17" s="68" t="s">
        <v>187</v>
      </c>
      <c r="C17" s="69">
        <v>7</v>
      </c>
      <c r="H17" s="74"/>
      <c r="I17" s="329"/>
      <c r="J17" s="330"/>
    </row>
    <row r="18" spans="1:24" x14ac:dyDescent="0.25">
      <c r="B18" s="68" t="s">
        <v>189</v>
      </c>
      <c r="C18" s="69">
        <v>52</v>
      </c>
      <c r="H18" s="169" t="s">
        <v>194</v>
      </c>
      <c r="I18" s="168"/>
      <c r="J18" s="67"/>
    </row>
    <row r="19" spans="1:24" x14ac:dyDescent="0.25">
      <c r="B19" s="162" t="s">
        <v>190</v>
      </c>
      <c r="C19" s="163">
        <v>2</v>
      </c>
      <c r="E19" s="164"/>
      <c r="G19" s="164"/>
      <c r="H19" s="162" t="s">
        <v>217</v>
      </c>
      <c r="I19" s="92"/>
      <c r="J19" s="69">
        <f>+J5-C21</f>
        <v>290</v>
      </c>
    </row>
    <row r="20" spans="1:24" x14ac:dyDescent="0.25">
      <c r="B20" s="162" t="s">
        <v>193</v>
      </c>
      <c r="C20" s="163">
        <v>2</v>
      </c>
      <c r="E20" s="164"/>
      <c r="G20" s="164"/>
      <c r="H20" s="174" t="s">
        <v>197</v>
      </c>
      <c r="I20" s="177"/>
      <c r="J20" s="176">
        <f>+J19</f>
        <v>290</v>
      </c>
    </row>
    <row r="21" spans="1:24" x14ac:dyDescent="0.25">
      <c r="B21" s="170" t="s">
        <v>195</v>
      </c>
      <c r="C21" s="173">
        <f>SUM(C16:C20)</f>
        <v>75</v>
      </c>
      <c r="E21" s="164"/>
      <c r="G21" s="164"/>
      <c r="H21" s="170" t="s">
        <v>199</v>
      </c>
      <c r="I21" s="171"/>
      <c r="J21" s="172">
        <f>+J8/J20</f>
        <v>1.3206896551724139</v>
      </c>
      <c r="K21">
        <f>+J8/J20</f>
        <v>1.3206896551724139</v>
      </c>
    </row>
    <row r="22" spans="1:24" x14ac:dyDescent="0.25">
      <c r="B22" s="164"/>
      <c r="C22" s="164"/>
      <c r="D22" s="164"/>
      <c r="E22" s="164"/>
      <c r="G22" s="164"/>
    </row>
    <row r="23" spans="1:24" ht="15.75" thickBot="1" x14ac:dyDescent="0.3">
      <c r="A23" s="325" t="s">
        <v>200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W23" s="21" t="s">
        <v>173</v>
      </c>
    </row>
    <row r="24" spans="1:24" s="92" customFormat="1" ht="76.5" thickTop="1" thickBot="1" x14ac:dyDescent="0.3">
      <c r="A24" s="178" t="s">
        <v>154</v>
      </c>
      <c r="B24" s="179" t="s">
        <v>201</v>
      </c>
      <c r="C24" s="179" t="s">
        <v>202</v>
      </c>
      <c r="D24" s="179" t="s">
        <v>203</v>
      </c>
      <c r="E24" s="179" t="s">
        <v>204</v>
      </c>
      <c r="F24" s="184" t="s">
        <v>205</v>
      </c>
      <c r="G24" s="185" t="s">
        <v>206</v>
      </c>
      <c r="H24" s="189" t="s">
        <v>207</v>
      </c>
      <c r="I24" s="188" t="s">
        <v>208</v>
      </c>
      <c r="J24" s="190" t="s">
        <v>209</v>
      </c>
      <c r="K24" s="191" t="s">
        <v>210</v>
      </c>
      <c r="L24" s="192" t="s">
        <v>211</v>
      </c>
      <c r="M24" s="193" t="s">
        <v>212</v>
      </c>
      <c r="N24" s="326" t="s">
        <v>213</v>
      </c>
      <c r="O24" s="326"/>
      <c r="P24" s="326"/>
      <c r="Q24" s="186" t="s">
        <v>214</v>
      </c>
      <c r="R24" s="187" t="s">
        <v>182</v>
      </c>
      <c r="S24" s="183" t="s">
        <v>215</v>
      </c>
      <c r="T24" s="194" t="s">
        <v>216</v>
      </c>
      <c r="U24" s="194" t="s">
        <v>228</v>
      </c>
      <c r="V24" s="194" t="s">
        <v>199</v>
      </c>
      <c r="W24" s="195" t="s">
        <v>30</v>
      </c>
    </row>
    <row r="25" spans="1:24" s="92" customFormat="1" ht="16.5" thickTop="1" thickBot="1" x14ac:dyDescent="0.3">
      <c r="A25" s="182"/>
      <c r="B25" s="331" t="s">
        <v>360</v>
      </c>
      <c r="C25" s="332"/>
      <c r="D25" s="332"/>
      <c r="E25" s="332"/>
      <c r="F25" s="333"/>
      <c r="G25" s="196">
        <v>1.4999999999999999E-2</v>
      </c>
      <c r="H25" s="196">
        <v>7.5887499999999997E-2</v>
      </c>
      <c r="I25" s="196">
        <v>0.20399999999999999</v>
      </c>
      <c r="J25" s="196">
        <v>9.4999999999999998E-3</v>
      </c>
      <c r="K25" s="196">
        <v>1.4250000000000001E-2</v>
      </c>
      <c r="L25" s="196">
        <v>2.375E-2</v>
      </c>
      <c r="M25" s="196">
        <v>0.02</v>
      </c>
      <c r="N25" s="196" t="s">
        <v>225</v>
      </c>
      <c r="O25" s="196" t="s">
        <v>226</v>
      </c>
      <c r="P25" s="196" t="s">
        <v>21</v>
      </c>
      <c r="Q25" s="196">
        <v>0.01</v>
      </c>
      <c r="R25" s="196">
        <v>0.05</v>
      </c>
      <c r="S25" s="196">
        <v>0.02</v>
      </c>
      <c r="T25" s="223"/>
      <c r="U25" s="224"/>
      <c r="V25" s="224"/>
      <c r="W25" s="225"/>
    </row>
    <row r="26" spans="1:24" s="92" customFormat="1" x14ac:dyDescent="0.25">
      <c r="A26" s="197" t="str">
        <f>+'3 CATÁLOGO DE M. DE O.'!A11</f>
        <v>MO08003</v>
      </c>
      <c r="B26" s="198" t="str">
        <f>+'3 CATÁLOGO DE M. DE O.'!B11</f>
        <v>TÉCNICO TOPÓGRAFO</v>
      </c>
      <c r="C26" s="199">
        <f>+'3 CATÁLOGO DE M. DE O.'!D11</f>
        <v>700</v>
      </c>
      <c r="D26" s="200">
        <f t="shared" ref="D26:D34" si="0">+$J$14</f>
        <v>1.0493150684931507</v>
      </c>
      <c r="E26" s="201">
        <f>+C26*D26</f>
        <v>734.52054794520552</v>
      </c>
      <c r="F26" s="199">
        <f>+E26-$C$7</f>
        <v>395.10054794520551</v>
      </c>
      <c r="G26" s="199">
        <f>+$G$25*F26</f>
        <v>5.926508219178082</v>
      </c>
      <c r="H26" s="199">
        <f t="shared" ref="H26:H34" si="1">+$H$25*E26</f>
        <v>55.740928082191779</v>
      </c>
      <c r="I26" s="199">
        <f t="shared" ref="I26:I34" si="2">+$I$25*$C$6</f>
        <v>23.080559999999998</v>
      </c>
      <c r="J26" s="199">
        <f t="shared" ref="J26:J34" si="3">+$J$25*E26</f>
        <v>6.9779452054794522</v>
      </c>
      <c r="K26" s="199">
        <f t="shared" ref="K26:K34" si="4">+$K$25*E26</f>
        <v>10.466917808219179</v>
      </c>
      <c r="L26" s="199">
        <f>+$L$25*E26</f>
        <v>17.44486301369863</v>
      </c>
      <c r="M26" s="199">
        <f>+$M$25*E26</f>
        <v>14.69041095890411</v>
      </c>
      <c r="N26" s="199">
        <f>5.331%*E26</f>
        <v>39.157290410958908</v>
      </c>
      <c r="O26" s="199">
        <f>1.125%*E26</f>
        <v>8.2633561643835627</v>
      </c>
      <c r="P26" s="199">
        <f>+N26+O26</f>
        <v>47.420646575342474</v>
      </c>
      <c r="Q26" s="199">
        <f>+$Q$25*E26</f>
        <v>7.3452054794520549</v>
      </c>
      <c r="R26" s="199">
        <f>+$R$25*E26</f>
        <v>36.726027397260275</v>
      </c>
      <c r="S26" s="199">
        <f>+$S$25*E26</f>
        <v>14.69041095890411</v>
      </c>
      <c r="T26" s="199">
        <f>SUM(G26:S26)-N26-O26</f>
        <v>240.51042369863015</v>
      </c>
      <c r="U26" s="219">
        <f>+T26/E26</f>
        <v>0.32743865964192465</v>
      </c>
      <c r="V26" s="219">
        <f t="shared" ref="V26:V34" si="5">+$J$21</f>
        <v>1.3206896551724139</v>
      </c>
      <c r="W26" s="220">
        <f>+U26*V26+V26</f>
        <v>1.7531345056650247</v>
      </c>
      <c r="X26" s="92">
        <f>+U26*V26+V26</f>
        <v>1.7531345056650247</v>
      </c>
    </row>
    <row r="27" spans="1:24" s="92" customFormat="1" x14ac:dyDescent="0.25">
      <c r="A27" s="144" t="str">
        <f>+'3 CATÁLOGO DE M. DE O.'!A12</f>
        <v>MO01002</v>
      </c>
      <c r="B27" s="145" t="str">
        <f>+'3 CATÁLOGO DE M. DE O.'!B12</f>
        <v>AYUDANTE ESPECIALIZADO</v>
      </c>
      <c r="C27" s="146">
        <f>+'3 CATÁLOGO DE M. DE O.'!D12</f>
        <v>300</v>
      </c>
      <c r="D27" s="202">
        <f t="shared" si="0"/>
        <v>1.0493150684931507</v>
      </c>
      <c r="E27" s="203">
        <f t="shared" ref="E27:E33" si="6">+C27*D27</f>
        <v>314.79452054794524</v>
      </c>
      <c r="F27" s="146">
        <f t="shared" ref="F27:F33" si="7">+E27-$C$7</f>
        <v>-24.625479452054776</v>
      </c>
      <c r="G27" s="145">
        <v>0</v>
      </c>
      <c r="H27" s="146">
        <f t="shared" si="1"/>
        <v>23.888969178082192</v>
      </c>
      <c r="I27" s="146">
        <f t="shared" si="2"/>
        <v>23.080559999999998</v>
      </c>
      <c r="J27" s="146">
        <f t="shared" si="3"/>
        <v>2.9905479452054795</v>
      </c>
      <c r="K27" s="146">
        <f t="shared" si="4"/>
        <v>4.4858219178082201</v>
      </c>
      <c r="L27" s="146">
        <f t="shared" ref="L27:L33" si="8">+$L$25*E27</f>
        <v>7.4763698630136997</v>
      </c>
      <c r="M27" s="146">
        <f t="shared" ref="M27:M33" si="9">+$M$25*E27</f>
        <v>6.2958904109589051</v>
      </c>
      <c r="N27" s="146">
        <f>4.588%*E27</f>
        <v>14.442772602739728</v>
      </c>
      <c r="O27" s="146">
        <f t="shared" ref="O27:O33" si="10">1.125%*E27</f>
        <v>3.5414383561643836</v>
      </c>
      <c r="P27" s="146">
        <f t="shared" ref="P27:P33" si="11">+N27+O27</f>
        <v>17.984210958904111</v>
      </c>
      <c r="Q27" s="146">
        <f t="shared" ref="Q27:Q33" si="12">+$Q$25*E27</f>
        <v>3.1479452054794526</v>
      </c>
      <c r="R27" s="146">
        <f t="shared" ref="R27:R33" si="13">+$R$25*E27</f>
        <v>15.739726027397262</v>
      </c>
      <c r="S27" s="146">
        <f t="shared" ref="S27:S33" si="14">+$S$25*E27</f>
        <v>6.2958904109589051</v>
      </c>
      <c r="T27" s="146">
        <f t="shared" ref="T27:T33" si="15">SUM(G27:S27)-N27-O27</f>
        <v>111.38593191780825</v>
      </c>
      <c r="U27" s="221">
        <f t="shared" ref="U27:U33" si="16">+T27/E27</f>
        <v>0.35383694647519587</v>
      </c>
      <c r="V27" s="221">
        <f t="shared" si="5"/>
        <v>1.3206896551724139</v>
      </c>
      <c r="W27" s="222">
        <f t="shared" ref="W27:W33" si="17">+U27*V27+V27</f>
        <v>1.7879984500000001</v>
      </c>
    </row>
    <row r="28" spans="1:24" s="92" customFormat="1" x14ac:dyDescent="0.25">
      <c r="A28" s="204" t="str">
        <f>+'3 CATÁLOGO DE M. DE O.'!A13</f>
        <v>MO02001</v>
      </c>
      <c r="B28" s="205" t="str">
        <f>+'3 CATÁLOGO DE M. DE O.'!B13</f>
        <v>OFICIAL ALBAÑIL</v>
      </c>
      <c r="C28" s="206">
        <f>+'3 CATÁLOGO DE M. DE O.'!D13</f>
        <v>450</v>
      </c>
      <c r="D28" s="207">
        <f t="shared" si="0"/>
        <v>1.0493150684931507</v>
      </c>
      <c r="E28" s="208">
        <f t="shared" si="6"/>
        <v>472.1917808219178</v>
      </c>
      <c r="F28" s="206">
        <f t="shared" si="7"/>
        <v>132.77178082191779</v>
      </c>
      <c r="G28" s="206">
        <f>+$G$25*F28</f>
        <v>1.9915767123287667</v>
      </c>
      <c r="H28" s="206">
        <f t="shared" si="1"/>
        <v>35.833453767123288</v>
      </c>
      <c r="I28" s="206">
        <f t="shared" si="2"/>
        <v>23.080559999999998</v>
      </c>
      <c r="J28" s="206">
        <f t="shared" si="3"/>
        <v>4.4858219178082193</v>
      </c>
      <c r="K28" s="206">
        <f t="shared" si="4"/>
        <v>6.7287328767123293</v>
      </c>
      <c r="L28" s="206">
        <f t="shared" si="8"/>
        <v>11.214554794520549</v>
      </c>
      <c r="M28" s="206">
        <f t="shared" si="9"/>
        <v>9.4438356164383563</v>
      </c>
      <c r="N28" s="206">
        <f>5.331%*E28</f>
        <v>25.172543835616441</v>
      </c>
      <c r="O28" s="206">
        <f t="shared" si="10"/>
        <v>5.312157534246575</v>
      </c>
      <c r="P28" s="206">
        <f t="shared" si="11"/>
        <v>30.484701369863018</v>
      </c>
      <c r="Q28" s="206">
        <f t="shared" si="12"/>
        <v>4.7219178082191782</v>
      </c>
      <c r="R28" s="206">
        <f t="shared" si="13"/>
        <v>23.609589041095891</v>
      </c>
      <c r="S28" s="206">
        <f t="shared" si="14"/>
        <v>9.4438356164383563</v>
      </c>
      <c r="T28" s="206">
        <f t="shared" si="15"/>
        <v>161.03857952054796</v>
      </c>
      <c r="U28" s="221">
        <f t="shared" si="16"/>
        <v>0.34104485944299395</v>
      </c>
      <c r="V28" s="221">
        <f t="shared" si="5"/>
        <v>1.3206896551724139</v>
      </c>
      <c r="W28" s="222">
        <f t="shared" si="17"/>
        <v>1.7711040729885059</v>
      </c>
    </row>
    <row r="29" spans="1:24" s="92" customFormat="1" x14ac:dyDescent="0.25">
      <c r="A29" s="204" t="str">
        <f>+'3 CATÁLOGO DE M. DE O.'!A14</f>
        <v>MO01001</v>
      </c>
      <c r="B29" s="205" t="str">
        <f>+'3 CATÁLOGO DE M. DE O.'!B14</f>
        <v>PEÓN</v>
      </c>
      <c r="C29" s="206">
        <f>+'3 CATÁLOGO DE M. DE O.'!D14</f>
        <v>285.71428571428572</v>
      </c>
      <c r="D29" s="207">
        <f t="shared" si="0"/>
        <v>1.0493150684931507</v>
      </c>
      <c r="E29" s="208">
        <f t="shared" si="6"/>
        <v>299.80430528375734</v>
      </c>
      <c r="F29" s="206">
        <f t="shared" si="7"/>
        <v>-39.615694716242672</v>
      </c>
      <c r="G29" s="205">
        <v>0</v>
      </c>
      <c r="H29" s="206">
        <f t="shared" si="1"/>
        <v>22.751399217221135</v>
      </c>
      <c r="I29" s="206">
        <f t="shared" si="2"/>
        <v>23.080559999999998</v>
      </c>
      <c r="J29" s="206">
        <f t="shared" si="3"/>
        <v>2.8481409001956948</v>
      </c>
      <c r="K29" s="206">
        <f t="shared" si="4"/>
        <v>4.2722113502935422</v>
      </c>
      <c r="L29" s="206">
        <f t="shared" si="8"/>
        <v>7.1203522504892369</v>
      </c>
      <c r="M29" s="206">
        <f t="shared" si="9"/>
        <v>5.9960861056751469</v>
      </c>
      <c r="N29" s="206">
        <f>4.588%*E29</f>
        <v>13.755021526418789</v>
      </c>
      <c r="O29" s="206">
        <f t="shared" si="10"/>
        <v>3.3727984344422701</v>
      </c>
      <c r="P29" s="206">
        <f t="shared" si="11"/>
        <v>17.127819960861061</v>
      </c>
      <c r="Q29" s="206">
        <f t="shared" si="12"/>
        <v>2.9980430528375734</v>
      </c>
      <c r="R29" s="206">
        <f t="shared" si="13"/>
        <v>14.990215264187867</v>
      </c>
      <c r="S29" s="206">
        <f t="shared" si="14"/>
        <v>5.9960861056751469</v>
      </c>
      <c r="T29" s="206">
        <f t="shared" si="15"/>
        <v>107.1809142074364</v>
      </c>
      <c r="U29" s="221">
        <f t="shared" si="16"/>
        <v>0.35750291879895563</v>
      </c>
      <c r="V29" s="221">
        <f t="shared" si="5"/>
        <v>1.3206896551724139</v>
      </c>
      <c r="W29" s="222">
        <f t="shared" si="17"/>
        <v>1.792840061724138</v>
      </c>
    </row>
    <row r="30" spans="1:24" s="92" customFormat="1" x14ac:dyDescent="0.25">
      <c r="A30" s="209" t="str">
        <f>+'3 CATÁLOGO DE M. DE O.'!A15</f>
        <v>MO08001</v>
      </c>
      <c r="B30" s="210" t="str">
        <f>+'3 CATÁLOGO DE M. DE O.'!B15</f>
        <v>CABO DE OFICIOS</v>
      </c>
      <c r="C30" s="211">
        <f>+'3 CATÁLOGO DE M. DE O.'!D15</f>
        <v>700</v>
      </c>
      <c r="D30" s="212">
        <f t="shared" si="0"/>
        <v>1.0493150684931507</v>
      </c>
      <c r="E30" s="213">
        <f t="shared" si="6"/>
        <v>734.52054794520552</v>
      </c>
      <c r="F30" s="211">
        <f t="shared" si="7"/>
        <v>395.10054794520551</v>
      </c>
      <c r="G30" s="211">
        <f t="shared" ref="G30:G33" si="18">+$G$25*F30</f>
        <v>5.926508219178082</v>
      </c>
      <c r="H30" s="211">
        <f t="shared" si="1"/>
        <v>55.740928082191779</v>
      </c>
      <c r="I30" s="211">
        <f t="shared" si="2"/>
        <v>23.080559999999998</v>
      </c>
      <c r="J30" s="211">
        <f t="shared" si="3"/>
        <v>6.9779452054794522</v>
      </c>
      <c r="K30" s="211">
        <f t="shared" si="4"/>
        <v>10.466917808219179</v>
      </c>
      <c r="L30" s="211">
        <f t="shared" si="8"/>
        <v>17.44486301369863</v>
      </c>
      <c r="M30" s="211">
        <f t="shared" si="9"/>
        <v>14.69041095890411</v>
      </c>
      <c r="N30" s="211">
        <f t="shared" ref="N30:N33" si="19">5.331%*E30</f>
        <v>39.157290410958908</v>
      </c>
      <c r="O30" s="211">
        <f t="shared" si="10"/>
        <v>8.2633561643835627</v>
      </c>
      <c r="P30" s="211">
        <f t="shared" si="11"/>
        <v>47.420646575342474</v>
      </c>
      <c r="Q30" s="211">
        <f t="shared" si="12"/>
        <v>7.3452054794520549</v>
      </c>
      <c r="R30" s="211">
        <f t="shared" si="13"/>
        <v>36.726027397260275</v>
      </c>
      <c r="S30" s="211">
        <f t="shared" si="14"/>
        <v>14.69041095890411</v>
      </c>
      <c r="T30" s="211">
        <f t="shared" si="15"/>
        <v>240.51042369863015</v>
      </c>
      <c r="U30" s="221">
        <f t="shared" si="16"/>
        <v>0.32743865964192465</v>
      </c>
      <c r="V30" s="221">
        <f t="shared" si="5"/>
        <v>1.3206896551724139</v>
      </c>
      <c r="W30" s="222">
        <f t="shared" si="17"/>
        <v>1.7531345056650247</v>
      </c>
    </row>
    <row r="31" spans="1:24" s="92" customFormat="1" x14ac:dyDescent="0.25">
      <c r="A31" s="209" t="str">
        <f>+'3 CATÁLOGO DE M. DE O.'!A16</f>
        <v>MO08002</v>
      </c>
      <c r="B31" s="210" t="str">
        <f>+'3 CATÁLOGO DE M. DE O.'!B16</f>
        <v>OPERADOR DE RETROEXCAVADORA Y/0 CAMION DE VOLTEO</v>
      </c>
      <c r="C31" s="211">
        <f>+'3 CATÁLOGO DE M. DE O.'!D16</f>
        <v>550</v>
      </c>
      <c r="D31" s="212">
        <f t="shared" si="0"/>
        <v>1.0493150684931507</v>
      </c>
      <c r="E31" s="213">
        <f t="shared" si="6"/>
        <v>577.1232876712329</v>
      </c>
      <c r="F31" s="211">
        <f t="shared" si="7"/>
        <v>237.70328767123289</v>
      </c>
      <c r="G31" s="211">
        <f t="shared" si="18"/>
        <v>3.5655493150684934</v>
      </c>
      <c r="H31" s="211">
        <f t="shared" si="1"/>
        <v>43.796443493150683</v>
      </c>
      <c r="I31" s="211">
        <f t="shared" si="2"/>
        <v>23.080559999999998</v>
      </c>
      <c r="J31" s="211">
        <f t="shared" si="3"/>
        <v>5.4826712328767124</v>
      </c>
      <c r="K31" s="211">
        <f t="shared" si="4"/>
        <v>8.2240068493150691</v>
      </c>
      <c r="L31" s="211">
        <f t="shared" si="8"/>
        <v>13.706678082191782</v>
      </c>
      <c r="M31" s="211">
        <f t="shared" si="9"/>
        <v>11.542465753424658</v>
      </c>
      <c r="N31" s="211">
        <f t="shared" si="19"/>
        <v>30.766442465753428</v>
      </c>
      <c r="O31" s="211">
        <f t="shared" si="10"/>
        <v>6.4926369863013695</v>
      </c>
      <c r="P31" s="211">
        <f t="shared" si="11"/>
        <v>37.259079452054799</v>
      </c>
      <c r="Q31" s="211">
        <f t="shared" si="12"/>
        <v>5.7712328767123289</v>
      </c>
      <c r="R31" s="211">
        <f t="shared" si="13"/>
        <v>28.856164383561648</v>
      </c>
      <c r="S31" s="211">
        <f t="shared" si="14"/>
        <v>11.542465753424658</v>
      </c>
      <c r="T31" s="211">
        <f t="shared" si="15"/>
        <v>192.82731719178088</v>
      </c>
      <c r="U31" s="221">
        <f t="shared" si="16"/>
        <v>0.33411806681699507</v>
      </c>
      <c r="V31" s="221">
        <f t="shared" si="5"/>
        <v>1.3206896551724139</v>
      </c>
      <c r="W31" s="222">
        <f t="shared" si="17"/>
        <v>1.7619559296238245</v>
      </c>
    </row>
    <row r="32" spans="1:24" s="92" customFormat="1" x14ac:dyDescent="0.25">
      <c r="A32" s="147" t="str">
        <f>+'3 CATÁLOGO DE M. DE O.'!A17</f>
        <v>MO04001</v>
      </c>
      <c r="B32" s="148" t="str">
        <f>+'3 CATÁLOGO DE M. DE O.'!B17</f>
        <v>OFICIAL FIERRERO</v>
      </c>
      <c r="C32" s="149">
        <f>+'3 CATÁLOGO DE M. DE O.'!D17</f>
        <v>500</v>
      </c>
      <c r="D32" s="180">
        <f t="shared" si="0"/>
        <v>1.0493150684931507</v>
      </c>
      <c r="E32" s="181">
        <f t="shared" si="6"/>
        <v>524.65753424657532</v>
      </c>
      <c r="F32" s="149">
        <f t="shared" si="7"/>
        <v>185.23753424657531</v>
      </c>
      <c r="G32" s="149">
        <f t="shared" si="18"/>
        <v>2.7785630136986295</v>
      </c>
      <c r="H32" s="149">
        <f t="shared" si="1"/>
        <v>39.814948630136982</v>
      </c>
      <c r="I32" s="149">
        <f t="shared" si="2"/>
        <v>23.080559999999998</v>
      </c>
      <c r="J32" s="149">
        <f t="shared" si="3"/>
        <v>4.9842465753424658</v>
      </c>
      <c r="K32" s="149">
        <f t="shared" si="4"/>
        <v>7.4763698630136988</v>
      </c>
      <c r="L32" s="149">
        <f t="shared" si="8"/>
        <v>12.460616438356164</v>
      </c>
      <c r="M32" s="149">
        <f t="shared" si="9"/>
        <v>10.493150684931507</v>
      </c>
      <c r="N32" s="149">
        <f t="shared" si="19"/>
        <v>27.969493150684933</v>
      </c>
      <c r="O32" s="149">
        <f t="shared" si="10"/>
        <v>5.9023972602739718</v>
      </c>
      <c r="P32" s="149">
        <f t="shared" si="11"/>
        <v>33.871890410958905</v>
      </c>
      <c r="Q32" s="149">
        <f t="shared" si="12"/>
        <v>5.2465753424657535</v>
      </c>
      <c r="R32" s="149">
        <f t="shared" si="13"/>
        <v>26.232876712328768</v>
      </c>
      <c r="S32" s="149">
        <f t="shared" si="14"/>
        <v>10.493150684931507</v>
      </c>
      <c r="T32" s="149">
        <f t="shared" si="15"/>
        <v>176.93294835616436</v>
      </c>
      <c r="U32" s="221">
        <f t="shared" si="16"/>
        <v>0.3372351234986945</v>
      </c>
      <c r="V32" s="221">
        <f t="shared" si="5"/>
        <v>1.3206896551724139</v>
      </c>
      <c r="W32" s="222">
        <f t="shared" si="17"/>
        <v>1.7660725941379312</v>
      </c>
    </row>
    <row r="33" spans="1:23" s="92" customFormat="1" x14ac:dyDescent="0.25">
      <c r="A33" s="147" t="str">
        <f>+'3 CATÁLOGO DE M. DE O.'!A18</f>
        <v>MO04002</v>
      </c>
      <c r="B33" s="148" t="str">
        <f>+'3 CATÁLOGO DE M. DE O.'!B18</f>
        <v>OFICIAL CARPINTERO DE O. N.</v>
      </c>
      <c r="C33" s="149">
        <f>+'3 CATÁLOGO DE M. DE O.'!D18</f>
        <v>500</v>
      </c>
      <c r="D33" s="180">
        <f t="shared" si="0"/>
        <v>1.0493150684931507</v>
      </c>
      <c r="E33" s="181">
        <f t="shared" si="6"/>
        <v>524.65753424657532</v>
      </c>
      <c r="F33" s="149">
        <f t="shared" si="7"/>
        <v>185.23753424657531</v>
      </c>
      <c r="G33" s="149">
        <f t="shared" si="18"/>
        <v>2.7785630136986295</v>
      </c>
      <c r="H33" s="149">
        <f t="shared" si="1"/>
        <v>39.814948630136982</v>
      </c>
      <c r="I33" s="149">
        <f t="shared" si="2"/>
        <v>23.080559999999998</v>
      </c>
      <c r="J33" s="149">
        <f t="shared" si="3"/>
        <v>4.9842465753424658</v>
      </c>
      <c r="K33" s="149">
        <f t="shared" si="4"/>
        <v>7.4763698630136988</v>
      </c>
      <c r="L33" s="149">
        <f t="shared" si="8"/>
        <v>12.460616438356164</v>
      </c>
      <c r="M33" s="149">
        <f t="shared" si="9"/>
        <v>10.493150684931507</v>
      </c>
      <c r="N33" s="149">
        <f t="shared" si="19"/>
        <v>27.969493150684933</v>
      </c>
      <c r="O33" s="149">
        <f t="shared" si="10"/>
        <v>5.9023972602739718</v>
      </c>
      <c r="P33" s="149">
        <f t="shared" si="11"/>
        <v>33.871890410958905</v>
      </c>
      <c r="Q33" s="149">
        <f t="shared" si="12"/>
        <v>5.2465753424657535</v>
      </c>
      <c r="R33" s="149">
        <f t="shared" si="13"/>
        <v>26.232876712328768</v>
      </c>
      <c r="S33" s="149">
        <f t="shared" si="14"/>
        <v>10.493150684931507</v>
      </c>
      <c r="T33" s="149">
        <f t="shared" si="15"/>
        <v>176.93294835616436</v>
      </c>
      <c r="U33" s="221">
        <f t="shared" si="16"/>
        <v>0.3372351234986945</v>
      </c>
      <c r="V33" s="221">
        <f t="shared" si="5"/>
        <v>1.3206896551724139</v>
      </c>
      <c r="W33" s="222">
        <f t="shared" si="17"/>
        <v>1.7660725941379312</v>
      </c>
    </row>
    <row r="34" spans="1:23" s="92" customFormat="1" x14ac:dyDescent="0.25">
      <c r="A34" s="214" t="str">
        <f>+'3 CATÁLOGO DE M. DE O.'!A19</f>
        <v>MO08003</v>
      </c>
      <c r="B34" s="215" t="str">
        <f>+'3 CATÁLOGO DE M. DE O.'!B19</f>
        <v>OPERADOR DE MAQUINARIA MENOR</v>
      </c>
      <c r="C34" s="216">
        <f>+'3 CATÁLOGO DE M. DE O.'!D19</f>
        <v>450</v>
      </c>
      <c r="D34" s="217">
        <f t="shared" si="0"/>
        <v>1.0493150684931507</v>
      </c>
      <c r="E34" s="218">
        <f t="shared" ref="E34" si="20">+C34*D34</f>
        <v>472.1917808219178</v>
      </c>
      <c r="F34" s="216">
        <f t="shared" ref="F34" si="21">+E34-$C$7</f>
        <v>132.77178082191779</v>
      </c>
      <c r="G34" s="216">
        <f t="shared" ref="G34" si="22">+$G$25*F34</f>
        <v>1.9915767123287667</v>
      </c>
      <c r="H34" s="216">
        <f t="shared" si="1"/>
        <v>35.833453767123288</v>
      </c>
      <c r="I34" s="216">
        <f t="shared" si="2"/>
        <v>23.080559999999998</v>
      </c>
      <c r="J34" s="216">
        <f t="shared" si="3"/>
        <v>4.4858219178082193</v>
      </c>
      <c r="K34" s="216">
        <f t="shared" si="4"/>
        <v>6.7287328767123293</v>
      </c>
      <c r="L34" s="216">
        <f t="shared" ref="L34" si="23">+$L$25*E34</f>
        <v>11.214554794520549</v>
      </c>
      <c r="M34" s="216">
        <f t="shared" ref="M34" si="24">+$M$25*E34</f>
        <v>9.4438356164383563</v>
      </c>
      <c r="N34" s="216">
        <f t="shared" ref="N34" si="25">5.331%*E34</f>
        <v>25.172543835616441</v>
      </c>
      <c r="O34" s="216">
        <f t="shared" ref="O34" si="26">1.125%*E34</f>
        <v>5.312157534246575</v>
      </c>
      <c r="P34" s="216">
        <f t="shared" ref="P34" si="27">+N34+O34</f>
        <v>30.484701369863018</v>
      </c>
      <c r="Q34" s="216">
        <f t="shared" ref="Q34" si="28">+$Q$25*E34</f>
        <v>4.7219178082191782</v>
      </c>
      <c r="R34" s="216">
        <f t="shared" ref="R34" si="29">+$R$25*E34</f>
        <v>23.609589041095891</v>
      </c>
      <c r="S34" s="216">
        <f t="shared" ref="S34" si="30">+$S$25*E34</f>
        <v>9.4438356164383563</v>
      </c>
      <c r="T34" s="216">
        <f t="shared" ref="T34" si="31">SUM(G34:S34)-N34-O34</f>
        <v>161.03857952054796</v>
      </c>
      <c r="U34" s="221">
        <f t="shared" ref="U34" si="32">+T34/E34</f>
        <v>0.34104485944299395</v>
      </c>
      <c r="V34" s="221">
        <f t="shared" si="5"/>
        <v>1.3206896551724139</v>
      </c>
      <c r="W34" s="222">
        <f t="shared" ref="W34" si="33">+U34*V34+V34</f>
        <v>1.7711040729885059</v>
      </c>
    </row>
    <row r="35" spans="1:23" ht="15.75" thickBot="1" x14ac:dyDescent="0.3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136"/>
    </row>
    <row r="36" spans="1:23" ht="15.75" thickTop="1" x14ac:dyDescent="0.25"/>
  </sheetData>
  <mergeCells count="4">
    <mergeCell ref="A23:T23"/>
    <mergeCell ref="N24:P24"/>
    <mergeCell ref="I16:J17"/>
    <mergeCell ref="B25:F2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0"/>
  <sheetViews>
    <sheetView view="pageBreakPreview" topLeftCell="A126" zoomScaleNormal="100" zoomScaleSheetLayoutView="100" workbookViewId="0">
      <selection activeCell="B99" sqref="B99"/>
    </sheetView>
  </sheetViews>
  <sheetFormatPr baseColWidth="10" defaultRowHeight="15" x14ac:dyDescent="0.25"/>
  <cols>
    <col min="1" max="1" width="21.7109375" customWidth="1"/>
    <col min="2" max="2" width="24.7109375" customWidth="1"/>
    <col min="3" max="3" width="12.7109375" customWidth="1"/>
    <col min="4" max="4" width="10.140625" customWidth="1"/>
    <col min="5" max="5" width="19.7109375" customWidth="1"/>
    <col min="6" max="6" width="13" customWidth="1"/>
  </cols>
  <sheetData>
    <row r="1" spans="1:6" ht="15.75" thickTop="1" x14ac:dyDescent="0.25">
      <c r="A1" s="106" t="s">
        <v>341</v>
      </c>
      <c r="B1" s="107"/>
      <c r="C1" s="108"/>
      <c r="D1" s="109" t="s">
        <v>340</v>
      </c>
      <c r="E1" s="110"/>
      <c r="F1" s="111" t="s">
        <v>349</v>
      </c>
    </row>
    <row r="2" spans="1:6" ht="11.25" customHeight="1" thickBot="1" x14ac:dyDescent="0.3">
      <c r="A2" s="112"/>
      <c r="B2" s="113"/>
      <c r="C2" s="114"/>
      <c r="D2" s="115"/>
      <c r="E2" s="116"/>
      <c r="F2" s="117"/>
    </row>
    <row r="3" spans="1:6" x14ac:dyDescent="0.25">
      <c r="A3" s="118" t="s">
        <v>342</v>
      </c>
      <c r="B3" s="119"/>
      <c r="C3" s="114"/>
      <c r="D3" s="115"/>
      <c r="E3" s="116"/>
      <c r="F3" s="117"/>
    </row>
    <row r="4" spans="1:6" ht="9" customHeight="1" thickBot="1" x14ac:dyDescent="0.3">
      <c r="A4" s="112"/>
      <c r="B4" s="113"/>
      <c r="C4" s="114"/>
      <c r="D4" s="115"/>
      <c r="E4" s="116"/>
      <c r="F4" s="117"/>
    </row>
    <row r="5" spans="1:6" ht="15.75" thickBot="1" x14ac:dyDescent="0.3">
      <c r="A5" s="120" t="s">
        <v>343</v>
      </c>
      <c r="B5" s="121"/>
      <c r="C5" s="122" t="s">
        <v>345</v>
      </c>
      <c r="D5" s="123"/>
      <c r="E5" s="124" t="s">
        <v>346</v>
      </c>
      <c r="F5" s="125"/>
    </row>
    <row r="6" spans="1:6" ht="15.75" thickBot="1" x14ac:dyDescent="0.3">
      <c r="A6" s="126" t="s">
        <v>344</v>
      </c>
      <c r="B6" s="127"/>
      <c r="C6" s="122" t="s">
        <v>347</v>
      </c>
      <c r="D6" s="123"/>
      <c r="E6" s="128" t="s">
        <v>348</v>
      </c>
      <c r="F6" s="129"/>
    </row>
    <row r="7" spans="1:6" ht="6.75" customHeight="1" thickTop="1" x14ac:dyDescent="0.25">
      <c r="A7" s="114"/>
      <c r="B7" s="114"/>
      <c r="C7" s="114"/>
      <c r="D7" s="114"/>
      <c r="E7" s="114"/>
      <c r="F7" s="114"/>
    </row>
    <row r="8" spans="1:6" ht="15.75" x14ac:dyDescent="0.25">
      <c r="A8" s="114"/>
      <c r="B8" s="231" t="s">
        <v>361</v>
      </c>
      <c r="C8" s="114"/>
      <c r="D8" s="114"/>
      <c r="E8" s="114"/>
      <c r="F8" s="114"/>
    </row>
    <row r="9" spans="1:6" ht="6" customHeight="1" x14ac:dyDescent="0.25"/>
    <row r="10" spans="1:6" x14ac:dyDescent="0.25">
      <c r="A10" s="230" t="str">
        <f>+'4 CATÁLOGO DE EQ. Y HERR'!A14</f>
        <v>EQESTT01</v>
      </c>
      <c r="B10" s="230" t="str">
        <f>+'4 CATÁLOGO DE EQ. Y HERR'!B14</f>
        <v>ESTACIÓN TOTAL 1" Y EQUIPO DE TOPOGRAFÍA</v>
      </c>
      <c r="C10" s="230" t="str">
        <f>+'4 CATÁLOGO DE EQ. Y HERR'!C14</f>
        <v>HORA</v>
      </c>
      <c r="D10" s="21"/>
    </row>
    <row r="11" spans="1:6" ht="15.75" thickBot="1" x14ac:dyDescent="0.3">
      <c r="A11" t="s">
        <v>229</v>
      </c>
    </row>
    <row r="12" spans="1:6" ht="30" x14ac:dyDescent="0.25">
      <c r="A12" s="232" t="s">
        <v>230</v>
      </c>
      <c r="B12" s="233">
        <v>68700</v>
      </c>
      <c r="C12" s="234"/>
      <c r="D12" s="234"/>
      <c r="E12" s="291" t="s">
        <v>231</v>
      </c>
      <c r="F12" s="235">
        <v>4</v>
      </c>
    </row>
    <row r="13" spans="1:6" ht="30" x14ac:dyDescent="0.25">
      <c r="A13" s="236" t="s">
        <v>232</v>
      </c>
      <c r="B13" s="29"/>
      <c r="C13" s="29"/>
      <c r="D13" s="29"/>
      <c r="E13" s="292" t="s">
        <v>233</v>
      </c>
      <c r="F13" s="237">
        <v>1600</v>
      </c>
    </row>
    <row r="14" spans="1:6" ht="30.75" thickBot="1" x14ac:dyDescent="0.3">
      <c r="A14" s="238" t="s">
        <v>234</v>
      </c>
      <c r="B14" s="239"/>
      <c r="C14" s="239"/>
      <c r="D14" s="239"/>
      <c r="E14" s="293" t="s">
        <v>235</v>
      </c>
      <c r="F14" s="240">
        <f>+F13*F12</f>
        <v>6400</v>
      </c>
    </row>
    <row r="15" spans="1:6" ht="5.25" customHeight="1" thickBot="1" x14ac:dyDescent="0.3">
      <c r="A15" s="241"/>
      <c r="B15" s="47"/>
      <c r="C15" s="47"/>
      <c r="D15" s="47"/>
      <c r="E15" s="294"/>
      <c r="F15" s="47"/>
    </row>
    <row r="16" spans="1:6" ht="30" x14ac:dyDescent="0.25">
      <c r="A16" s="257" t="s">
        <v>236</v>
      </c>
      <c r="B16" s="245">
        <f>+B12-B13</f>
        <v>68700</v>
      </c>
      <c r="C16" s="234"/>
      <c r="D16" s="234"/>
      <c r="E16" s="295" t="s">
        <v>237</v>
      </c>
      <c r="F16" s="235">
        <v>0</v>
      </c>
    </row>
    <row r="17" spans="1:10" ht="18.75" customHeight="1" x14ac:dyDescent="0.25">
      <c r="A17" s="258" t="s">
        <v>238</v>
      </c>
      <c r="B17" s="242">
        <v>0.1</v>
      </c>
      <c r="C17" s="142">
        <f>+B17*B16</f>
        <v>6870</v>
      </c>
      <c r="D17" s="29"/>
      <c r="E17" s="296" t="s">
        <v>239</v>
      </c>
      <c r="F17" s="246">
        <v>21</v>
      </c>
    </row>
    <row r="18" spans="1:10" ht="30" x14ac:dyDescent="0.25">
      <c r="A18" s="258" t="s">
        <v>240</v>
      </c>
      <c r="B18" s="243">
        <v>0.10349999999999999</v>
      </c>
      <c r="C18" s="29"/>
      <c r="D18" s="29"/>
      <c r="E18" s="296" t="s">
        <v>241</v>
      </c>
      <c r="F18" s="246">
        <v>85</v>
      </c>
    </row>
    <row r="19" spans="1:10" ht="30" x14ac:dyDescent="0.25">
      <c r="A19" s="258" t="s">
        <v>242</v>
      </c>
      <c r="B19" s="242">
        <v>0.06</v>
      </c>
      <c r="C19" s="29"/>
      <c r="D19" s="29"/>
      <c r="E19" s="296" t="s">
        <v>243</v>
      </c>
      <c r="F19" s="237">
        <v>0.8</v>
      </c>
    </row>
    <row r="20" spans="1:10" ht="30" x14ac:dyDescent="0.25">
      <c r="A20" s="258" t="s">
        <v>244</v>
      </c>
      <c r="B20" s="142">
        <f>+'5 CATÁLOGO DE BÁSICOS'!D16</f>
        <v>2299.9932239655172</v>
      </c>
      <c r="C20" s="29"/>
      <c r="D20" s="29"/>
      <c r="E20" s="296" t="s">
        <v>245</v>
      </c>
      <c r="F20" s="237"/>
    </row>
    <row r="21" spans="1:10" ht="30" x14ac:dyDescent="0.25">
      <c r="A21" s="258" t="s">
        <v>246</v>
      </c>
      <c r="B21" s="244">
        <v>8</v>
      </c>
      <c r="C21" s="29"/>
      <c r="D21" s="29"/>
      <c r="E21" s="296" t="s">
        <v>247</v>
      </c>
      <c r="F21" s="237">
        <v>0.7</v>
      </c>
    </row>
    <row r="22" spans="1:10" ht="32.25" customHeight="1" x14ac:dyDescent="0.25">
      <c r="A22" s="258" t="s">
        <v>248</v>
      </c>
      <c r="B22" s="244"/>
      <c r="C22" s="29"/>
      <c r="D22" s="29"/>
      <c r="E22" s="296" t="s">
        <v>249</v>
      </c>
      <c r="F22" s="237">
        <v>0.15140000000000001</v>
      </c>
      <c r="H22" t="s">
        <v>250</v>
      </c>
      <c r="I22">
        <f>4000/19.5</f>
        <v>205.12820512820514</v>
      </c>
      <c r="J22">
        <f>+I22/100</f>
        <v>2.0512820512820515</v>
      </c>
    </row>
    <row r="23" spans="1:10" ht="30" x14ac:dyDescent="0.25">
      <c r="A23" s="258"/>
      <c r="B23" s="29"/>
      <c r="C23" s="29"/>
      <c r="D23" s="29"/>
      <c r="E23" s="296" t="s">
        <v>251</v>
      </c>
      <c r="F23" s="237">
        <v>3.0000000000000001E-3</v>
      </c>
      <c r="J23" t="s">
        <v>252</v>
      </c>
    </row>
    <row r="24" spans="1:10" ht="30.75" thickBot="1" x14ac:dyDescent="0.3">
      <c r="A24" s="259"/>
      <c r="B24" s="239"/>
      <c r="C24" s="239"/>
      <c r="D24" s="239"/>
      <c r="E24" s="297" t="s">
        <v>253</v>
      </c>
      <c r="F24" s="240">
        <v>19</v>
      </c>
    </row>
    <row r="25" spans="1:10" ht="15.75" thickBot="1" x14ac:dyDescent="0.3">
      <c r="A25" s="241"/>
      <c r="B25" s="339" t="s">
        <v>362</v>
      </c>
      <c r="C25" s="47"/>
      <c r="D25" s="47"/>
      <c r="E25" s="47"/>
      <c r="F25" s="47"/>
    </row>
    <row r="26" spans="1:10" x14ac:dyDescent="0.25">
      <c r="A26" s="232"/>
      <c r="B26" s="248" t="s">
        <v>254</v>
      </c>
      <c r="C26" s="248" t="s">
        <v>255</v>
      </c>
      <c r="D26" s="282"/>
      <c r="E26" s="234"/>
      <c r="F26" s="235"/>
    </row>
    <row r="27" spans="1:10" x14ac:dyDescent="0.25">
      <c r="A27" s="236" t="s">
        <v>256</v>
      </c>
      <c r="B27" s="29" t="s">
        <v>257</v>
      </c>
      <c r="C27" s="30">
        <f>+(B16-C17)/F14</f>
        <v>9.6609374999999993</v>
      </c>
      <c r="D27" s="283"/>
      <c r="E27" s="29"/>
      <c r="F27" s="237"/>
    </row>
    <row r="28" spans="1:10" x14ac:dyDescent="0.25">
      <c r="A28" s="236" t="s">
        <v>258</v>
      </c>
      <c r="B28" s="29" t="s">
        <v>259</v>
      </c>
      <c r="C28" s="30">
        <f>+((B16+C17)/(2*F13))*B18</f>
        <v>2.4442171875000001</v>
      </c>
      <c r="D28" s="283"/>
      <c r="E28" s="29"/>
      <c r="F28" s="237"/>
    </row>
    <row r="29" spans="1:10" x14ac:dyDescent="0.25">
      <c r="A29" s="236" t="s">
        <v>260</v>
      </c>
      <c r="B29" s="29" t="s">
        <v>261</v>
      </c>
      <c r="C29" s="249">
        <f>+((B16+C17)/(2*F13))*6%</f>
        <v>1.4169375</v>
      </c>
      <c r="D29" s="283"/>
      <c r="E29" s="29"/>
      <c r="F29" s="237"/>
    </row>
    <row r="30" spans="1:10" x14ac:dyDescent="0.25">
      <c r="A30" s="236" t="s">
        <v>262</v>
      </c>
      <c r="B30" s="29" t="s">
        <v>263</v>
      </c>
      <c r="C30" s="249">
        <f>+F21*C27</f>
        <v>6.7626562499999991</v>
      </c>
      <c r="D30" s="285"/>
      <c r="E30" s="29"/>
      <c r="F30" s="237"/>
    </row>
    <row r="31" spans="1:10" ht="15.75" thickBot="1" x14ac:dyDescent="0.3">
      <c r="A31" s="251"/>
      <c r="B31" s="252" t="s">
        <v>264</v>
      </c>
      <c r="C31" s="253">
        <f>+SUM(C26:C30)</f>
        <v>20.284748437499999</v>
      </c>
      <c r="D31" s="286"/>
      <c r="E31" s="239"/>
      <c r="F31" s="240"/>
    </row>
    <row r="32" spans="1:10" ht="7.5" customHeight="1" thickBot="1" x14ac:dyDescent="0.3"/>
    <row r="33" spans="1:6" x14ac:dyDescent="0.25">
      <c r="A33" s="254"/>
      <c r="B33" s="342" t="s">
        <v>265</v>
      </c>
      <c r="C33" s="234"/>
      <c r="D33" s="282"/>
      <c r="E33" s="234"/>
      <c r="F33" s="235"/>
    </row>
    <row r="34" spans="1:6" x14ac:dyDescent="0.25">
      <c r="A34" s="250" t="s">
        <v>266</v>
      </c>
      <c r="B34" s="29" t="s">
        <v>267</v>
      </c>
      <c r="C34" s="142">
        <f>+F22*F20*F17</f>
        <v>0</v>
      </c>
      <c r="D34" s="285"/>
      <c r="E34" s="29"/>
      <c r="F34" s="237"/>
    </row>
    <row r="35" spans="1:6" x14ac:dyDescent="0.25">
      <c r="A35" s="250" t="s">
        <v>268</v>
      </c>
      <c r="B35" s="29" t="s">
        <v>269</v>
      </c>
      <c r="C35" s="30"/>
      <c r="D35" s="285"/>
      <c r="E35" s="29"/>
      <c r="F35" s="237"/>
    </row>
    <row r="36" spans="1:6" x14ac:dyDescent="0.25">
      <c r="A36" s="250" t="s">
        <v>270</v>
      </c>
      <c r="B36" s="29" t="s">
        <v>271</v>
      </c>
      <c r="C36" s="29"/>
      <c r="D36" s="284"/>
      <c r="E36" s="29"/>
      <c r="F36" s="237"/>
    </row>
    <row r="37" spans="1:6" ht="15.75" thickBot="1" x14ac:dyDescent="0.3">
      <c r="A37" s="251"/>
      <c r="B37" s="252" t="s">
        <v>272</v>
      </c>
      <c r="C37" s="253"/>
      <c r="D37" s="286"/>
      <c r="E37" s="239"/>
      <c r="F37" s="240"/>
    </row>
    <row r="38" spans="1:6" ht="15.75" thickBot="1" x14ac:dyDescent="0.3">
      <c r="B38" s="343" t="s">
        <v>273</v>
      </c>
    </row>
    <row r="39" spans="1:6" x14ac:dyDescent="0.25">
      <c r="A39" s="254" t="s">
        <v>274</v>
      </c>
      <c r="B39" s="234" t="s">
        <v>275</v>
      </c>
      <c r="C39" s="255">
        <f>+B20/B21</f>
        <v>287.49915299568966</v>
      </c>
      <c r="D39" s="287"/>
      <c r="E39" s="234"/>
      <c r="F39" s="235"/>
    </row>
    <row r="40" spans="1:6" ht="15.75" thickBot="1" x14ac:dyDescent="0.3">
      <c r="A40" s="251"/>
      <c r="B40" s="252" t="s">
        <v>276</v>
      </c>
      <c r="C40" s="253">
        <f>+C39</f>
        <v>287.49915299568966</v>
      </c>
      <c r="D40" s="286"/>
      <c r="E40" s="239"/>
      <c r="F40" s="240"/>
    </row>
    <row r="41" spans="1:6" ht="15.75" thickBot="1" x14ac:dyDescent="0.3">
      <c r="B41" s="60" t="s">
        <v>277</v>
      </c>
      <c r="C41" s="256">
        <f>+C40+C37+C31</f>
        <v>307.78390143318967</v>
      </c>
      <c r="D41" s="288">
        <f>+D40+D37+D31</f>
        <v>0</v>
      </c>
    </row>
    <row r="42" spans="1:6" ht="15.75" thickTop="1" x14ac:dyDescent="0.25">
      <c r="A42" s="106" t="s">
        <v>341</v>
      </c>
      <c r="B42" s="107"/>
      <c r="C42" s="108"/>
      <c r="D42" s="109" t="s">
        <v>340</v>
      </c>
      <c r="E42" s="110"/>
      <c r="F42" s="111" t="s">
        <v>349</v>
      </c>
    </row>
    <row r="43" spans="1:6" ht="4.5" customHeight="1" thickBot="1" x14ac:dyDescent="0.3">
      <c r="A43" s="112"/>
      <c r="B43" s="113"/>
      <c r="C43" s="114"/>
      <c r="D43" s="115"/>
      <c r="E43" s="116"/>
      <c r="F43" s="117"/>
    </row>
    <row r="44" spans="1:6" x14ac:dyDescent="0.25">
      <c r="A44" s="118" t="s">
        <v>342</v>
      </c>
      <c r="B44" s="119"/>
      <c r="C44" s="114"/>
      <c r="D44" s="115"/>
      <c r="E44" s="116"/>
      <c r="F44" s="117"/>
    </row>
    <row r="45" spans="1:6" ht="6.75" customHeight="1" thickBot="1" x14ac:dyDescent="0.3">
      <c r="A45" s="112"/>
      <c r="B45" s="113"/>
      <c r="C45" s="114"/>
      <c r="D45" s="115"/>
      <c r="E45" s="116"/>
      <c r="F45" s="117"/>
    </row>
    <row r="46" spans="1:6" ht="15.75" thickBot="1" x14ac:dyDescent="0.3">
      <c r="A46" s="120" t="s">
        <v>343</v>
      </c>
      <c r="B46" s="121"/>
      <c r="C46" s="122" t="s">
        <v>345</v>
      </c>
      <c r="D46" s="123"/>
      <c r="E46" s="124" t="s">
        <v>346</v>
      </c>
      <c r="F46" s="125"/>
    </row>
    <row r="47" spans="1:6" ht="15.75" thickBot="1" x14ac:dyDescent="0.3">
      <c r="A47" s="126" t="s">
        <v>344</v>
      </c>
      <c r="B47" s="127"/>
      <c r="C47" s="122" t="s">
        <v>347</v>
      </c>
      <c r="D47" s="123"/>
      <c r="E47" s="128" t="s">
        <v>348</v>
      </c>
      <c r="F47" s="129"/>
    </row>
    <row r="48" spans="1:6" ht="15.75" thickTop="1" x14ac:dyDescent="0.25">
      <c r="A48" s="114"/>
      <c r="B48" s="114"/>
      <c r="C48" s="114"/>
      <c r="D48" s="114"/>
      <c r="E48" s="114"/>
      <c r="F48" s="114"/>
    </row>
    <row r="49" spans="1:10" ht="15.75" x14ac:dyDescent="0.25">
      <c r="A49" s="114"/>
      <c r="B49" s="231" t="s">
        <v>361</v>
      </c>
      <c r="C49" s="114"/>
      <c r="D49" s="114"/>
      <c r="E49" s="114"/>
      <c r="F49" s="114"/>
    </row>
    <row r="50" spans="1:10" ht="15.75" thickBot="1" x14ac:dyDescent="0.3">
      <c r="D50" s="21"/>
    </row>
    <row r="51" spans="1:10" ht="30.75" thickBot="1" x14ac:dyDescent="0.3">
      <c r="A51" s="262" t="str">
        <f>+'4 CATÁLOGO DE EQ. Y HERR'!A15</f>
        <v>EQRET001</v>
      </c>
      <c r="B51" s="263" t="str">
        <f>+'4 CATÁLOGO DE EQ. Y HERR'!B15</f>
        <v>RETROEXCAVADORA CAT- 426 C DE 85 HP</v>
      </c>
      <c r="C51" s="264" t="str">
        <f>+'4 CATÁLOGO DE EQ. Y HERR'!C15</f>
        <v>HORA</v>
      </c>
    </row>
    <row r="52" spans="1:10" x14ac:dyDescent="0.25">
      <c r="A52" s="265" t="s">
        <v>229</v>
      </c>
      <c r="B52" s="234"/>
      <c r="C52" s="234"/>
      <c r="D52" s="234"/>
      <c r="E52" s="248"/>
      <c r="F52" s="235"/>
    </row>
    <row r="53" spans="1:10" ht="30" x14ac:dyDescent="0.25">
      <c r="A53" s="258" t="s">
        <v>230</v>
      </c>
      <c r="B53" s="30">
        <v>1910000</v>
      </c>
      <c r="C53" s="29"/>
      <c r="D53" s="29"/>
      <c r="E53" s="296" t="s">
        <v>231</v>
      </c>
      <c r="F53" s="237">
        <v>6</v>
      </c>
    </row>
    <row r="54" spans="1:10" ht="30" x14ac:dyDescent="0.25">
      <c r="A54" s="258" t="s">
        <v>232</v>
      </c>
      <c r="B54" s="30">
        <v>82500</v>
      </c>
      <c r="C54" s="29"/>
      <c r="D54" s="29"/>
      <c r="E54" s="296" t="s">
        <v>233</v>
      </c>
      <c r="F54" s="237">
        <v>2000</v>
      </c>
    </row>
    <row r="55" spans="1:10" ht="30" x14ac:dyDescent="0.25">
      <c r="A55" s="258" t="s">
        <v>234</v>
      </c>
      <c r="B55" s="29">
        <v>3000</v>
      </c>
      <c r="C55" s="29"/>
      <c r="D55" s="29"/>
      <c r="E55" s="296" t="s">
        <v>235</v>
      </c>
      <c r="F55" s="237">
        <f>+F54*F53</f>
        <v>12000</v>
      </c>
    </row>
    <row r="56" spans="1:10" ht="30" x14ac:dyDescent="0.25">
      <c r="A56" s="258" t="s">
        <v>236</v>
      </c>
      <c r="B56" s="30">
        <f>+B53-B54</f>
        <v>1827500</v>
      </c>
      <c r="C56" s="29"/>
      <c r="D56" s="29"/>
      <c r="E56" s="296" t="s">
        <v>237</v>
      </c>
      <c r="F56" s="237">
        <v>85</v>
      </c>
    </row>
    <row r="57" spans="1:10" ht="30" x14ac:dyDescent="0.25">
      <c r="A57" s="258" t="s">
        <v>238</v>
      </c>
      <c r="B57" s="242">
        <v>0.12</v>
      </c>
      <c r="C57" s="142">
        <f>+B57*B56</f>
        <v>219300</v>
      </c>
      <c r="D57" s="29"/>
      <c r="E57" s="296" t="s">
        <v>239</v>
      </c>
      <c r="F57" s="246">
        <v>21.98</v>
      </c>
    </row>
    <row r="58" spans="1:10" ht="30" x14ac:dyDescent="0.25">
      <c r="A58" s="258" t="s">
        <v>240</v>
      </c>
      <c r="B58" s="243">
        <v>0.10349999999999999</v>
      </c>
      <c r="C58" s="29"/>
      <c r="D58" s="29"/>
      <c r="E58" s="296" t="s">
        <v>241</v>
      </c>
      <c r="F58" s="246">
        <v>106</v>
      </c>
    </row>
    <row r="59" spans="1:10" ht="30" x14ac:dyDescent="0.25">
      <c r="A59" s="258" t="s">
        <v>242</v>
      </c>
      <c r="B59" s="242">
        <v>0.06</v>
      </c>
      <c r="C59" s="29"/>
      <c r="D59" s="29"/>
      <c r="E59" s="296" t="s">
        <v>243</v>
      </c>
      <c r="F59" s="237">
        <v>0.8</v>
      </c>
    </row>
    <row r="60" spans="1:10" ht="30" x14ac:dyDescent="0.25">
      <c r="A60" s="258" t="s">
        <v>244</v>
      </c>
      <c r="B60" s="142">
        <f>+'3 CATÁLOGO DE M. DE O.'!F16</f>
        <v>969.07576129310348</v>
      </c>
      <c r="C60" s="29"/>
      <c r="D60" s="29"/>
      <c r="E60" s="296" t="s">
        <v>245</v>
      </c>
      <c r="F60" s="237">
        <f>+F56*F59</f>
        <v>68</v>
      </c>
    </row>
    <row r="61" spans="1:10" ht="30" x14ac:dyDescent="0.25">
      <c r="A61" s="258" t="s">
        <v>246</v>
      </c>
      <c r="B61" s="244">
        <v>8</v>
      </c>
      <c r="C61" s="29"/>
      <c r="D61" s="29"/>
      <c r="E61" s="296" t="s">
        <v>247</v>
      </c>
      <c r="F61" s="237">
        <v>0.8</v>
      </c>
    </row>
    <row r="62" spans="1:10" ht="33.75" customHeight="1" x14ac:dyDescent="0.25">
      <c r="A62" s="267" t="s">
        <v>248</v>
      </c>
      <c r="B62" s="268">
        <v>400</v>
      </c>
      <c r="C62" s="269"/>
      <c r="D62" s="269"/>
      <c r="E62" s="292" t="s">
        <v>249</v>
      </c>
      <c r="F62" s="270">
        <v>0.15140000000000001</v>
      </c>
      <c r="H62" t="s">
        <v>250</v>
      </c>
      <c r="I62">
        <f>4000/19.5</f>
        <v>205.12820512820514</v>
      </c>
      <c r="J62">
        <f>+I62/100</f>
        <v>2.0512820512820515</v>
      </c>
    </row>
    <row r="63" spans="1:10" ht="30" x14ac:dyDescent="0.25">
      <c r="A63" s="271"/>
      <c r="B63" s="29"/>
      <c r="C63" s="29"/>
      <c r="D63" s="29"/>
      <c r="E63" s="292" t="s">
        <v>251</v>
      </c>
      <c r="F63" s="272">
        <v>3.0000000000000001E-3</v>
      </c>
      <c r="J63" t="s">
        <v>252</v>
      </c>
    </row>
    <row r="64" spans="1:10" ht="30.75" thickBot="1" x14ac:dyDescent="0.3">
      <c r="A64" s="275"/>
      <c r="B64" s="266"/>
      <c r="C64" s="266"/>
      <c r="D64" s="273"/>
      <c r="E64" s="298" t="s">
        <v>253</v>
      </c>
      <c r="F64" s="274">
        <v>19</v>
      </c>
    </row>
    <row r="65" spans="1:6" ht="16.5" thickTop="1" thickBot="1" x14ac:dyDescent="0.3">
      <c r="A65" s="247"/>
      <c r="B65" s="44" t="s">
        <v>362</v>
      </c>
      <c r="C65" s="45"/>
      <c r="D65" s="47"/>
      <c r="E65" s="47"/>
      <c r="F65" s="47"/>
    </row>
    <row r="66" spans="1:6" x14ac:dyDescent="0.25">
      <c r="A66" s="232"/>
      <c r="B66" s="248" t="s">
        <v>254</v>
      </c>
      <c r="C66" s="248" t="s">
        <v>255</v>
      </c>
      <c r="D66" s="282"/>
      <c r="E66" s="234"/>
      <c r="F66" s="235"/>
    </row>
    <row r="67" spans="1:6" x14ac:dyDescent="0.25">
      <c r="A67" s="236" t="s">
        <v>256</v>
      </c>
      <c r="B67" s="29" t="s">
        <v>257</v>
      </c>
      <c r="C67" s="30">
        <f>+(B56-C57)/F55</f>
        <v>134.01666666666668</v>
      </c>
      <c r="D67" s="283">
        <f>+(B56-C57)/F55</f>
        <v>134.01666666666668</v>
      </c>
      <c r="E67" s="29"/>
      <c r="F67" s="237"/>
    </row>
    <row r="68" spans="1:6" x14ac:dyDescent="0.25">
      <c r="A68" s="236"/>
      <c r="B68" s="29"/>
      <c r="C68" s="29"/>
      <c r="D68" s="284"/>
      <c r="E68" s="29"/>
      <c r="F68" s="237"/>
    </row>
    <row r="69" spans="1:6" x14ac:dyDescent="0.25">
      <c r="A69" s="236" t="s">
        <v>258</v>
      </c>
      <c r="B69" s="29" t="s">
        <v>259</v>
      </c>
      <c r="C69" s="30">
        <f>+((B56+C57)/(2*F54))*B58</f>
        <v>52.960949999999997</v>
      </c>
      <c r="D69" s="283">
        <f>+((B56+C57)/(2*F54)*B58)</f>
        <v>52.960949999999997</v>
      </c>
      <c r="E69" s="29"/>
      <c r="F69" s="237"/>
    </row>
    <row r="70" spans="1:6" x14ac:dyDescent="0.25">
      <c r="A70" s="236"/>
      <c r="B70" s="29"/>
      <c r="C70" s="29"/>
      <c r="D70" s="284"/>
      <c r="E70" s="29"/>
      <c r="F70" s="237"/>
    </row>
    <row r="71" spans="1:6" x14ac:dyDescent="0.25">
      <c r="A71" s="236" t="s">
        <v>260</v>
      </c>
      <c r="B71" s="29" t="s">
        <v>261</v>
      </c>
      <c r="C71" s="249">
        <f>+((B56+C57)/(2*F54))*6%</f>
        <v>30.701999999999998</v>
      </c>
      <c r="D71" s="283">
        <f>+((B56+C57)/(2*F54)*B59)</f>
        <v>30.701999999999998</v>
      </c>
      <c r="E71" s="29"/>
      <c r="F71" s="237"/>
    </row>
    <row r="72" spans="1:6" x14ac:dyDescent="0.25">
      <c r="A72" s="236"/>
      <c r="B72" s="29"/>
      <c r="C72" s="29"/>
      <c r="D72" s="284"/>
      <c r="E72" s="29"/>
      <c r="F72" s="237"/>
    </row>
    <row r="73" spans="1:6" x14ac:dyDescent="0.25">
      <c r="A73" s="236" t="s">
        <v>262</v>
      </c>
      <c r="B73" s="29" t="s">
        <v>263</v>
      </c>
      <c r="C73" s="249">
        <f>+F61*C67</f>
        <v>107.21333333333335</v>
      </c>
      <c r="D73" s="285">
        <f>+F61*D67</f>
        <v>107.21333333333335</v>
      </c>
      <c r="E73" s="29"/>
      <c r="F73" s="237"/>
    </row>
    <row r="74" spans="1:6" x14ac:dyDescent="0.25">
      <c r="A74" s="250"/>
      <c r="B74" s="29"/>
      <c r="C74" s="29"/>
      <c r="D74" s="284"/>
      <c r="E74" s="29"/>
      <c r="F74" s="237"/>
    </row>
    <row r="75" spans="1:6" ht="15.75" thickBot="1" x14ac:dyDescent="0.3">
      <c r="A75" s="251"/>
      <c r="B75" s="252" t="s">
        <v>264</v>
      </c>
      <c r="C75" s="253">
        <f>+SUM(C66:C73)</f>
        <v>324.89295000000004</v>
      </c>
      <c r="D75" s="286">
        <f>SUM(D67:D73)</f>
        <v>324.89295000000004</v>
      </c>
      <c r="E75" s="239"/>
      <c r="F75" s="240"/>
    </row>
    <row r="76" spans="1:6" ht="15.75" thickBot="1" x14ac:dyDescent="0.3"/>
    <row r="77" spans="1:6" x14ac:dyDescent="0.25">
      <c r="A77" s="254"/>
      <c r="B77" s="248" t="s">
        <v>363</v>
      </c>
      <c r="C77" s="234"/>
      <c r="D77" s="282"/>
      <c r="E77" s="234"/>
      <c r="F77" s="235"/>
    </row>
    <row r="78" spans="1:6" x14ac:dyDescent="0.25">
      <c r="A78" s="250" t="s">
        <v>266</v>
      </c>
      <c r="B78" s="29" t="s">
        <v>267</v>
      </c>
      <c r="C78" s="142">
        <f>+F62*F60*F57</f>
        <v>226.28849600000004</v>
      </c>
      <c r="D78" s="285">
        <f>+F62*F60*F57</f>
        <v>226.28849600000004</v>
      </c>
      <c r="E78" s="29"/>
      <c r="F78" s="237"/>
    </row>
    <row r="79" spans="1:6" x14ac:dyDescent="0.25">
      <c r="A79" s="250"/>
      <c r="B79" s="29"/>
      <c r="C79" s="29"/>
      <c r="D79" s="284"/>
      <c r="E79" s="29"/>
      <c r="F79" s="237"/>
    </row>
    <row r="80" spans="1:6" x14ac:dyDescent="0.25">
      <c r="A80" s="250" t="s">
        <v>268</v>
      </c>
      <c r="B80" s="29" t="s">
        <v>269</v>
      </c>
      <c r="C80" s="30">
        <f>+((F63*F60)+F64/B62)*F58</f>
        <v>26.658999999999999</v>
      </c>
      <c r="D80" s="285">
        <f>+((F63*F60)+(F64/B62))*F58</f>
        <v>26.658999999999999</v>
      </c>
      <c r="E80" s="29"/>
      <c r="F80" s="237"/>
    </row>
    <row r="81" spans="1:6" x14ac:dyDescent="0.25">
      <c r="A81" s="250"/>
      <c r="B81" s="29"/>
      <c r="C81" s="29"/>
      <c r="D81" s="284"/>
      <c r="E81" s="29"/>
      <c r="F81" s="237"/>
    </row>
    <row r="82" spans="1:6" x14ac:dyDescent="0.25">
      <c r="A82" s="250" t="s">
        <v>270</v>
      </c>
      <c r="B82" s="29" t="s">
        <v>271</v>
      </c>
      <c r="C82" s="29">
        <f>+B54/B55</f>
        <v>27.5</v>
      </c>
      <c r="D82" s="284">
        <f>+B54/B55</f>
        <v>27.5</v>
      </c>
      <c r="E82" s="29"/>
      <c r="F82" s="237"/>
    </row>
    <row r="83" spans="1:6" x14ac:dyDescent="0.25">
      <c r="A83" s="250"/>
      <c r="B83" s="29"/>
      <c r="C83" s="29"/>
      <c r="D83" s="284"/>
      <c r="E83" s="29"/>
      <c r="F83" s="237"/>
    </row>
    <row r="84" spans="1:6" ht="15.75" thickBot="1" x14ac:dyDescent="0.3">
      <c r="A84" s="251"/>
      <c r="B84" s="252" t="s">
        <v>272</v>
      </c>
      <c r="C84" s="253">
        <f>SUM(C78:C83)</f>
        <v>280.447496</v>
      </c>
      <c r="D84" s="286">
        <f>SUM(D78:D82)</f>
        <v>280.447496</v>
      </c>
      <c r="E84" s="239"/>
      <c r="F84" s="240"/>
    </row>
    <row r="85" spans="1:6" ht="15.75" thickBot="1" x14ac:dyDescent="0.3">
      <c r="D85" s="289"/>
    </row>
    <row r="86" spans="1:6" x14ac:dyDescent="0.25">
      <c r="A86" s="254"/>
      <c r="B86" s="248" t="s">
        <v>364</v>
      </c>
      <c r="C86" s="234"/>
      <c r="D86" s="282"/>
      <c r="E86" s="234"/>
      <c r="F86" s="235"/>
    </row>
    <row r="87" spans="1:6" x14ac:dyDescent="0.25">
      <c r="A87" s="250" t="s">
        <v>274</v>
      </c>
      <c r="B87" s="29" t="s">
        <v>275</v>
      </c>
      <c r="C87" s="249">
        <f>+B60/B61</f>
        <v>121.13447016163794</v>
      </c>
      <c r="D87" s="285">
        <f>+B60/B61</f>
        <v>121.13447016163794</v>
      </c>
      <c r="E87" s="29"/>
      <c r="F87" s="237"/>
    </row>
    <row r="88" spans="1:6" ht="15.75" thickBot="1" x14ac:dyDescent="0.3">
      <c r="A88" s="251"/>
      <c r="B88" s="252" t="s">
        <v>276</v>
      </c>
      <c r="C88" s="253">
        <f>+C87</f>
        <v>121.13447016163794</v>
      </c>
      <c r="D88" s="286">
        <f>+D87</f>
        <v>121.13447016163794</v>
      </c>
      <c r="E88" s="239"/>
      <c r="F88" s="240"/>
    </row>
    <row r="89" spans="1:6" ht="15.75" thickBot="1" x14ac:dyDescent="0.3"/>
    <row r="90" spans="1:6" ht="15.75" thickBot="1" x14ac:dyDescent="0.3">
      <c r="B90" s="60" t="s">
        <v>277</v>
      </c>
      <c r="C90" s="256">
        <f>+C88+C84+C75</f>
        <v>726.47491616163802</v>
      </c>
      <c r="D90" s="288">
        <f>+D88+D84+D75</f>
        <v>726.47491616163802</v>
      </c>
    </row>
    <row r="91" spans="1:6" ht="15.75" thickTop="1" x14ac:dyDescent="0.25">
      <c r="A91" s="106" t="s">
        <v>341</v>
      </c>
      <c r="B91" s="107"/>
      <c r="C91" s="108"/>
      <c r="D91" s="109" t="s">
        <v>340</v>
      </c>
      <c r="E91" s="110"/>
      <c r="F91" s="111" t="s">
        <v>349</v>
      </c>
    </row>
    <row r="92" spans="1:6" ht="15.75" thickBot="1" x14ac:dyDescent="0.3">
      <c r="A92" s="112"/>
      <c r="B92" s="113"/>
      <c r="C92" s="114"/>
      <c r="D92" s="115"/>
      <c r="E92" s="116"/>
      <c r="F92" s="117"/>
    </row>
    <row r="93" spans="1:6" x14ac:dyDescent="0.25">
      <c r="A93" s="118" t="s">
        <v>342</v>
      </c>
      <c r="B93" s="119"/>
      <c r="C93" s="114"/>
      <c r="D93" s="115"/>
      <c r="E93" s="116"/>
      <c r="F93" s="117"/>
    </row>
    <row r="94" spans="1:6" ht="15.75" thickBot="1" x14ac:dyDescent="0.3">
      <c r="A94" s="112"/>
      <c r="B94" s="113"/>
      <c r="C94" s="114"/>
      <c r="D94" s="115"/>
      <c r="E94" s="116"/>
      <c r="F94" s="117"/>
    </row>
    <row r="95" spans="1:6" ht="15.75" thickBot="1" x14ac:dyDescent="0.3">
      <c r="A95" s="120" t="s">
        <v>343</v>
      </c>
      <c r="B95" s="121"/>
      <c r="C95" s="122" t="s">
        <v>345</v>
      </c>
      <c r="D95" s="123"/>
      <c r="E95" s="124" t="s">
        <v>346</v>
      </c>
      <c r="F95" s="125"/>
    </row>
    <row r="96" spans="1:6" ht="15.75" thickBot="1" x14ac:dyDescent="0.3">
      <c r="A96" s="126" t="s">
        <v>344</v>
      </c>
      <c r="B96" s="127"/>
      <c r="C96" s="122" t="s">
        <v>347</v>
      </c>
      <c r="D96" s="123"/>
      <c r="E96" s="128" t="s">
        <v>348</v>
      </c>
      <c r="F96" s="129"/>
    </row>
    <row r="97" spans="1:10" s="164" customFormat="1" ht="15.75" thickTop="1" x14ac:dyDescent="0.25">
      <c r="B97" s="165"/>
      <c r="C97" s="260"/>
      <c r="D97" s="261"/>
    </row>
    <row r="98" spans="1:10" ht="16.5" thickBot="1" x14ac:dyDescent="0.3">
      <c r="A98" s="164"/>
      <c r="B98" s="276" t="s">
        <v>361</v>
      </c>
      <c r="C98" s="260"/>
      <c r="D98" s="261"/>
      <c r="E98" s="164"/>
      <c r="F98" s="164"/>
    </row>
    <row r="99" spans="1:10" ht="34.5" customHeight="1" thickBot="1" x14ac:dyDescent="0.3">
      <c r="A99" s="277" t="str">
        <f>+'4 CATÁLOGO DE EQ. Y HERR'!A16</f>
        <v>EQREV001</v>
      </c>
      <c r="B99" s="278" t="str">
        <f>+'4 CATÁLOGO DE EQ. Y HERR'!B16</f>
        <v>REVOLVEDORA DE CONCRETO PARA 1 BULTO, CON MOTOR DE GASOLINA DE 14 HP</v>
      </c>
      <c r="C99" s="279" t="str">
        <f>+'4 CATÁLOGO DE EQ. Y HERR'!C16</f>
        <v>HORA</v>
      </c>
      <c r="D99" s="21"/>
    </row>
    <row r="100" spans="1:10" ht="15.75" thickBot="1" x14ac:dyDescent="0.3"/>
    <row r="101" spans="1:10" x14ac:dyDescent="0.25">
      <c r="A101" s="254" t="s">
        <v>229</v>
      </c>
      <c r="B101" s="234"/>
      <c r="C101" s="234"/>
      <c r="D101" s="234"/>
      <c r="E101" s="234"/>
      <c r="F101" s="235"/>
    </row>
    <row r="102" spans="1:10" ht="30" x14ac:dyDescent="0.25">
      <c r="A102" s="236" t="s">
        <v>230</v>
      </c>
      <c r="B102" s="30">
        <v>27627</v>
      </c>
      <c r="C102" s="29"/>
      <c r="D102" s="29"/>
      <c r="E102" s="292" t="s">
        <v>231</v>
      </c>
      <c r="F102" s="237">
        <v>3</v>
      </c>
    </row>
    <row r="103" spans="1:10" ht="30" x14ac:dyDescent="0.25">
      <c r="A103" s="236" t="s">
        <v>232</v>
      </c>
      <c r="B103" s="30">
        <v>2552</v>
      </c>
      <c r="C103" s="29"/>
      <c r="D103" s="29"/>
      <c r="E103" s="292" t="s">
        <v>233</v>
      </c>
      <c r="F103" s="237">
        <v>1600</v>
      </c>
      <c r="H103">
        <f>1700/1.16</f>
        <v>1465.5172413793105</v>
      </c>
    </row>
    <row r="104" spans="1:10" ht="30" x14ac:dyDescent="0.25">
      <c r="A104" s="236" t="s">
        <v>234</v>
      </c>
      <c r="B104" s="29">
        <v>3000</v>
      </c>
      <c r="C104" s="29"/>
      <c r="D104" s="29"/>
      <c r="E104" s="292" t="s">
        <v>235</v>
      </c>
      <c r="F104" s="237">
        <f>+F103*F102</f>
        <v>4800</v>
      </c>
    </row>
    <row r="105" spans="1:10" ht="30" x14ac:dyDescent="0.25">
      <c r="A105" s="236" t="s">
        <v>236</v>
      </c>
      <c r="B105" s="30">
        <f>+B102-B103</f>
        <v>25075</v>
      </c>
      <c r="C105" s="29"/>
      <c r="D105" s="29"/>
      <c r="E105" s="292" t="s">
        <v>237</v>
      </c>
      <c r="F105" s="237">
        <v>14</v>
      </c>
    </row>
    <row r="106" spans="1:10" ht="30" x14ac:dyDescent="0.25">
      <c r="A106" s="236" t="s">
        <v>238</v>
      </c>
      <c r="B106" s="242">
        <v>0.1</v>
      </c>
      <c r="C106" s="142">
        <f>+B106*B105</f>
        <v>2507.5</v>
      </c>
      <c r="D106" s="29"/>
      <c r="E106" s="292" t="s">
        <v>239</v>
      </c>
      <c r="F106" s="246">
        <v>20.68</v>
      </c>
    </row>
    <row r="107" spans="1:10" ht="30" x14ac:dyDescent="0.25">
      <c r="A107" s="236" t="s">
        <v>240</v>
      </c>
      <c r="B107" s="243">
        <v>0.10349999999999999</v>
      </c>
      <c r="C107" s="29"/>
      <c r="D107" s="29"/>
      <c r="E107" s="292" t="s">
        <v>241</v>
      </c>
      <c r="F107" s="246">
        <v>161</v>
      </c>
    </row>
    <row r="108" spans="1:10" ht="30" x14ac:dyDescent="0.25">
      <c r="A108" s="236" t="s">
        <v>242</v>
      </c>
      <c r="B108" s="242">
        <v>0.06</v>
      </c>
      <c r="C108" s="29"/>
      <c r="D108" s="29"/>
      <c r="E108" s="292" t="s">
        <v>243</v>
      </c>
      <c r="F108" s="237">
        <v>0.8</v>
      </c>
    </row>
    <row r="109" spans="1:10" ht="30" x14ac:dyDescent="0.25">
      <c r="A109" s="236" t="s">
        <v>244</v>
      </c>
      <c r="B109" s="142">
        <f>+'3 CATÁLOGO DE M. DE O.'!F19</f>
        <v>796.99683284482762</v>
      </c>
      <c r="C109" s="29"/>
      <c r="D109" s="29"/>
      <c r="E109" s="292" t="s">
        <v>245</v>
      </c>
      <c r="F109" s="237">
        <f>+F105*F108</f>
        <v>11.200000000000001</v>
      </c>
    </row>
    <row r="110" spans="1:10" ht="30" x14ac:dyDescent="0.25">
      <c r="A110" s="236" t="s">
        <v>246</v>
      </c>
      <c r="B110" s="244">
        <v>8</v>
      </c>
      <c r="C110" s="29"/>
      <c r="D110" s="29"/>
      <c r="E110" s="292" t="s">
        <v>247</v>
      </c>
      <c r="F110" s="237">
        <v>0.7</v>
      </c>
    </row>
    <row r="111" spans="1:10" ht="45" x14ac:dyDescent="0.25">
      <c r="A111" s="236" t="s">
        <v>248</v>
      </c>
      <c r="B111" s="244">
        <v>50</v>
      </c>
      <c r="C111" s="29"/>
      <c r="D111" s="29"/>
      <c r="E111" s="292" t="s">
        <v>249</v>
      </c>
      <c r="F111" s="237">
        <v>0.2271</v>
      </c>
      <c r="H111" t="s">
        <v>250</v>
      </c>
      <c r="I111">
        <f>4000/19.5</f>
        <v>205.12820512820514</v>
      </c>
      <c r="J111">
        <f>+I111/100</f>
        <v>2.0512820512820515</v>
      </c>
    </row>
    <row r="112" spans="1:10" ht="30" x14ac:dyDescent="0.25">
      <c r="A112" s="236"/>
      <c r="B112" s="29"/>
      <c r="C112" s="29"/>
      <c r="D112" s="29"/>
      <c r="E112" s="292" t="s">
        <v>251</v>
      </c>
      <c r="F112" s="237">
        <v>3.0000000000000001E-3</v>
      </c>
      <c r="J112" t="s">
        <v>252</v>
      </c>
    </row>
    <row r="113" spans="1:6" ht="30.75" thickBot="1" x14ac:dyDescent="0.3">
      <c r="A113" s="238"/>
      <c r="B113" s="239"/>
      <c r="C113" s="239"/>
      <c r="D113" s="239"/>
      <c r="E113" s="293" t="s">
        <v>253</v>
      </c>
      <c r="F113" s="240">
        <v>1.1000000000000001</v>
      </c>
    </row>
    <row r="114" spans="1:6" ht="15.75" thickBot="1" x14ac:dyDescent="0.3">
      <c r="A114" s="241"/>
      <c r="B114" s="47"/>
      <c r="C114" s="47"/>
      <c r="D114" s="47"/>
      <c r="E114" s="47"/>
      <c r="F114" s="47"/>
    </row>
    <row r="115" spans="1:6" x14ac:dyDescent="0.25">
      <c r="A115" s="232"/>
      <c r="B115" s="248" t="s">
        <v>254</v>
      </c>
      <c r="C115" s="248" t="s">
        <v>255</v>
      </c>
      <c r="D115" s="234"/>
      <c r="E115" s="234"/>
      <c r="F115" s="235"/>
    </row>
    <row r="116" spans="1:6" x14ac:dyDescent="0.25">
      <c r="A116" s="236" t="s">
        <v>256</v>
      </c>
      <c r="B116" s="29" t="s">
        <v>257</v>
      </c>
      <c r="C116" s="30">
        <f>+(B105-C106)/F104</f>
        <v>4.7015624999999996</v>
      </c>
      <c r="D116" s="283"/>
      <c r="E116" s="29"/>
      <c r="F116" s="237"/>
    </row>
    <row r="117" spans="1:6" x14ac:dyDescent="0.25">
      <c r="A117" s="236"/>
      <c r="B117" s="29"/>
      <c r="C117" s="29"/>
      <c r="D117" s="284"/>
      <c r="E117" s="29"/>
      <c r="F117" s="237"/>
    </row>
    <row r="118" spans="1:6" x14ac:dyDescent="0.25">
      <c r="A118" s="236" t="s">
        <v>258</v>
      </c>
      <c r="B118" s="29" t="s">
        <v>259</v>
      </c>
      <c r="C118" s="30">
        <f>+((B105+C106)/(2*F103))*B107</f>
        <v>0.89212148437499994</v>
      </c>
      <c r="D118" s="283"/>
      <c r="E118" s="29"/>
      <c r="F118" s="237"/>
    </row>
    <row r="119" spans="1:6" x14ac:dyDescent="0.25">
      <c r="A119" s="236"/>
      <c r="B119" s="29"/>
      <c r="C119" s="29"/>
      <c r="D119" s="284"/>
      <c r="E119" s="29"/>
      <c r="F119" s="237"/>
    </row>
    <row r="120" spans="1:6" x14ac:dyDescent="0.25">
      <c r="A120" s="236" t="s">
        <v>260</v>
      </c>
      <c r="B120" s="29" t="s">
        <v>261</v>
      </c>
      <c r="C120" s="249">
        <f>+((B105+C106)/(2*F103))*6%</f>
        <v>0.51717187499999995</v>
      </c>
      <c r="D120" s="283"/>
      <c r="E120" s="29"/>
      <c r="F120" s="237"/>
    </row>
    <row r="121" spans="1:6" x14ac:dyDescent="0.25">
      <c r="A121" s="236"/>
      <c r="B121" s="29"/>
      <c r="C121" s="29"/>
      <c r="D121" s="284"/>
      <c r="E121" s="29"/>
      <c r="F121" s="237"/>
    </row>
    <row r="122" spans="1:6" x14ac:dyDescent="0.25">
      <c r="A122" s="236" t="s">
        <v>262</v>
      </c>
      <c r="B122" s="29" t="s">
        <v>263</v>
      </c>
      <c r="C122" s="249">
        <f>+F110*C116</f>
        <v>3.2910937499999995</v>
      </c>
      <c r="D122" s="285"/>
      <c r="E122" s="29"/>
      <c r="F122" s="237"/>
    </row>
    <row r="123" spans="1:6" x14ac:dyDescent="0.25">
      <c r="A123" s="250"/>
      <c r="B123" s="29"/>
      <c r="C123" s="29"/>
      <c r="D123" s="284"/>
      <c r="E123" s="29"/>
      <c r="F123" s="237"/>
    </row>
    <row r="124" spans="1:6" ht="15.75" thickBot="1" x14ac:dyDescent="0.3">
      <c r="A124" s="251"/>
      <c r="B124" s="252" t="s">
        <v>264</v>
      </c>
      <c r="C124" s="253">
        <f>+SUM(C115:C122)</f>
        <v>9.4019496093749986</v>
      </c>
      <c r="D124" s="286"/>
      <c r="E124" s="239"/>
      <c r="F124" s="240"/>
    </row>
    <row r="125" spans="1:6" ht="15.75" thickBot="1" x14ac:dyDescent="0.3">
      <c r="A125" s="44"/>
      <c r="B125" s="44"/>
      <c r="C125" s="44"/>
      <c r="D125" s="44"/>
      <c r="E125" s="44"/>
      <c r="F125" s="44"/>
    </row>
    <row r="126" spans="1:6" x14ac:dyDescent="0.25">
      <c r="A126" s="254"/>
      <c r="B126" s="248" t="s">
        <v>365</v>
      </c>
      <c r="C126" s="234"/>
      <c r="D126" s="234"/>
      <c r="E126" s="234"/>
      <c r="F126" s="235"/>
    </row>
    <row r="127" spans="1:6" x14ac:dyDescent="0.25">
      <c r="A127" s="250" t="s">
        <v>266</v>
      </c>
      <c r="B127" s="29" t="s">
        <v>267</v>
      </c>
      <c r="C127" s="142">
        <f>+F111*F109*F106</f>
        <v>52.599993599999998</v>
      </c>
      <c r="D127" s="285"/>
      <c r="E127" s="29"/>
      <c r="F127" s="237"/>
    </row>
    <row r="128" spans="1:6" x14ac:dyDescent="0.25">
      <c r="A128" s="250"/>
      <c r="B128" s="29"/>
      <c r="C128" s="29"/>
      <c r="D128" s="284"/>
      <c r="E128" s="29"/>
      <c r="F128" s="237"/>
    </row>
    <row r="129" spans="1:6" x14ac:dyDescent="0.25">
      <c r="A129" s="250" t="s">
        <v>268</v>
      </c>
      <c r="B129" s="29" t="s">
        <v>269</v>
      </c>
      <c r="C129" s="30">
        <f>+((F112*F109)+F113/B111)*F107</f>
        <v>8.9516000000000009</v>
      </c>
      <c r="D129" s="285"/>
      <c r="E129" s="29"/>
      <c r="F129" s="237"/>
    </row>
    <row r="130" spans="1:6" x14ac:dyDescent="0.25">
      <c r="A130" s="250"/>
      <c r="B130" s="29"/>
      <c r="C130" s="29"/>
      <c r="D130" s="284"/>
      <c r="E130" s="29"/>
      <c r="F130" s="237"/>
    </row>
    <row r="131" spans="1:6" x14ac:dyDescent="0.25">
      <c r="A131" s="250" t="s">
        <v>270</v>
      </c>
      <c r="B131" s="29" t="s">
        <v>271</v>
      </c>
      <c r="C131" s="29">
        <f>+B103/B104</f>
        <v>0.85066666666666668</v>
      </c>
      <c r="D131" s="284"/>
      <c r="E131" s="29"/>
      <c r="F131" s="237"/>
    </row>
    <row r="132" spans="1:6" x14ac:dyDescent="0.25">
      <c r="A132" s="250"/>
      <c r="B132" s="29"/>
      <c r="C132" s="29"/>
      <c r="D132" s="284"/>
      <c r="E132" s="29"/>
      <c r="F132" s="237"/>
    </row>
    <row r="133" spans="1:6" x14ac:dyDescent="0.25">
      <c r="A133" s="250"/>
      <c r="B133" s="230" t="s">
        <v>272</v>
      </c>
      <c r="C133" s="280">
        <f>SUM(C127:C132)</f>
        <v>62.402260266666666</v>
      </c>
      <c r="D133" s="290"/>
      <c r="E133" s="29"/>
      <c r="F133" s="237"/>
    </row>
    <row r="134" spans="1:6" x14ac:dyDescent="0.25">
      <c r="A134" s="250"/>
      <c r="B134" s="29"/>
      <c r="C134" s="29"/>
      <c r="D134" s="284"/>
      <c r="E134" s="29"/>
      <c r="F134" s="237"/>
    </row>
    <row r="135" spans="1:6" x14ac:dyDescent="0.25">
      <c r="A135" s="250"/>
      <c r="B135" s="29" t="s">
        <v>273</v>
      </c>
      <c r="C135" s="29"/>
      <c r="D135" s="284"/>
      <c r="E135" s="29"/>
      <c r="F135" s="237"/>
    </row>
    <row r="136" spans="1:6" x14ac:dyDescent="0.25">
      <c r="A136" s="281" t="s">
        <v>274</v>
      </c>
      <c r="B136" s="29" t="s">
        <v>275</v>
      </c>
      <c r="C136" s="249">
        <f>+B109/B110</f>
        <v>99.624604105603453</v>
      </c>
      <c r="D136" s="285"/>
      <c r="E136" s="29"/>
      <c r="F136" s="237"/>
    </row>
    <row r="137" spans="1:6" x14ac:dyDescent="0.25">
      <c r="A137" s="250"/>
      <c r="B137" s="230" t="s">
        <v>276</v>
      </c>
      <c r="C137" s="280">
        <f>+C136</f>
        <v>99.624604105603453</v>
      </c>
      <c r="D137" s="290"/>
      <c r="E137" s="29"/>
      <c r="F137" s="237"/>
    </row>
    <row r="138" spans="1:6" x14ac:dyDescent="0.25">
      <c r="A138" s="250"/>
      <c r="B138" s="29"/>
      <c r="C138" s="29"/>
      <c r="D138" s="148"/>
      <c r="E138" s="29"/>
      <c r="F138" s="237"/>
    </row>
    <row r="139" spans="1:6" ht="15.75" thickBot="1" x14ac:dyDescent="0.3">
      <c r="A139" s="251"/>
      <c r="B139" s="252" t="s">
        <v>277</v>
      </c>
      <c r="C139" s="253">
        <f>+C137+C133+C124</f>
        <v>171.42881398164513</v>
      </c>
      <c r="D139" s="286">
        <f>+D137+D133+D124</f>
        <v>0</v>
      </c>
      <c r="E139" s="239"/>
      <c r="F139" s="240"/>
    </row>
    <row r="140" spans="1:6" x14ac:dyDescent="0.25">
      <c r="B140" s="21"/>
      <c r="C140" s="77"/>
      <c r="D140" s="78"/>
    </row>
  </sheetData>
  <pageMargins left="0.41" right="0.23" top="0.55000000000000004" bottom="0.94488188976377963" header="0.31496062992125984" footer="0.51181102362204722"/>
  <pageSetup scale="73" orientation="portrait" r:id="rId1"/>
  <rowBreaks count="2" manualBreakCount="2">
    <brk id="41" max="6" man="1"/>
    <brk id="90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COSTO DIRECTO</vt:lpstr>
      <vt:lpstr>1 CAT. CONCEPTOS_PRESUPUESTO_</vt:lpstr>
      <vt:lpstr>2 CATÁLOGO DE MAT.</vt:lpstr>
      <vt:lpstr>3 CATÁLOGO DE M. DE O.</vt:lpstr>
      <vt:lpstr>4 CATÁLOGO DE EQ. Y HERR</vt:lpstr>
      <vt:lpstr>5 CATÁLOGO DE BÁSICOS</vt:lpstr>
      <vt:lpstr>6 MATRIZ DE BÁSICOS</vt:lpstr>
      <vt:lpstr>7 FACTOR SAL REAL</vt:lpstr>
      <vt:lpstr>8 COSTO HOR MAQUINA</vt:lpstr>
      <vt:lpstr>9 MATRIZ DE PU</vt:lpstr>
      <vt:lpstr>OPERACIONES PU</vt:lpstr>
      <vt:lpstr>'1 CAT. CONCEPTOS_PRESUPUESTO_'!Área_de_impresión</vt:lpstr>
      <vt:lpstr>'8 COSTO HOR MAQUINA'!Área_de_impresión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Carlos</dc:creator>
  <cp:lastModifiedBy>Ing. Daniel</cp:lastModifiedBy>
  <cp:lastPrinted>2025-05-07T18:04:40Z</cp:lastPrinted>
  <dcterms:created xsi:type="dcterms:W3CDTF">2021-05-18T17:43:22Z</dcterms:created>
  <dcterms:modified xsi:type="dcterms:W3CDTF">2025-05-09T20:21:29Z</dcterms:modified>
</cp:coreProperties>
</file>