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C:\AMS\KINGSTON NEGRA\CURSOS\COFIDE\15-10-2025 SOCIOS\"/>
    </mc:Choice>
  </mc:AlternateContent>
  <xr:revisionPtr revIDLastSave="0" documentId="13_ncr:1_{83FE083E-6E49-4BAE-B641-AE6B442E87F6}" xr6:coauthVersionLast="47" xr6:coauthVersionMax="47" xr10:uidLastSave="{00000000-0000-0000-0000-000000000000}"/>
  <workbookProtection workbookAlgorithmName="SHA-512" workbookHashValue="HWrcCPbS9aNWA3ybTuOR7nb0CMZZXiQjO3JVtrW3NFwOVPQihEEb4c1MLTRWyUDiaEXjydNNQy3Rz9VeDAypzg==" workbookSaltValue="Tce4Wi111UrAWpVJU9iD5A==" workbookSpinCount="100000" lockStructure="1"/>
  <bookViews>
    <workbookView xWindow="-120" yWindow="-120" windowWidth="29040" windowHeight="15720" tabRatio="820" xr2:uid="{CCC72995-1D00-43AC-88D2-272BFF0BD735}"/>
  </bookViews>
  <sheets>
    <sheet name="PORTADA" sheetId="11" r:id="rId1"/>
    <sheet name="MENU" sheetId="12" r:id="rId2"/>
    <sheet name="RFCS" sheetId="16" r:id="rId3"/>
    <sheet name="UTILIDAD" sheetId="4" r:id="rId4"/>
    <sheet name="DIVIDENDOS" sheetId="5" r:id="rId5"/>
    <sheet name="CUFIN" sheetId="6" r:id="rId6"/>
    <sheet name="CALCULOS" sheetId="7" r:id="rId7"/>
    <sheet name="NODEDUCE" sheetId="8" r:id="rId8"/>
    <sheet name="REDUCCIONC" sheetId="10" r:id="rId9"/>
    <sheet name="CUCA" sheetId="1" r:id="rId10"/>
    <sheet name="FUNDAMENTO" sheetId="2" r:id="rId11"/>
    <sheet name="ISRDPF" sheetId="14" r:id="rId12"/>
    <sheet name="ACONTABLE" sheetId="15" r:id="rId13"/>
    <sheet name="INPC" sheetId="3" r:id="rId14"/>
    <sheet name="TARIFA" sheetId="13" r:id="rId15"/>
  </sheets>
  <definedNames>
    <definedName name="INPCA">INPC!$B$5:$B$61</definedName>
    <definedName name="INPCM">INPC!$C$4:$N$4</definedName>
    <definedName name="TARIFAA">TARIFA!$B$8:$E$18</definedName>
    <definedName name="TINPC">INPC!$C$5:$N$61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2" l="1"/>
  <c r="G3" i="16"/>
  <c r="D27" i="15"/>
  <c r="D25" i="15"/>
  <c r="D35" i="4"/>
  <c r="E35" i="4"/>
  <c r="C5" i="15"/>
  <c r="C9" i="15" s="1"/>
  <c r="D13" i="14"/>
  <c r="F13" i="14" s="1"/>
  <c r="C7" i="14"/>
  <c r="C8" i="14"/>
  <c r="C40" i="5"/>
  <c r="C16" i="10"/>
  <c r="C26" i="10" s="1"/>
  <c r="E2" i="13"/>
  <c r="F2" i="14"/>
  <c r="F22" i="14"/>
  <c r="F18" i="14"/>
  <c r="F14" i="14"/>
  <c r="F15" i="14"/>
  <c r="F16" i="14"/>
  <c r="F17" i="14"/>
  <c r="C21" i="14"/>
  <c r="D18" i="14" s="1"/>
  <c r="C10" i="15" l="1"/>
  <c r="E19" i="15" s="1"/>
  <c r="F20" i="15" s="1"/>
  <c r="E25" i="15" s="1"/>
  <c r="F26" i="15" s="1"/>
  <c r="C11" i="15"/>
  <c r="E27" i="15" s="1"/>
  <c r="F28" i="15" s="1"/>
  <c r="E17" i="15"/>
  <c r="F18" i="15" s="1"/>
  <c r="D6" i="14"/>
  <c r="F6" i="14" s="1"/>
  <c r="F23" i="14" s="1"/>
  <c r="F25" i="14" s="1"/>
  <c r="D23" i="14"/>
  <c r="D25" i="14" s="1"/>
  <c r="D28" i="14"/>
  <c r="C12" i="15" l="1"/>
  <c r="E21" i="15"/>
  <c r="F22" i="15" s="1"/>
  <c r="E23" i="15"/>
  <c r="F24" i="15" s="1"/>
  <c r="C13" i="15"/>
  <c r="D30" i="14"/>
  <c r="D29" i="14"/>
  <c r="F30" i="14"/>
  <c r="F29" i="14"/>
  <c r="B30" i="14"/>
  <c r="B29" i="14"/>
  <c r="C18" i="12" l="1"/>
  <c r="B18" i="12"/>
  <c r="C15" i="12"/>
  <c r="B15" i="12"/>
  <c r="C17" i="1"/>
  <c r="B17" i="1"/>
  <c r="F46" i="7"/>
  <c r="F20" i="7" s="1"/>
  <c r="E26" i="5"/>
  <c r="E29" i="5" s="1"/>
  <c r="E31" i="5" s="1"/>
  <c r="C26" i="5"/>
  <c r="C29" i="5" s="1"/>
  <c r="C31" i="5" s="1"/>
  <c r="D7" i="5"/>
  <c r="E7" i="5"/>
  <c r="C7" i="5"/>
  <c r="C13" i="12"/>
  <c r="N2" i="3"/>
  <c r="C17" i="12"/>
  <c r="B17" i="12"/>
  <c r="C14" i="12"/>
  <c r="B14" i="12"/>
  <c r="B13" i="12"/>
  <c r="C12" i="12"/>
  <c r="B12" i="12"/>
  <c r="C11" i="12"/>
  <c r="B11" i="12"/>
  <c r="C10" i="12"/>
  <c r="B10" i="12"/>
  <c r="C9" i="12"/>
  <c r="B9" i="12"/>
  <c r="C8" i="12"/>
  <c r="B8" i="12"/>
  <c r="D2" i="2"/>
  <c r="D2" i="1"/>
  <c r="F1" i="10"/>
  <c r="B3" i="8"/>
  <c r="C2" i="6"/>
  <c r="F2" i="5"/>
  <c r="D2" i="4"/>
  <c r="C7" i="12"/>
  <c r="B7" i="12"/>
  <c r="B6" i="12"/>
  <c r="C61" i="10"/>
  <c r="C62" i="10" s="1"/>
  <c r="C55" i="10"/>
  <c r="C56" i="10" s="1"/>
  <c r="C40" i="10"/>
  <c r="F29" i="10"/>
  <c r="F28" i="10"/>
  <c r="C28" i="10"/>
  <c r="C21" i="10"/>
  <c r="C31" i="10" s="1"/>
  <c r="C43" i="10" s="1"/>
  <c r="C18" i="10"/>
  <c r="F10" i="10"/>
  <c r="C10" i="10"/>
  <c r="C30" i="6"/>
  <c r="C29" i="6"/>
  <c r="B30" i="6"/>
  <c r="B29" i="6"/>
  <c r="D58" i="7"/>
  <c r="D57" i="7"/>
  <c r="B58" i="7"/>
  <c r="B57" i="7"/>
  <c r="F34" i="7"/>
  <c r="F19" i="7" s="1"/>
  <c r="D7" i="7"/>
  <c r="D6" i="7"/>
  <c r="C19" i="10" l="1"/>
  <c r="C20" i="10" s="1"/>
  <c r="C22" i="10" s="1"/>
  <c r="C63" i="10" s="1"/>
  <c r="C64" i="10" s="1"/>
  <c r="D28" i="6"/>
  <c r="E56" i="7"/>
  <c r="E59" i="7" s="1"/>
  <c r="F30" i="10"/>
  <c r="C11" i="10"/>
  <c r="C12" i="10" s="1"/>
  <c r="D10" i="7"/>
  <c r="C7" i="6" s="1"/>
  <c r="F23" i="7"/>
  <c r="C10" i="6" s="1"/>
  <c r="C29" i="10" l="1"/>
  <c r="C41" i="10" s="1"/>
  <c r="C42" i="10" s="1"/>
  <c r="C44" i="10" s="1"/>
  <c r="C81" i="10" s="1"/>
  <c r="C87" i="10" s="1"/>
  <c r="C30" i="10"/>
  <c r="C32" i="10" s="1"/>
  <c r="C33" i="10" s="1"/>
  <c r="C45" i="10" s="1"/>
  <c r="C65" i="10"/>
  <c r="C66" i="10" s="1"/>
  <c r="C68" i="10" s="1"/>
  <c r="C70" i="10" s="1"/>
  <c r="C75" i="10" s="1"/>
  <c r="C82" i="10"/>
  <c r="C88" i="10" s="1"/>
  <c r="E30" i="4"/>
  <c r="D34" i="4"/>
  <c r="E34" i="4" s="1"/>
  <c r="F7" i="5"/>
  <c r="D10" i="4"/>
  <c r="C11" i="4" s="1"/>
  <c r="C10" i="4"/>
  <c r="B18" i="1"/>
  <c r="C18" i="1"/>
  <c r="D12" i="1"/>
  <c r="C46" i="10" l="1"/>
  <c r="C48" i="10" s="1"/>
  <c r="C50" i="10" s="1"/>
  <c r="C74" i="10" s="1"/>
  <c r="C34" i="10"/>
  <c r="C76" i="10"/>
  <c r="C96" i="10" s="1"/>
  <c r="C89" i="10"/>
  <c r="C91" i="10" s="1"/>
  <c r="C83" i="10"/>
  <c r="D11" i="4"/>
  <c r="C8" i="6" s="1"/>
  <c r="C13" i="6" s="1"/>
  <c r="C13" i="4"/>
  <c r="C18" i="4" s="1"/>
  <c r="C20" i="4" s="1"/>
  <c r="C24" i="4" s="1"/>
  <c r="D19" i="1"/>
  <c r="D20" i="1" s="1"/>
  <c r="B100" i="10" l="1"/>
  <c r="D100" i="10"/>
  <c r="B101" i="10" s="1"/>
  <c r="D101" i="10" s="1"/>
  <c r="D33" i="4"/>
  <c r="E33" i="4" s="1"/>
  <c r="D32" i="4"/>
  <c r="B13" i="6"/>
  <c r="D13" i="4"/>
  <c r="C23" i="4"/>
  <c r="C25" i="4" s="1"/>
  <c r="C32" i="4"/>
  <c r="C36" i="4" s="1"/>
  <c r="C18" i="6"/>
  <c r="C23" i="6"/>
  <c r="E32" i="4" l="1"/>
  <c r="E36" i="4" s="1"/>
  <c r="C24" i="6"/>
  <c r="D27" i="6" s="1"/>
  <c r="D31" i="6" s="1"/>
  <c r="D34" i="6" s="1"/>
  <c r="D8" i="5"/>
  <c r="D9" i="5" s="1"/>
  <c r="C8" i="5"/>
  <c r="C9" i="5" s="1"/>
  <c r="E8" i="5"/>
  <c r="E9" i="5" s="1"/>
  <c r="F9" i="5" l="1"/>
  <c r="C13" i="5" s="1"/>
  <c r="C15" i="5" s="1"/>
  <c r="C17" i="5" s="1"/>
  <c r="B44" i="5" l="1"/>
  <c r="D44" i="5"/>
  <c r="C32" i="5"/>
  <c r="C35" i="5" s="1"/>
  <c r="E32" i="5"/>
  <c r="B45" i="5" l="1"/>
  <c r="D45" i="5" s="1"/>
  <c r="B46" i="5" s="1"/>
  <c r="D46" i="5" s="1"/>
  <c r="E35" i="5"/>
  <c r="B47" i="5" l="1"/>
  <c r="D47" i="5" s="1"/>
  <c r="B102" i="10"/>
  <c r="D102" i="10" s="1"/>
  <c r="B103" i="10" s="1"/>
  <c r="D103" i="10" s="1"/>
  <c r="B48" i="5" l="1"/>
  <c r="D48" i="5" s="1"/>
  <c r="B104" i="10"/>
  <c r="B49" i="5" l="1"/>
  <c r="D49" i="5" s="1"/>
  <c r="D104" i="10"/>
  <c r="B105" i="10" s="1"/>
  <c r="D105" i="10" s="1"/>
  <c r="B106" i="10" s="1"/>
  <c r="D106" i="10" s="1"/>
  <c r="B107" i="10" s="1"/>
  <c r="D107" i="10" s="1"/>
  <c r="B108" i="10" s="1"/>
  <c r="D108" i="10" s="1"/>
  <c r="B50" i="5" l="1"/>
  <c r="D50" i="5" s="1"/>
  <c r="B109" i="10"/>
  <c r="D109" i="10" s="1"/>
  <c r="B51" i="5" l="1"/>
  <c r="D51" i="5" s="1"/>
  <c r="B110" i="10"/>
  <c r="D110" i="10" s="1"/>
  <c r="B52" i="5" l="1"/>
  <c r="D52" i="5" s="1"/>
  <c r="B111" i="10"/>
  <c r="B53" i="5" l="1"/>
  <c r="D53" i="5" s="1"/>
  <c r="D111" i="10"/>
  <c r="B112" i="10" s="1"/>
  <c r="B54" i="5" l="1"/>
  <c r="D54" i="5" s="1"/>
  <c r="D112" i="10"/>
  <c r="B113" i="10" s="1"/>
  <c r="D113" i="10" s="1"/>
  <c r="B114" i="10" s="1"/>
  <c r="D114" i="10" s="1"/>
  <c r="B115" i="10" s="1"/>
  <c r="D115" i="10" s="1"/>
  <c r="B55" i="5" l="1"/>
  <c r="D55" i="5" s="1"/>
  <c r="B56" i="5" s="1"/>
  <c r="D56" i="5" s="1"/>
  <c r="B116" i="10"/>
  <c r="D116" i="10" s="1"/>
  <c r="B57" i="5" l="1"/>
  <c r="D57" i="5" s="1"/>
  <c r="B117" i="10"/>
  <c r="D117" i="10" s="1"/>
  <c r="B58" i="5" l="1"/>
  <c r="D58" i="5" s="1"/>
  <c r="B118" i="10"/>
  <c r="D118" i="10" s="1"/>
  <c r="B59" i="5" l="1"/>
  <c r="D59" i="5" s="1"/>
  <c r="B60" i="5" s="1"/>
  <c r="D60" i="5" s="1"/>
  <c r="B61" i="5" s="1"/>
  <c r="D61" i="5" s="1"/>
  <c r="B62" i="5" s="1"/>
  <c r="D62" i="5" s="1"/>
  <c r="B119" i="10"/>
  <c r="D119" i="10" s="1"/>
  <c r="B63" i="5" l="1"/>
  <c r="D63" i="5" s="1"/>
  <c r="B120" i="10"/>
  <c r="D120" i="10" s="1"/>
  <c r="B64" i="5" l="1"/>
  <c r="D64" i="5" s="1"/>
  <c r="B65" i="5" s="1"/>
  <c r="D65" i="5" s="1"/>
  <c r="B66" i="5" s="1"/>
  <c r="D66" i="5" s="1"/>
  <c r="B67" i="5" s="1"/>
  <c r="D67" i="5" s="1"/>
  <c r="B68" i="5" s="1"/>
  <c r="D68" i="5" s="1"/>
  <c r="B69" i="5" s="1"/>
  <c r="D69" i="5" s="1"/>
  <c r="B70" i="5" s="1"/>
  <c r="B121" i="10"/>
  <c r="D121" i="10" s="1"/>
  <c r="D70" i="5" l="1"/>
  <c r="B122" i="10"/>
  <c r="D122" i="10" s="1"/>
  <c r="B123" i="10" l="1"/>
  <c r="D123" i="10" s="1"/>
  <c r="B124" i="10" l="1"/>
  <c r="D124" i="10" s="1"/>
  <c r="B125" i="10" l="1"/>
  <c r="D125" i="10" s="1"/>
  <c r="B126" i="10" l="1"/>
  <c r="D126" i="10" s="1"/>
  <c r="B127" i="10" l="1"/>
  <c r="D12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11" authorId="0" shapeId="0" xr:uid="{D63F031C-4EB7-445A-95F5-B8C2B47678FB}">
      <text>
        <r>
          <rPr>
            <b/>
            <sz val="9"/>
            <color indexed="81"/>
            <rFont val="Tahoma"/>
            <family val="2"/>
          </rPr>
          <t xml:space="preserve">Artículo 77. Las personas morales llevarán una cuenta de utilidad fiscal neta. Esta cuenta se adicionará con la utilidad fiscal neta de cada ejercicio, así como con los dividendos o utilidades percibidos de otras personas morales residentes en México y con los ingresos, dividendos o utilidades sujetos a regímenes fiscales preferentes en los términos del décimo párrafo del artículo 177 de esta Ley, y se disminuirá con el importe de los dividendos o utilidades pagados, con las utilidades distribuidas a que se refiere el artículo 78 de esta Ley, cuando en ambos casos provengan del saldo de dicha cuenta. Para los efectos de este párrafo, no se incluyen los dividendos o utilidades en acciones o los reinvertidos en la suscripción y aumento de capital de la misma persona que los distribuye, dentro de los 30 días naturales siguientes a su distribución. Para determinar la utilidad fiscal neta a que se refiere este párrafo, </t>
        </r>
        <r>
          <rPr>
            <b/>
            <i/>
            <sz val="9"/>
            <color indexed="10"/>
            <rFont val="Tahoma"/>
            <family val="2"/>
          </rPr>
          <t>se deberá disminuir, en su caso, el monto que resulte en los términos de la fracción II del artículo 10 de esta Ley.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4" authorId="0" shapeId="0" xr:uid="{73CDFB23-F7DD-478E-BEEE-ECF8F6E8D1AA}">
      <text>
        <r>
          <rPr>
            <b/>
            <sz val="9"/>
            <color indexed="39"/>
            <rFont val="Tahoma"/>
            <family val="2"/>
          </rPr>
          <t>Artículo 150 primer párrafo LISR</t>
        </r>
        <r>
          <rPr>
            <b/>
            <sz val="9"/>
            <color indexed="81"/>
            <rFont val="Tahoma"/>
            <family val="2"/>
          </rPr>
          <t xml:space="preserve">. Las personas físicas que obtengan ingresos en un año de calendario, a excepción de los exentos y de aquéllos por los que se haya pagado impuesto definitivo, están obligadas a pagar su impuesto anual mediante declaración que presentarán en el mes de abril del año siguiente, ante las oficinas autorizadas.
</t>
        </r>
        <r>
          <rPr>
            <b/>
            <sz val="9"/>
            <color indexed="39"/>
            <rFont val="Tahoma"/>
            <family val="2"/>
          </rPr>
          <t>Artículo 152 primer párrafo LISR.</t>
        </r>
        <r>
          <rPr>
            <b/>
            <sz val="9"/>
            <color indexed="81"/>
            <rFont val="Tahoma"/>
            <family val="2"/>
          </rPr>
          <t xml:space="preserve"> Las personas físicas calcularán el impuesto del ejercicio sumando, a los ingresos obtenidos conforme a los Capítulos I, III, IV, V, VI, VIII y IX de este Título, después de efectuar las deducciones autorizadas en dichos Capítulos, la utilidad gravable determinada conforme a la Sección I del Capítulo II de este Título, al resultado obtenido se le disminuirá, en su caso, las deducciones a que se refiere el artículo 151 de esta Ley.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9" authorId="0" shapeId="0" xr:uid="{C8755182-B8E7-4320-A12A-AC7D1CD0A79F}">
      <text>
        <r>
          <rPr>
            <b/>
            <sz val="9"/>
            <color indexed="81"/>
            <rFont val="Tahoma"/>
            <family val="2"/>
          </rPr>
          <t>Artículo 10 primer párrafo LISR. Las personas morales que distribuyan dividendos o utilidades deberán calcular y enterar el impuesto que corresponda a los mismos, aplicando la tasa establecida en el artículo 9 de la presente Ley. Para estos efectos, los dividendos o utilidades distribuidos se adicionarán con el impuesto sobre la renta que se deba pagar en los términos de este artículo. Para determinar el impuesto que se debe adicionar a los dividendos o utilidades, éstos se deberán multiplicar por el factor de 1.4286 y al resultado se le aplicará la tasa establecida en el citado artículo 9 de esta Ley. El impuesto correspondiente a las utilidades distribuidas a que se refiere el artículo 78 de la presente Ley, se calculará en los términos de dicho precepto.</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<sst xmlns="http://schemas.openxmlformats.org/spreadsheetml/2006/main" count="557" uniqueCount="463">
  <si>
    <t>Saldo inicial de la CUCA</t>
  </si>
  <si>
    <t>(+) Aportaciones de capital</t>
  </si>
  <si>
    <t>(+) Primas netas por suscripción de acciones efectuadas por los socios o accionistas</t>
  </si>
  <si>
    <t>(-) Reducciones de capital que se efectúen</t>
  </si>
  <si>
    <t>(=) Cuenta de capital de aportación por actualizar</t>
  </si>
  <si>
    <t>Aportaciones de capital</t>
  </si>
  <si>
    <t>Es el conjunto de recursos entregados a una entidad por sus propietarios que son aumentos de su inversión y, por lo tanto, incrementos del capital contribuido y, consecuentemente, del capital contable</t>
  </si>
  <si>
    <t>Fuente</t>
  </si>
  <si>
    <t>Glosario NIF's 2024</t>
  </si>
  <si>
    <t>Concepto</t>
  </si>
  <si>
    <t>Definición</t>
  </si>
  <si>
    <t>Son recursos entregados a una entidad por sus propietarios, los cuales representan aumentos de su inversión y, consecuentemente, del capital contable.</t>
  </si>
  <si>
    <t>NIF B-4 Estado de cambios en el capital contable, párrafo 52.5.3 inciso a)</t>
  </si>
  <si>
    <t>Capital contable</t>
  </si>
  <si>
    <t>Es el valor residual de los activos de la entidad, una vez deducidos todos sus pasivos</t>
  </si>
  <si>
    <t>Capital contribuido</t>
  </si>
  <si>
    <t>Es la porción del capital contable conformado por las aportaciones de los propietarios de la entidad y por el monto de otros instrumentos financieros emitidos por la entidad que califican como capital. Incluye también ciertas aportaciones para futuros aumentos de capital, las primas en emisión de acciones y otros instrumentos financieros que por sustancia económica califican como capital.</t>
  </si>
  <si>
    <t>Prima en emisión de acciones y otras primas</t>
  </si>
  <si>
    <t>NIF C-11 Capital contable, párrafos 42.61, 42.6.2, 42.6.3</t>
  </si>
  <si>
    <t>Capital ganado</t>
  </si>
  <si>
    <t>Es la porción del capital contable que se conforma por los resultados integrales acumulados, así com por las reservas creadas por los propietarios de la entidad.</t>
  </si>
  <si>
    <t>Capitalización de partidas del capital contribuido</t>
  </si>
  <si>
    <t>Es una asignación al capital social proveniente de otros conceptos de capital contable, tal como, aportaciones para futuros aumentos de capital y la prima pagada en venta o colocación de acciones o utilidades netas acumuladas (que se conocen como dividendos en acciones); este tipo de movimientos son traspasos entre rubros del capital contable, por lo que no modifican el valor total de éste.</t>
  </si>
  <si>
    <t>Reembolso de capital y amortización de acciones</t>
  </si>
  <si>
    <t>El reembolso de capital contribuido consiste en entregar a los tenedores de las acciones un monto determinado para redimir las acciones, el cual debe reconocerse disminuyendo el capital contribuido y reconociendo un pasivo con base en lo establecido en la NIF C-12. Si el valor contable de los activos entregados difiere del monto acordado de redención de las acciones, dicha diferencia debe afectarse contra las utilidades acumuladas.
En los casos en que los estatudos sociales de la entidad prevean la amortiación de acciones contra utilidades acumuladas, dicha amortización debe considerarse como una reduccion del capital ganado.
El importe del capital contribuido debe ser la base para reconocer contablamente las distribuciones que constituyen reembolsos de capital. Caulquier distribución que las entidades efectúen con cargo a su capital contable, que origene una disminución de dicha base, debe reconocerse contablmente como reembolso de capital.</t>
  </si>
  <si>
    <t>NIF C-11 Capital contable, párrafo 42.4.1</t>
  </si>
  <si>
    <t>NIF C-11 Capital contable, párrafo 42.10, 42.10.1, 42.10.2, 42.10.3</t>
  </si>
  <si>
    <r>
      <rPr>
        <b/>
        <sz val="12"/>
        <color theme="1"/>
        <rFont val="Aptos Narrow"/>
        <family val="2"/>
        <scheme val="minor"/>
      </rPr>
      <t>Artículo 78 onceavo párrafo LISR.</t>
    </r>
    <r>
      <rPr>
        <sz val="12"/>
        <color theme="1"/>
        <rFont val="Aptos Narrow"/>
        <family val="2"/>
        <scheme val="minor"/>
      </rPr>
      <t xml:space="preserve">
Para determinar el capital de aportación actualizado, las personas morales llevarán una cuenta de capital de aportación que se adicionará con las aportaciones de capital, las primas netas por suscripción de acciones efectuadas por los socios o accionistas, y se disminuirá con las reducciones de capital que se efectúen. Para los efectos de este párrafo, </t>
    </r>
    <r>
      <rPr>
        <b/>
        <sz val="12"/>
        <color rgb="FFC00000"/>
        <rFont val="Aptos Narrow"/>
        <family val="2"/>
        <scheme val="minor"/>
      </rPr>
      <t>no se incluirá como capital de aportación el correspondiente a la reinversión o capitalización de utilidades o de cualquier otro concepto que conforme el capital contable de la persona moral ni el proveniente de reinversiones de dividendos o utilidades en aumento de capital de las personas que los distribuyan realizadas dentro de los treinta días siguientes a su distribución</t>
    </r>
    <r>
      <rPr>
        <sz val="12"/>
        <color theme="1"/>
        <rFont val="Aptos Narrow"/>
        <family val="2"/>
        <scheme val="minor"/>
      </rPr>
      <t>. Los conceptos correspondientes a aumentos de capital mencionados en este párrafo, se adicionarán a la cuenta de capital de aportación en el momento en el que se paguen y los conceptos relativos a reducciones de capital se disminuirán de la citada cuenta en el momento en el que se pague el reembolso.</t>
    </r>
  </si>
  <si>
    <t>ENERO</t>
  </si>
  <si>
    <t>FEBRERO</t>
  </si>
  <si>
    <t>MARZO</t>
  </si>
  <si>
    <t>ABRIL</t>
  </si>
  <si>
    <t>MAYO</t>
  </si>
  <si>
    <t>JUNIO</t>
  </si>
  <si>
    <t>JULIO</t>
  </si>
  <si>
    <t>AGOSTO</t>
  </si>
  <si>
    <t>SEPTIEMBRE</t>
  </si>
  <si>
    <t>OCTUBRE</t>
  </si>
  <si>
    <t>NOVIEMBRE</t>
  </si>
  <si>
    <t>DICIEMBRE</t>
  </si>
  <si>
    <t>Fecha en que se actualizo por última vez</t>
  </si>
  <si>
    <t>Determinación del factor de actualización</t>
  </si>
  <si>
    <t>(=) Factor de actualización</t>
  </si>
  <si>
    <t>(=) Cuenta de capital de aportación actualizada</t>
  </si>
  <si>
    <t>Determinación de la cuenta de capital actualizada</t>
  </si>
  <si>
    <t>Fecha a actualizar</t>
  </si>
  <si>
    <t>Ingresos del ejercicio</t>
  </si>
  <si>
    <t>Utilidad neta del ejercicio</t>
  </si>
  <si>
    <t>(=) Utilidad del ejercicio</t>
  </si>
  <si>
    <t>(-) ISR</t>
  </si>
  <si>
    <t>(-) PTU</t>
  </si>
  <si>
    <t>(=) Utilidad neta del ejercicio</t>
  </si>
  <si>
    <t>(-) Costos y gastos</t>
  </si>
  <si>
    <t>(-) Deducciones autorizadas</t>
  </si>
  <si>
    <t>Contable</t>
  </si>
  <si>
    <t>Fiscal</t>
  </si>
  <si>
    <t>(x) % Reserva legal</t>
  </si>
  <si>
    <t>(=) Reserva legal</t>
  </si>
  <si>
    <t>Utilidad máximo que se puede repartir</t>
  </si>
  <si>
    <t>(-) Reserva legal</t>
  </si>
  <si>
    <t>(=) Utilidad máxima a repartir</t>
  </si>
  <si>
    <t>Total</t>
  </si>
  <si>
    <t>Capital social</t>
  </si>
  <si>
    <t>Proporción de participación en el capital</t>
  </si>
  <si>
    <t>Utilidad a repartir</t>
  </si>
  <si>
    <t>El importe recibido por la entidad por las acciones suscritas y pagadas representa el capital social. No todas las acciones tienen expresado un valor nominal; no obstante, todas tienen un valor nominal intrínseco, resultante de dividir el capital social ente el número de acciones suscritas y pagadas</t>
  </si>
  <si>
    <t>NIF C-11 Capital contable, párrafos 42.2.2</t>
  </si>
  <si>
    <t>Socio 1</t>
  </si>
  <si>
    <t>Socio 2</t>
  </si>
  <si>
    <t>Socio 3</t>
  </si>
  <si>
    <t>Dividendos a repartir</t>
  </si>
  <si>
    <t>Dividendo</t>
  </si>
  <si>
    <t>Monto de la utilidad atribuible que un accionista tiene derecho a recibir por cada acción que posee de una entidad, el cual se obtiene prorrateando el monto de las utilidades a distribuir entre el total de las acciones con derecho a esa distribución, según el acuerdo correspondiente de los accionistas.</t>
  </si>
  <si>
    <t>Utilidad o pérdida neta</t>
  </si>
  <si>
    <t>(+) Resultado integral del ejercicio</t>
  </si>
  <si>
    <t>(+) Utilidades acumuladas</t>
  </si>
  <si>
    <t>(-) Pérdidas acumuladas</t>
  </si>
  <si>
    <t>(=) Capital contable</t>
  </si>
  <si>
    <t>Después de absorber las pérdidas</t>
  </si>
  <si>
    <t>Dividendos distribuidos</t>
  </si>
  <si>
    <t>(x) Factor de piramidación</t>
  </si>
  <si>
    <t>(=) Dividendo piramidado</t>
  </si>
  <si>
    <t>(x) Tasa de ISR (artículo 9 LISR)</t>
  </si>
  <si>
    <t>(=) ISR por distribución de dividendos</t>
  </si>
  <si>
    <t>Determinación de la UTILIDAD FISCAL NETA (UFIN)</t>
  </si>
  <si>
    <t>Resultado fiscal del ejercicio</t>
  </si>
  <si>
    <t>(-) ISR del ejercicio pagado en los términos del artículo 9 LISR</t>
  </si>
  <si>
    <t>(-) Monto a restar de la utilidad fiscal neta</t>
  </si>
  <si>
    <t>①</t>
  </si>
  <si>
    <t>(-) Disminución por acreditamiento del ISR pagado por dividendos en el ejercicio</t>
  </si>
  <si>
    <t>(-) Diferencia a disminuir de saldo de CUFIN de ejercicios anteriores actualizado</t>
  </si>
  <si>
    <t>(-) Diferencia a disminuir de saldo de CUFIN del ejercicio</t>
  </si>
  <si>
    <t>Determinación de la CUFIN</t>
  </si>
  <si>
    <t>(+) Utilidad Fiscal Neta del ejercicio (UFIN)</t>
  </si>
  <si>
    <t>(+) Dividendos o utilidades percibidos de otras personas morales</t>
  </si>
  <si>
    <t>(+) Ingresos, dividendos o utilidades sujetos a regímenes fiscales preferentes (REFIPRES)</t>
  </si>
  <si>
    <t>(-) Dividendos o utilidades pagados con las utilidades distribuidas (UFIN)</t>
  </si>
  <si>
    <t>(-) Utilidades distribuidas por reducción de capital</t>
  </si>
  <si>
    <t>(=) Cuenta de utilidad Fiscal Neta al término del ejercicio</t>
  </si>
  <si>
    <t>(x) Factor de actualización</t>
  </si>
  <si>
    <t>(=) Cuenta de utilidad Fiscal Neta al término del ejercicio actualizada</t>
  </si>
  <si>
    <t>Determinación del resultado fiscal</t>
  </si>
  <si>
    <t>Artículo 9 segundo párrafo LISR</t>
  </si>
  <si>
    <t>Ingresos acumulables</t>
  </si>
  <si>
    <t>(-) PTU pagada en el ejercicio</t>
  </si>
  <si>
    <t>(-) Pérdidas fiscales pendientes de aplicar</t>
  </si>
  <si>
    <t>(=) Resultado fiscal del ejercicio</t>
  </si>
  <si>
    <t>Fracción</t>
  </si>
  <si>
    <t>I. ISR propio y/o retenido a terceros, subsidio al empleo entregado a los trabajadores.</t>
  </si>
  <si>
    <t>Los pagos por impuesto sobre la renta a cargo del propio contribuyente o de terceros ni los de contribuciones en la parte subsidiada o que originalmente correspondan a terceros, conforme a las disposiciones relativas, excepto tratándose de aportaciones pagadas al Instituto Mexicano del Seguro Social a cargo de los patrones, incluidas las previstas en la Ley del Seguro de Desempleo.</t>
  </si>
  <si>
    <t>II. Gastos e inversiones</t>
  </si>
  <si>
    <t>Los gastos e inversiones, en la proporción que representen los ingresos exentos respecto del total de ingresos del contribuyente. Los gastos que se realicen en relación con las inversiones que no sean deducibles conforme a este Capítulo. En el caso de automóviles y aviones, se podrán deducir en la proporción que represente el monto original de la inversión deducible a que se refiere el artículo 36 de esta Ley, respecto del valor de adquisición de los mismos.</t>
  </si>
  <si>
    <t>III. Atenciones a clientes</t>
  </si>
  <si>
    <t>Los obsequios, atenciones y otros gastos de naturaleza análoga con excepción de aquéllos que estén directamente relacionados con la enajenación de productos o la prestación de servicios y que sean ofrecidos a los clientes en forma general.</t>
  </si>
  <si>
    <t>IV. Gastos de representación</t>
  </si>
  <si>
    <t>Los gastos de representación</t>
  </si>
  <si>
    <t>V. Viáticos</t>
  </si>
  <si>
    <t>Cuando no se destinen a la alimentación, hospedaje, transporte, renta de automóviles y no se eroguen por trabajadores o persona física servicios profesionales y no se eroguen fuera de la faja de 50 kilómetros que circunda el establecimiento del contribuyente.</t>
  </si>
  <si>
    <t>VI. Sanciones e indemnizaciones.</t>
  </si>
  <si>
    <t>Las sanciones, las indemnizaciones por daños y perjuicios o las penas convencionales. Las indemnizaciones por daños y perjuicios y las penas convencionales, podrán deducirse cuando la ley imponga la obligación de pagarlas por provenir de riesgos creados, responsabilidad objetiva, caso fortuito, fuerza mayor o por actos de terceros, salvo que los daños y los perjuicios o la causa que dio origen a la pena convencional, se hayan originado por culpa imputable al contribuyente.</t>
  </si>
  <si>
    <t>VII. Intereses por personas morales no lucrativas.</t>
  </si>
  <si>
    <t>Los intereses devengados por préstamos o por adquisición, de valores a cargo del Gobierno Federal inscritos en el Registro Nacional de Valores, así como tratándose de títulos de crédito o de créditos de los señalados en el artículo 8 de esta Ley, cuando el préstamo o la adquisición se hubiera efectuado de personas físicas o personas morales con fines no lucrativos, excepto instituciones de crédito y casas de bolsa residentes en el país.</t>
  </si>
  <si>
    <t>VIII. Provisiones de activo y pasivo.</t>
  </si>
  <si>
    <t>Las provisiones para la creación o el incremento de reservas complementarias de activo o de pasivo que se constituyan con cargo a las adquisiciones o gastos del ejercicio, con excepción de las relacionadas con las gratificaciones a los trabajadores correspondientes al ejercicio.</t>
  </si>
  <si>
    <t>IX. Reservas por indemnizaciones.</t>
  </si>
  <si>
    <t>Las reservas que se creen para indemnizaciones al personal, para pagos de antigüedad o cualquier otra de naturaleza análoga, con excepción de las que se constituyan en los términos de esta Ley.</t>
  </si>
  <si>
    <t>X. Primas o sobreprecio por reembolso de acciones.</t>
  </si>
  <si>
    <t>Las primas o sobreprecio sobre el valor nominal que el contribuyente pague por el reembolso de las acciones que emita.</t>
  </si>
  <si>
    <t>XI. Pérdida por enajenación de bienes, caso fortuito o fuerza mayor.</t>
  </si>
  <si>
    <t>Las pérdidas por caso fortuito, fuerza mayor o por enajenación de bienes, cuando el valor de adquisición de los mismos no corresponda al de mercado en el momento en que se adquirieron dichos bienes por el enajenante.</t>
  </si>
  <si>
    <t>XII.  Crédito comercial</t>
  </si>
  <si>
    <t>El crédito comercial, aun cuando sea adquirido de terceros.</t>
  </si>
  <si>
    <t>XIII.  Uso o goce temporal de aviones, embarcaciones, automóviles.</t>
  </si>
  <si>
    <t>Los pagos por el uso o goce temporal de aviones y embarcaciones, que no tengan concesión o permiso del Gobierno Federal para ser explotados comercialmente.</t>
  </si>
  <si>
    <t>Tratándose de pagos por el uso o goce temporal de casas habitación, sólo serán deducibles en los casos en que reúnan los requisitos que señale el Reglamento de esta Ley. Las casas de recreo, en ningún caso serán deducibles.</t>
  </si>
  <si>
    <t>Tratándose de automóviles, sólo serán deducibles los pagos efectuados por el uso o goce temporal de automóviles hasta por un monto que no exceda de $200.00, diarios por automóvil o $285.00, diarios por automóvil cuya propulsión sea a través de baterías eléctricas recargables, así como por automóviles eléctricos que además cuenten con motor de combustión interna o con motor accionado por hidrógeno, siempre que además de cumplir con los requisitos que para la deducción de automóviles establece la fracción II del artículo 36 de esta Ley, los mismos sean estrictamente indispensables para la actividad del contribuyente. Lo dispuesto en este párrafo no será aplicable tratándose de arrendadoras, siempre que los destinen exclusivamente al arrendamiento durante todo el periodo en el que le sea otorgado su uso o goce temporal.</t>
  </si>
  <si>
    <t>XIV. Pérdida de inversiones no deducibles.</t>
  </si>
  <si>
    <t>Las pérdidas derivadas de la enajenación, así como por caso fortuito o fuerza mayor, de los activos cuya inversión no es deducible conforme a lo dispuesto por esta Ley.</t>
  </si>
  <si>
    <t>Tratándose de aviones, las pérdidas derivadas de su enajenación, así como por caso fortuito o fuerza mayor, sólo serán deducibles en la parte proporcional en la que se haya podido deducir el monto original de la inversión. La pérdida se determinará conforme a lo dispuesto por el artículo 31 de esta Ley.</t>
  </si>
  <si>
    <t>XV. IVA e IEPS</t>
  </si>
  <si>
    <t>Los pagos por concepto de impuesto al valor agregado o del impuesto especial sobre producción y servicios, que el contribuyente hubiese efectuado y el que le hubieran trasladado. No se aplicará lo dispuesto en esta fracción, cuando el contribuyente no tenga derecho a acreditar los mencionados impuestos que le hubieran sido trasladados o que hubiese pagado con motivo de la importación de bienes o servicios, que correspondan a gastos o inversiones deducibles en los términos de esta Ley.</t>
  </si>
  <si>
    <t>Tampoco será deducible el impuesto al valor agregado ni el impuesto especial sobre producción y servicios, que le hubieran trasladado al contribuyente ni el que hubiese pagado con motivo de la importación de bienes o servicios, cuando la erogación que dio origen al traslado o al pago no sea deducible en los términos de esta Ley.</t>
  </si>
  <si>
    <t>XVI. Pérdidas por fusión de sociedades.</t>
  </si>
  <si>
    <t>Las pérdidas que deriven de fusión, de reducción de capital o de liquidación de sociedades, en las que el contribuyente hubiera adquirido acciones, partes sociales o certificados de aportación patrimonial de las sociedades nacionales de crédito.</t>
  </si>
  <si>
    <t>XVII. Pérdida por enajenación de acciones.</t>
  </si>
  <si>
    <t>Las pérdidas que provengan de la enajenación de acciones y de otros títulos valor cuyo rendimiento no sea interés en los términos del artículo 8 de esta Ley. Tampoco serán deducibles las pérdidas financieras que provengan de operaciones financieras derivadas de capital referidas a acciones o índices accionarios.</t>
  </si>
  <si>
    <t>XVIII.  Gastos del extranjero a prorrata.</t>
  </si>
  <si>
    <t>Los gastos que se hagan en el extranjero a prorrata con quienes no sean contribuyentes del impuesto sobre la renta en los términos de los Títulos II o IV de esta Ley.</t>
  </si>
  <si>
    <t>XIX. Pérdidas en operaciones financieras derivadas.</t>
  </si>
  <si>
    <t>Las pérdidas que se obtengan en las operaciones financieras derivadas y en las operaciones a las que se refiere el artículo 21 de esta Ley, cuando se celebren con personas físicas o morales residentes en México o en el extranjero, que sean partes relacionadas en los términos del artículo 179 de esta Ley, cuando los términos convenidos no correspondan a los que se hubieren pactado con o entre partes independientes en operaciones comparables.</t>
  </si>
  <si>
    <t>Artículo 28 LISR</t>
  </si>
  <si>
    <t>NO DEDUCIBLES</t>
  </si>
  <si>
    <t>XX. Consumo en restaurantes.</t>
  </si>
  <si>
    <t>El 91.5% de los consumos en restaurantes. Para que proceda la deducción de la diferencia, el pago deberá hacerse invariablemente mediante tarjeta de crédito, de débito o de servicios, o a través de los monederos electrónicos que al efecto autorice el Servicio de Administración Tributaria. Serán deducibles al 100% los consumos en restaurantes que reúnan los requisitos de la fracción V de este artículo sin que se excedan los límites establecidos en dicha fracción. En ningún caso los consumos en bares serán deducibles.</t>
  </si>
  <si>
    <t>XXI. Gastos en comedores que no se encuentren a disposición de todos los trabajadores.</t>
  </si>
  <si>
    <t>Los gastos en comedores que por su naturaleza no estén a disposición de todos los trabajadores de la empresa y aun cuando lo estén, éstos excedan de un monto equivalente a un salario mínimo general diario del área geográfica del contribuyente por cada trabajador que haga uso de los mismos y por cada día en que se preste el servicio, adicionado con las cuotas de recuperación que pague el trabajador por este concepto.</t>
  </si>
  <si>
    <t>El límite que establece esta fracción no incluye los gastos relacionados con la prestación del servicio de comedor como son, el mantenimiento de laboratorios o especialistas que estudien la calidad e idoneidad de los alimentos servidos en los comedores a que se refiere el párrafo anterior.</t>
  </si>
  <si>
    <t>XXII. Pagos por servicios aduaneros.</t>
  </si>
  <si>
    <t>Los pagos por servicios aduaneros, distintos de los honorarios de agentes aduanales y de los gastos en que incurran dichos agentes o la persona moral constituida por dichos agentes aduanales en los términos de la Ley Aduanera.</t>
  </si>
  <si>
    <t>XXIII.  Pagos realizados a partes relacionadas en ingresos sujetos a regímenes fiscales preferentes.</t>
  </si>
  <si>
    <t>Los pagos realizados a partes relacionadas o a través de un acuerdo estructurado, cuando los ingresos de su contraparte estén sujetos a regímenes fiscales preferentes.</t>
  </si>
  <si>
    <t>XXIV.  Pagos de cantidades iniciales.</t>
  </si>
  <si>
    <t>Los pagos de cantidades iniciales por el derecho de adquirir o vender, bienes, divisas, acciones u otros títulos valor que no coticen en mercados reconocidos, de acuerdo con lo establecido por el artículo 16-C del Código Fiscal de la Federación, y que no se hubiera ejercido, siempre que se trate de partes contratantes que sean relacionadas en los términos del artículo 179 de esta Ley.</t>
  </si>
  <si>
    <t>XXV. Restitución.</t>
  </si>
  <si>
    <t>La restitución efectuada por el prestatario por un monto equivalente a los derechos patrimoniales de los títulos recibidos en préstamo, cuando dichos derechos sean cobrados por los prestatarios de los títulos.</t>
  </si>
  <si>
    <t>XXVI. PTU pagada</t>
  </si>
  <si>
    <t>Las cantidades que tengan el carácter de participación en la utilidad del contribuyente o estén condicionadas a la obtención de ésta, ya sea que correspondan a trabajadores, a miembros del consejo de administración, a obligacionistas o a otros.</t>
  </si>
  <si>
    <t>XXVII. Intereses que deriven del monto de la duda.</t>
  </si>
  <si>
    <t>Los intereses que deriven del monto de las deudas del contribuyente que excedan del triple de su capital contable que provengan de deudas contraídas con partes relacionadas residentes en el extranjero en los términos del artículo 179 de esta Ley.</t>
  </si>
  <si>
    <t>XXVIII. Anticipos distintos de gastos.</t>
  </si>
  <si>
    <t>Los anticipos por las adquisiciones de las mercancías, materias primas, productos semiterminados y terminados o por los gastos relacionados directa o indirectamente con la producción o la prestación de servicios a que se refiere el artículo 39 de esta Ley. Dichos anticipos tampoco formarán parte del costo de lo vendido a que se refiere la fracción II del artículo 25 de esta Ley.</t>
  </si>
  <si>
    <t>Para los efectos de esta fracción, el monto total de las adquisiciones o de los gastos, se deducirán en los términos de la Sección III del Título II de esta Ley, siempre que se cuente con el comprobante fiscal que ampare la totalidad de la operación por la que se efectuó el anticipo.</t>
  </si>
  <si>
    <t>XXIX. Pagos que sean deducibles para miembros de un mismo grupo.</t>
  </si>
  <si>
    <t>Los pagos que efectúe el contribuyente que también sean deducibles para un miembro del mismo grupo, o para el mismo contribuyente en un país o jurisdicción en donde también sea considerado residente fiscal. Si el contribuyente es un residente en el extranjero con establecimiento permanente en territorio nacional, esta fracción también será aplicable cuando el pago sea deducible para el residente en el extranjero en su país o jurisdicción de residencia fiscal.</t>
  </si>
  <si>
    <t>XXX. Ingresos exentos de los trabajadores.</t>
  </si>
  <si>
    <t>Los pagos que a su vez sean ingresos exentos para el trabajador, hasta por la cantidad que resulte de aplicar el factor de 0.53 al monto de dichos pagos. El factor a que se refiere este párrafo será del 0.47 cuando las prestaciones otorgadas por los contribuyentes a favor de sus trabajadores que a su vez sean ingresos exentos para dichos trabajadores, en el ejercicio de que se trate, no disminuyan respecto de las otorgadas en el ejercicio fiscal inmediato anterior.</t>
  </si>
  <si>
    <t>XXXI.- Derogado</t>
  </si>
  <si>
    <t>XXXII. Intereses netos del ejercicio</t>
  </si>
  <si>
    <t>Los intereses netos del ejercicio que excedan del monto que resulte de multiplicar la utilidad fiscal ajustada por el 30%.</t>
  </si>
  <si>
    <t>XXXIII.- Subcontratación de personal.</t>
  </si>
  <si>
    <t>Los pagos que se realicen en los supuestos señalados en el artículo 15-D, primer y segundo párrafos del Código Fiscal de la Federación.</t>
  </si>
  <si>
    <t>(-) Importe de las partidas no deducibles (artículo 28 LISR excepto, fracciones VIII y IX )</t>
  </si>
  <si>
    <t>Dividendo o utilidad distribuido por la sociedad residente en el extranjero a la persona moral residente en México sin disminuir la retención o pago del impuesto sobre la renta que en su caso se haya efectuado por su distribución.</t>
  </si>
  <si>
    <t>Monto proporcional del impuesto sobre la renta pagado en el extranjero en primer nivel corporativo, referido en los párrafos segundo y tercero del artículo 5 de esta Ley.</t>
  </si>
  <si>
    <t>Monto proporcional del impuesto sobre la renta pagado en el extranjero en segundo nivel corporativo, referido en los párrafos cuarto y quinto del artículo 5 de esta Ley.</t>
  </si>
  <si>
    <t>Dividendo o utilidad distribuido por la sociedad residente en el extranjero a la persona moral residente en México disminuido con la retención o pago del impuesto sobre la renta que en su caso se haya efectuado por su distribución.</t>
  </si>
  <si>
    <t>Impuestos acreditables conforme al primer, segundo y cuarto párrafos del artículo 5 de esta Ley que correspondan al ingreso que se acumuló tanto por el dividendo percibido como por sus montos proporcionales.</t>
  </si>
  <si>
    <t>Monto a restar de la cantidad obtenida conforme al tercer párrafo de este artículo</t>
  </si>
  <si>
    <t>MRU</t>
  </si>
  <si>
    <r>
      <rPr>
        <b/>
        <sz val="12"/>
        <color theme="1"/>
        <rFont val="Aptos Narrow"/>
        <family val="2"/>
        <scheme val="minor"/>
      </rPr>
      <t>MRU</t>
    </r>
    <r>
      <rPr>
        <sz val="12"/>
        <color theme="1"/>
        <rFont val="Aptos Narrow"/>
        <family val="2"/>
        <scheme val="minor"/>
      </rPr>
      <t xml:space="preserve">  </t>
    </r>
  </si>
  <si>
    <t>D</t>
  </si>
  <si>
    <t>MPI</t>
  </si>
  <si>
    <t>DN</t>
  </si>
  <si>
    <t>AC</t>
  </si>
  <si>
    <t>Utilidad que sirvió de base para repartir los dividendos, después del pago del impuesto sobre la renta en primer nivel corporativo, obtenida por la sociedad residente en el extranjero que distribuye dividendos a la persona moral residente en México.</t>
  </si>
  <si>
    <t>Impuesto sobre la renta corporativo pagado en el extranjero por la sociedad residente en el extranjero que distribuyó dividendos a la persona moral residente en México.</t>
  </si>
  <si>
    <t>Monto proporcional del impuesto sobre la renta pagado en el extranjero por la sociedad residente en el extranjero en primer nivel corporativo que distribuye dividendos o utilidades de manera directa a la persona moral residente en México.</t>
  </si>
  <si>
    <t>U</t>
  </si>
  <si>
    <t>IC</t>
  </si>
  <si>
    <t>②</t>
  </si>
  <si>
    <t>Monto proporcional del impuesto sobre la renta pagado en el extranjero por la sociedad residente en el extranjero en segundo nivel corporativo, que distribuye dividendos o utilidades a la otra sociedad extranjera en primer nivel corporativo, que a su vez distribuye dividendos o utilidades a la persona moral residente en México.</t>
  </si>
  <si>
    <t>Dividendo o utilidad distribuida por la sociedad residente en el extranjero a la sociedad residente en el extranjero que distribuye dividendos a la persona moral residente en México, sin disminuir la retención o pago del impuesto sobre la renta que en su caso se haya efectuado por la primera distribución.</t>
  </si>
  <si>
    <t>Utilidad que sirvió de base para repartir los dividendos después del pago del impuesto sobre la renta en segundo nivel corporativo, obtenida por la sociedad residente en el extranjero que distribuye dividendos a la otra sociedad residente en el extranjero que distribuye dividendos a la persona moral residente en México.</t>
  </si>
  <si>
    <t>Impuesto sobre la renta corporativo pagado en el extranjero por la sociedad residente en el extranjero que distribuyó dividendos a la otra sociedad residente en el extranjero que distribuye dividendos a la persona moral residente en México.</t>
  </si>
  <si>
    <r>
      <t>MPI</t>
    </r>
    <r>
      <rPr>
        <b/>
        <sz val="11"/>
        <color theme="1"/>
        <rFont val="Calibri"/>
        <family val="2"/>
      </rPr>
      <t>₂</t>
    </r>
  </si>
  <si>
    <r>
      <t>D</t>
    </r>
    <r>
      <rPr>
        <b/>
        <sz val="11"/>
        <color theme="1"/>
        <rFont val="Calibri"/>
        <family val="2"/>
      </rPr>
      <t>₂</t>
    </r>
  </si>
  <si>
    <r>
      <t>U</t>
    </r>
    <r>
      <rPr>
        <b/>
        <sz val="11"/>
        <color theme="1"/>
        <rFont val="Calibri"/>
        <family val="2"/>
      </rPr>
      <t>₂</t>
    </r>
  </si>
  <si>
    <r>
      <t>IC</t>
    </r>
    <r>
      <rPr>
        <b/>
        <sz val="11"/>
        <color theme="1"/>
        <rFont val="Calibri"/>
        <family val="2"/>
      </rPr>
      <t>₂</t>
    </r>
  </si>
  <si>
    <t>❸</t>
  </si>
  <si>
    <t>Diferencia a disminuir de saldo de CUFIN de ejercicios anteriores actualizado</t>
  </si>
  <si>
    <t>UFIN negativa de ejercicios anteriores no disminuida</t>
  </si>
  <si>
    <t>Ejercicio en que se determino</t>
  </si>
  <si>
    <t>Ejercicio en que se disminuye</t>
  </si>
  <si>
    <t>Saldo de la Cuenta de Utilidad Fiscal Neta</t>
  </si>
  <si>
    <t>CUFIN a actualizar</t>
  </si>
  <si>
    <t>Fecha en que se actualizo x última vez</t>
  </si>
  <si>
    <t>295/CFF Solicitud de modificación o incorporación de socios, accionistas, asociados y demás personas que forman parte de la estructura orgánica de una persona moral, así como de aquéllas que tengan control, influencia significativa, poder de mando y de representantes legales.</t>
  </si>
  <si>
    <t>Descripción del trámite o servicio</t>
  </si>
  <si>
    <t>Monto</t>
  </si>
  <si>
    <t>Actualiza la información de tus socios, accionistas, asociados y demás personas, cualquiera que sea el nombre con el que se les designe, que por su naturaleza formen parte de la estructura orgánica y que ostenten dicho carácter conforme a los estatutos o legislación bajo la cual se constituyen, así como de representantes legales. Si eres una sociedad cuyas acciones están colocadas entre el gran público inversionista deberás actualizar la información de las personas que tengan control, influencia significativa o poder de mando, así como los nombres de los representantes comunes, su clave en el RFC y el porcentaje que representan respecto del total de acciones que ha emitido, o en su caso, presenta la relación actualizada de socios de sociedades cooperativas de producción dedicadas exclusivamente a actividades pesqueras o silvícolas que cuenten con concesión o permiso del Gobierno Federal para explotar los recursos marinos o silvícolas.</t>
  </si>
  <si>
    <t>Pago de derechos</t>
  </si>
  <si>
    <t>¿Quién puede solicitar el trámite o servicio?</t>
  </si>
  <si>
    <t>¿Cuándo se presenta?</t>
  </si>
  <si>
    <t>Dentro de los treinta días siguientes a aquel en que se llevó a cabo la modificación o incorporación de los socios, accionistas, asociados y demás personas que forman parte de la estructura orgánica de la persona moral, así como de aquellas personas que tengan control, influencia significativa o poder de mando y de los representantes comunes de las acciones que ha emitido la persona moral presentarán la solicitud.</t>
  </si>
  <si>
    <t>Para la modificación o incorporación de representantes legales, cuando se requiera.</t>
  </si>
  <si>
    <t>¿Dónde puedo presentarlo?</t>
  </si>
  <si>
    <t>INFORMACIÓN PARA REALIZAR EL TRÁMITE O SERVICIO</t>
  </si>
  <si>
    <t>¿Qué tengo que hacer para realizar el trámite o servicio?</t>
  </si>
  <si>
    <t>3. Selecciona el tipo de trámite: “Aviso Socios y Accionistas (ficha 295/CFF)”, “Actualización de Representantes Legales (ficha 295/CFF)”, “Aviso Representante Legal PI (6/LA, 7/LA, 141/LA y 142/ LA)” o “Relación socios Sociedades Cooperativas Pes o Silvi (regla 1.16. RFA)”, según corresponda.</t>
  </si>
  <si>
    <t>4. Llena los datos solicitados en el formulario y confirma la información.</t>
  </si>
  <si>
    <t xml:space="preserve">6. Firma el trámite por parte del Contribuyente autenticado. </t>
  </si>
  <si>
    <t xml:space="preserve">Para las sociedades cuyas acciones están colocadas entre el gran público inversionista, la modificación o incorporación la deberás realizar de conformidad con lo siguiente: </t>
  </si>
  <si>
    <t>3. Requisita el formulario conforme a lo siguiente:</t>
  </si>
  <si>
    <t>5. Consulta tu caso dentro de los seis días siguientes a la fecha en que se ingresó, para conocer la respuesta que la autoridad emitió, o bien, para conocer si la autoridad solicitó información adicional; en dicha situación contarás con diez días para entregarla, si excedes ese plazo es necesario ingresar nuevamente tu solicitud.</t>
  </si>
  <si>
    <t>¿Qué requisitos debo cumplir?</t>
  </si>
  <si>
    <t>Archivo digitalizado en formato PDF que contenga:</t>
  </si>
  <si>
    <t>Para la actualización de representantes legales:</t>
  </si>
  <si>
    <t>Para el caso de modificación o incorporación de socios, accionistas, asociados y demás personas que forman parte de la estructura orgánica de una persona moral, así como de aquéllas que tengan control, influencia significativa o poder de mando:</t>
  </si>
  <si>
    <t>¿Con qué condiciones debo cumplir?</t>
  </si>
  <si>
    <t>SEGUIMIENTO Y RESOLUCIÓN DEL TRÁMITE O SERVICIO</t>
  </si>
  <si>
    <t>¿Cómo puedo dar seguimiento al trámite o servicio?</t>
  </si>
  <si>
    <t>¿El SAT llevará a cabo alguna inspección o verificación para emitir la resolución de este trámite o servicio?</t>
  </si>
  <si>
    <t>No.</t>
  </si>
  <si>
    <t>Resolución del trámite o servicio</t>
  </si>
  <si>
    <t>La autoridad validará tu información, si es procedente la solicitud se actualiza la relación de socios o accionistas, personas que tengan control, influencia significativa o poder de mando, así como los nombres de los representantes comunes de la persona moral y obtienes Acuse de respuesta.</t>
  </si>
  <si>
    <t>Plazo máximo para que el SAT resuelva el trámite o servicio</t>
  </si>
  <si>
    <t>Plazo máximo para que el SAT solicite información adicional</t>
  </si>
  <si>
    <t>Plazo máximo para cumplir con la información solicitada</t>
  </si>
  <si>
    <t>10 días.</t>
  </si>
  <si>
    <t>No aplica.</t>
  </si>
  <si>
    <t>¿Qué documento obtengo al finalizar el trámite o servicio?</t>
  </si>
  <si>
    <t>¿Cuál es la vigencia del trámite o servicio?</t>
  </si>
  <si>
    <t>Acuse de respuesta.</t>
  </si>
  <si>
    <t>Vigente hasta que cambie la estructura orgánica del contribuyente persona moral y presente una nueva modificación o incorporación de los socios, accionistas, asociados y demás personas que forman parte de la estructura orgánica de la persona moral, así como los que tienen control, influencia significativa o poder de mando, así como a los representantes comunes de las acciones que ha emitido la persona moral.</t>
  </si>
  <si>
    <t>CANALES DE ATENCIÓN</t>
  </si>
  <si>
    <t>Consultas y dudas</t>
  </si>
  <si>
    <t>Quejas y denuncias</t>
  </si>
  <si>
    <t>Atención telefónica: desde cualquier parte del país 55 627 22 728 y para el exterior del país (+52) 55 627 22 728.</t>
  </si>
  <si>
    <t>Información adicional</t>
  </si>
  <si>
    <t>Fundamento jurídico</t>
  </si>
  <si>
    <r>
      <t>Costo:</t>
    </r>
    <r>
      <rPr>
        <sz val="11"/>
        <color theme="1"/>
        <rFont val="Arial"/>
        <family val="2"/>
      </rPr>
      <t xml:space="preserve"> </t>
    </r>
  </si>
  <si>
    <r>
      <t xml:space="preserve">4. Da clic en el botón </t>
    </r>
    <r>
      <rPr>
        <b/>
        <sz val="11"/>
        <color theme="1"/>
        <rFont val="Arial"/>
        <family val="2"/>
      </rPr>
      <t>Enviar</t>
    </r>
    <r>
      <rPr>
        <sz val="11"/>
        <color theme="1"/>
        <rFont val="Arial"/>
        <family val="2"/>
      </rPr>
      <t xml:space="preserve">, se genera el Acuse de recepción que contiene el folio del trámite con el que puedes dar seguimiento a tu aviso, imprímelo o guárdalo. </t>
    </r>
  </si>
  <si>
    <t>Reembolso total</t>
  </si>
  <si>
    <t>Reembolso por acción</t>
  </si>
  <si>
    <t>(/) Acciones por reembolsar</t>
  </si>
  <si>
    <t>Saldo de la CUCA a la fecha de pago</t>
  </si>
  <si>
    <t>(/) Total de acciones</t>
  </si>
  <si>
    <t>(=) CUCA por acción</t>
  </si>
  <si>
    <t>(-) CUCA por acción</t>
  </si>
  <si>
    <t>(=) Resultado</t>
  </si>
  <si>
    <t>(x) Acciones a reembolsar</t>
  </si>
  <si>
    <t>(=) Utilidad distribuida gravable</t>
  </si>
  <si>
    <t>Saldo de la CUFIN a la fecha de pago</t>
  </si>
  <si>
    <t>(=) CUFIN por acción</t>
  </si>
  <si>
    <t>(x) Acciones por reembolsar</t>
  </si>
  <si>
    <t>(-) CUFIN por acción</t>
  </si>
  <si>
    <t>(=) CUFIN por acción a reembolsar</t>
  </si>
  <si>
    <t>(=) Utilidad distribuida gravable que no proviene de CUFIN</t>
  </si>
  <si>
    <t>(=) Utilidad distribuida gravable + ISR</t>
  </si>
  <si>
    <t>(x) Tasa de ISR artículo 9 LISR</t>
  </si>
  <si>
    <t>Capital contable según el estado de posición financiera aprobado por la asamblea de accionistas para fines de dicha disminución</t>
  </si>
  <si>
    <t>(-) Saldo de la CUCA a la fecha de la reducción</t>
  </si>
  <si>
    <t>③</t>
  </si>
  <si>
    <t>(=) Utilidad distribuida máxima</t>
  </si>
  <si>
    <t>④</t>
  </si>
  <si>
    <r>
      <rPr>
        <b/>
        <sz val="11"/>
        <color rgb="FF0033CC"/>
        <rFont val="Aptos Narrow"/>
        <family val="2"/>
        <scheme val="minor"/>
      </rPr>
      <t>Artículo 78 LISR</t>
    </r>
    <r>
      <rPr>
        <sz val="11"/>
        <color rgb="FF0033CC"/>
        <rFont val="Aptos Narrow"/>
        <family val="2"/>
        <scheme val="minor"/>
      </rPr>
      <t>. Las personas morales residentes en México que reduzcan su capital determinarán la utilidad distribuida, conforme a lo siguiente:
II.	Las personas morales que reduzcan su capital, adicionalmente, considerarán dicha reducción como utilidad distribuida hasta por la cantidad que resulte de restar al capital contable según el estado de posición financiera aprobado por la asamblea de accionistas para fines de dicha disminución, el saldo de la cuenta de capital de aportación que se tenga a la fecha en que se efectúe la reducción referida cuando éste sea menor.</t>
    </r>
  </si>
  <si>
    <t>(=) Utilidad distribuida gravable para efectos de la fracción II</t>
  </si>
  <si>
    <t>⑤</t>
  </si>
  <si>
    <t>(-) Saldo de la CUFIN despues de aplicar la fracción I</t>
  </si>
  <si>
    <t>⑥</t>
  </si>
  <si>
    <t>(=) Utilidad distribuida gravable que no proviene de la CUFIN</t>
  </si>
  <si>
    <t>(=) ISR utilidad distribuida fracción I artículo 78 LISR</t>
  </si>
  <si>
    <t>ISR por reducción de capital</t>
  </si>
  <si>
    <t>(=) ISR utilidad distribuida fracción II artículo 78 LISR</t>
  </si>
  <si>
    <t>ISR utilidad distribuida fracción I artículo 78 LISR</t>
  </si>
  <si>
    <t>(=) ISR por reducción de capital</t>
  </si>
  <si>
    <t>⑦</t>
  </si>
  <si>
    <t>⑧</t>
  </si>
  <si>
    <r>
      <rPr>
        <b/>
        <sz val="11"/>
        <color rgb="FF0033CC"/>
        <rFont val="Aptos Narrow"/>
        <family val="2"/>
        <scheme val="minor"/>
      </rPr>
      <t>Ley General de Sociedades Mercantiles
Artículo 9o</t>
    </r>
    <r>
      <rPr>
        <sz val="11"/>
        <color rgb="FF0033CC"/>
        <rFont val="Aptos Narrow"/>
        <family val="2"/>
        <scheme val="minor"/>
      </rPr>
      <t>.- Toda sociedad podrá aumentar o disminuir su capital, observando, según su naturaleza, los requisitos que exige esta Ley.
La reducción del capital social, efectuada mediante reembolso a los socios o liberación concedida a éstos de exhibiciones no realizadas, se publicará en el sistema electrónico establecido por la Secretaría de Economía.
Párrafo reformado DOF 13-06-2014
Los acreedores de la sociedad, separada o conjuntamente, podrán oponerse ante la autoridad judicial a dicha reducción, desde el día en que se haya tomado la decisión por la sociedad, hasta cinco días después de la última publicación.
La oposición se tramitará en la vía sumaria, suspendiéndose la reducción entre tanto la sociedad no pague los créditos de los opositores, o no los garantice a satisfacción del Juez que conozca del asunto, o hasta que cause ejecutoria la sentencia que declare que la oposición es infundada.</t>
    </r>
  </si>
  <si>
    <t>Determinación de la utilidad neta del ejercicio</t>
  </si>
  <si>
    <r>
      <rPr>
        <b/>
        <sz val="12"/>
        <color theme="0"/>
        <rFont val="Aptos Narrow"/>
        <family val="2"/>
        <scheme val="minor"/>
      </rPr>
      <t>Artículo 20 LGSM</t>
    </r>
    <r>
      <rPr>
        <sz val="12"/>
        <color theme="0"/>
        <rFont val="Aptos Narrow"/>
        <family val="2"/>
        <scheme val="minor"/>
      </rPr>
      <t>.- Salvo por la sociedad por acciones simplificada, de las utilidades netas de toda sociedad, deberá separarse anualmente el cinco por ciento, como mínimo, para formar el fondo de reserva, hasta que importe la quinta parte del capital social.
El fondo de reserva deberá ser reconstituido de la misma manera cuando disminuya por cualquier motivo.</t>
    </r>
  </si>
  <si>
    <r>
      <rPr>
        <b/>
        <sz val="12"/>
        <color theme="0"/>
        <rFont val="Aptos Narrow"/>
        <family val="2"/>
        <scheme val="minor"/>
      </rPr>
      <t>Artículo 19 LGSM</t>
    </r>
    <r>
      <rPr>
        <sz val="12"/>
        <color theme="0"/>
        <rFont val="Aptos Narrow"/>
        <family val="2"/>
        <scheme val="minor"/>
      </rPr>
      <t>.- La distribución de utilidades sólo podrá hacerse después de que hayan sido debidamente aprobados por la asamblea de socios o accionistas los estados financieros que las arrojen. Tampoco podrá hacerse distribución de utilidades mientras no hayan sido restituidas o absorbidas mediante aplicación de otras partidas del patrimonio, las pérdidas sufridas en uno o varios ejercicios anteriores, o haya sido reducido el capital social. Cualquiera estipulación en contrario no producirá efecto legal, y tanto la sociedad como sus acreedores podrán repetir por los anticipos o reparticiones de utilidades hechas en contravención de este artículo, contra las personas que las hayan recibido, o exigir su reembolso a los administradores que las hayan pagado, siendo unas y otros mancomunada y solidariamente responsables de dichos anticipos y reparticiones.</t>
    </r>
  </si>
  <si>
    <r>
      <rPr>
        <b/>
        <sz val="12"/>
        <color theme="0"/>
        <rFont val="Aptos Narrow"/>
        <family val="2"/>
        <scheme val="minor"/>
      </rPr>
      <t>Artículo 10 cuarto párrafo LISR</t>
    </r>
    <r>
      <rPr>
        <sz val="12"/>
        <color theme="0"/>
        <rFont val="Aptos Narrow"/>
        <family val="2"/>
        <scheme val="minor"/>
      </rPr>
      <t xml:space="preserve">
El impuesto a que se refiere este artículo, se pagará además del impuesto del ejercicio a que se refiere el artículo 9 de esta Ley, tendrá el carácter de pago definitivo y se enterará ante las oficinas autorizadas, a más tardar el día 17 del mes inmediato siguiente a aquél en el que se pagaron los dividendos o utilidades.</t>
    </r>
  </si>
  <si>
    <r>
      <rPr>
        <b/>
        <sz val="12"/>
        <color theme="0"/>
        <rFont val="Aptos Narrow"/>
        <family val="2"/>
        <scheme val="minor"/>
      </rPr>
      <t>Artículo 10 tercer párrafo LISR</t>
    </r>
    <r>
      <rPr>
        <sz val="12"/>
        <color theme="0"/>
        <rFont val="Aptos Narrow"/>
        <family val="2"/>
        <scheme val="minor"/>
      </rPr>
      <t xml:space="preserve">
</t>
    </r>
    <r>
      <rPr>
        <b/>
        <sz val="12"/>
        <color theme="0"/>
        <rFont val="Aptos Narrow"/>
        <family val="2"/>
        <scheme val="minor"/>
      </rPr>
      <t>No se estará obligado al pago del impuesto a que se refiere este artículo cuando los dividendos o utilidades provengan de la cuenta de utilidad fiscal neta que establece la presente Ley.</t>
    </r>
    <r>
      <rPr>
        <sz val="12"/>
        <color theme="0"/>
        <rFont val="Aptos Narrow"/>
        <family val="2"/>
        <scheme val="minor"/>
      </rPr>
      <t xml:space="preserve">
</t>
    </r>
    <r>
      <rPr>
        <b/>
        <sz val="12"/>
        <color theme="0"/>
        <rFont val="Aptos Narrow"/>
        <family val="2"/>
        <scheme val="minor"/>
      </rPr>
      <t>Quinto párafo</t>
    </r>
    <r>
      <rPr>
        <sz val="12"/>
        <color theme="0"/>
        <rFont val="Aptos Narrow"/>
        <family val="2"/>
        <scheme val="minor"/>
      </rPr>
      <t xml:space="preserve">
Cuando los contribuyentes a que se refiere este artículo distribuyan dividendos o utilidades y como consecuencia de ello paguen el impuesto que establece este artículo, podrán acreditar dicho impuesto de acuerdo a lo siguiente:
I.	El acreditamiento únicamente podrá efectuarse contra el impuesto sobre la renta del ejercicio que resulte a cargo de la persona moral en el ejercicio en el que se pague el impuesto a que se refiere este artículo.
	El monto del impuesto que no se pueda acreditar conforme al párrafo anterior, se podrá acreditar hasta en los dos ejercicios inmediatos siguientes contra el impuesto del ejercicio y contra los pagos provisionales de los mismos. Cuando el impuesto del ejercicio sea menor que el monto que se hubiese acreditado en los pagos provisionales, únicamente se considerará acreditable contra el impuesto del ejercicio un monto igual a este último.
	Cuando el contribuyente no acredite en un ejercicio el impuesto a que se refiere el cuarto párrafo de este artículo, pudiendo haberlo hecho conforme al mismo, perderá el derecho a hacerlo en los ejercicios posteriores hasta por la cantidad en la que pudo haberlo efectuado.
II.	Para los efectos del artículo 77 de esta Ley, en el ejercicio en el que acrediten el impuesto conforme a la fracción anterior, los contribuyentes deberán disminuir de la utilidad fiscal neta calculada en los términos de dicho precepto, la cantidad que resulte de dividir el impuesto acreditado entre el factor 0.4286.</t>
    </r>
  </si>
  <si>
    <r>
      <rPr>
        <b/>
        <sz val="11"/>
        <color theme="0"/>
        <rFont val="Aptos Narrow"/>
        <family val="2"/>
        <scheme val="minor"/>
      </rPr>
      <t>Artículo 5 segundo párrafo LISR</t>
    </r>
    <r>
      <rPr>
        <sz val="11"/>
        <color theme="0"/>
        <rFont val="Aptos Narrow"/>
        <family val="2"/>
        <scheme val="minor"/>
      </rPr>
      <t xml:space="preserve">
Tratándose de ingresos por dividendos o utilidades distribuidos por sociedades residentes en el extranjero a personas morales residentes en México, también se podrá acreditar el monto proporcional del impuesto sobre la renta pagado por dichas sociedades que corresponda al dividendo o utilidad percibido por el residente en México. Quien efectúe el acreditamiento a que se refiere este párrafo considerará como ingreso acumulable, además del dividendo o utilidad percibido, sin disminuir la retención o pago del impuesto sobre la renta que en su caso se haya efectuado por su distribución, el monto proporcional del impuesto sobre la renta corporativo pagado por la sociedad, correspondiente al dividendo o utilidad percibido por el residente en México, aun cuando el acreditamiento del monto proporcional del impuesto se limite en términos del párrafo séptimo de este artículo. El acreditamiento a que se refiere este párrafo sólo procederá cuando la persona moral residente en México sea propietaria de cuando menos el diez por ciento del capital social de la sociedad residente en el extranjero, al menos durante los seis meses anteriores a la fecha en que se pague el dividendo o utilidad de que se trate.
</t>
    </r>
    <r>
      <rPr>
        <b/>
        <sz val="11"/>
        <color theme="0"/>
        <rFont val="Aptos Narrow"/>
        <family val="2"/>
        <scheme val="minor"/>
      </rPr>
      <t>Tercer párrafo</t>
    </r>
    <r>
      <rPr>
        <sz val="11"/>
        <color theme="0"/>
        <rFont val="Aptos Narrow"/>
        <family val="2"/>
        <scheme val="minor"/>
      </rPr>
      <t xml:space="preserve">
Para los efectos del párrafo anterior, el monto proporcional del impuesto sobre la renta pagado en el extranjero por la sociedad residente en otro país correspondiente al dividendo o utilidad percibido por la persona moral residente en México, se obtendrá aplicando la siguiente fórmula:</t>
    </r>
  </si>
  <si>
    <r>
      <rPr>
        <b/>
        <sz val="11"/>
        <color theme="0"/>
        <rFont val="Aptos Narrow"/>
        <family val="2"/>
        <scheme val="minor"/>
      </rPr>
      <t>Artículo 5 cuarto párrafo</t>
    </r>
    <r>
      <rPr>
        <sz val="11"/>
        <color theme="0"/>
        <rFont val="Aptos Narrow"/>
        <family val="2"/>
        <scheme val="minor"/>
      </rPr>
      <t xml:space="preserve">
Adicionalmente a lo previsto en los párrafos anteriores, se podrá acreditar el monto proporcional del impuesto sobre la renta pagado por la sociedad residente en el extranjero que distribuya dividendos a otra sociedad residente en el extranjero, si esta última, a su vez, distribuye dichos dividendos a la persona moral residente en México. Quien efectúe el acreditamiento conforme a este párrafo, deberá considerar como ingreso acumulable, además del dividendo o utilidad percibido en forma directa por la persona moral residente en México, sin disminuir la retención o pago del impuesto sobre la renta que en su caso se haya efectuado por su distribución, el monto proporcional del impuesto sobre la renta corporativo que corresponda al dividendo o utilidad percibido en forma indirecta por el que se vaya a efectuar el acreditamiento, aun cuando el acreditamiento del monto proporcional del impuesto se limite en términos del párrafo séptimo de este artículo. Este monto proporcional del impuesto sobre la renta pagado en un segundo nivel corporativo se determinará de conformidad con la siguiente fórmula:</t>
    </r>
  </si>
  <si>
    <r>
      <rPr>
        <b/>
        <sz val="12"/>
        <color theme="0"/>
        <rFont val="Aptos Narrow"/>
        <family val="2"/>
        <scheme val="minor"/>
      </rPr>
      <t>Artículo 78 LISR</t>
    </r>
    <r>
      <rPr>
        <sz val="12"/>
        <color theme="0"/>
        <rFont val="Aptos Narrow"/>
        <family val="2"/>
        <scheme val="minor"/>
      </rPr>
      <t xml:space="preserve">. Las personas morales residentes en México que reduzcan su capital determinarán la utilidad distribuida, conforme a lo siguiente:
I.	Se disminuirá del reembolso por acción, el saldo de la cuenta de capital de aportación por acción que se tenga a la fecha en la que se pague el reembolso.
</t>
    </r>
    <r>
      <rPr>
        <b/>
        <sz val="12"/>
        <color theme="0"/>
        <rFont val="Aptos Narrow"/>
        <family val="2"/>
        <scheme val="minor"/>
      </rPr>
      <t>Sexto párrafo</t>
    </r>
    <r>
      <rPr>
        <sz val="12"/>
        <color theme="0"/>
        <rFont val="Aptos Narrow"/>
        <family val="2"/>
        <scheme val="minor"/>
      </rPr>
      <t xml:space="preserve">
Para determinar el monto del saldo de la cuenta de capital de aportación por acción se dividirá el saldo de dicha cuenta a la fecha en que se pague el reembolso, sin considerar éste, entre el total de acciones de la misma persona existentes a la misma fecha, incluyendo las correspondientes a la reinversión o a la capitalización de utilidades, o de cualquier otro concepto que integre el capital contable de la misma.</t>
    </r>
  </si>
  <si>
    <r>
      <rPr>
        <b/>
        <sz val="12"/>
        <color theme="0"/>
        <rFont val="Aptos Narrow"/>
        <family val="2"/>
        <scheme val="minor"/>
      </rPr>
      <t>Artículo 78 fracción I segundo párrafo LISR</t>
    </r>
    <r>
      <rPr>
        <sz val="12"/>
        <color theme="0"/>
        <rFont val="Aptos Narrow"/>
        <family val="2"/>
        <scheme val="minor"/>
      </rPr>
      <t xml:space="preserve">
La utilidad distribuida será la cantidad que resulte de multiplicar el número de acciones que se reembolsen o las que se hayan considerado para la reducción de capital de que se trate, según corresponda, por el monto que resulte conforme al párrafo anterior.</t>
    </r>
  </si>
  <si>
    <r>
      <rPr>
        <b/>
        <sz val="12"/>
        <color theme="0"/>
        <rFont val="Aptos Narrow"/>
        <family val="2"/>
        <scheme val="minor"/>
      </rPr>
      <t>Artículo 78 fracción I segundo párrafo LISR</t>
    </r>
    <r>
      <rPr>
        <sz val="12"/>
        <color theme="0"/>
        <rFont val="Aptos Narrow"/>
        <family val="2"/>
        <scheme val="minor"/>
      </rPr>
      <t xml:space="preserve">
La utilidad distribuida gravable determinada conforme el párrafo anterior podrá provenir de la cuenta de utilidad fiscal neta hasta por la parte que del saldo de dicha cuenta le corresponda al número de acciones que se reembolsan. El monto que de la cuenta de utilidad fiscal neta le corresponda a las acciones señaladas, se disminuirá del saldo que dicha cuenta tenga en la fecha en la que se pagó el reembolso.</t>
    </r>
  </si>
  <si>
    <r>
      <rPr>
        <b/>
        <sz val="12"/>
        <color theme="0"/>
        <rFont val="Aptos Narrow"/>
        <family val="2"/>
        <scheme val="minor"/>
      </rPr>
      <t>Artículo 78 fracción I cuarto párrafo LISR</t>
    </r>
    <r>
      <rPr>
        <sz val="12"/>
        <color theme="0"/>
        <rFont val="Aptos Narrow"/>
        <family val="2"/>
        <scheme val="minor"/>
      </rPr>
      <t xml:space="preserve">
Cuando la utilidad distribuida gravable a que se refiere esta fracción no provenga de la cuenta de utilidad fiscal neta, las personas morales deberán determinar y enterar el impuesto que corresponda aplicando a dicha utilidad la tasa prevista en el artículo 9 de esta Ley. Para estos efectos, el monto de la utilidad distribuida deberá incluir el impuesto sobre la renta que le corresponda a la misma. Para determinar el impuesto que corresponde a dicha utilidad, se multiplicará la misma por el factor de 1.4286 y al resultado se le aplicará la tasa del artículo 9 de esta Ley.</t>
    </r>
  </si>
  <si>
    <r>
      <rPr>
        <b/>
        <sz val="11"/>
        <color theme="0"/>
        <rFont val="Aptos Narrow"/>
        <family val="2"/>
        <scheme val="minor"/>
      </rPr>
      <t>Artículo 78 fracción II segundo párrafo LISR</t>
    </r>
    <r>
      <rPr>
        <sz val="11"/>
        <color theme="0"/>
        <rFont val="Aptos Narrow"/>
        <family val="2"/>
        <scheme val="minor"/>
      </rPr>
      <t xml:space="preserve">
A la cantidad que se obtenga conforme al párrafo anterior se le disminuirá la utilidad distribuida determinada en los términos del segundo párrafo de la fracción I de este artículo. El resultado será la utilidad distribuida gravable para los efectos de esta fracción.
	Cuando la utilidad distribuida gravable a que se refiere el párrafo anterior no provenga de la cuenta de utilidad fiscal neta, las personas morales deberán determinar y enterar el impuesto que corresponda a dicha utilidad, aplicando a la misma la tasa prevista en el artículo 9 de esta Ley. Para estos efectos, el monto de la utilidad distribuida gravable deberá incluir el impuesto sobre la renta que le corresponda a la misma. Para determinar el impuesto que corresponde a dicha utilidad, se multiplicará la misma por el factor de 1.4286 y al resultado se le aplicará la tasa del artículo 9 de esta Ley. Cuando la utilidad distribuida gravable provenga de la mencionada cuenta de utilidad fiscal neta se estará a lo dispuesto en el tercero párrafo del artículo 10 de esta Ley y dicha utilidad se deberá disminuir del saldo de la mencionada cuenta. La utilidad que se determine conforme a esta fracción se considerará para reducciones de capital subsecuentes como aportación de capital en los términos de este artículo.</t>
    </r>
  </si>
  <si>
    <r>
      <rPr>
        <b/>
        <sz val="11"/>
        <color theme="0"/>
        <rFont val="Aptos Narrow"/>
        <family val="2"/>
        <scheme val="minor"/>
      </rPr>
      <t>Artículo 78 doceavo párrafo LISR.</t>
    </r>
    <r>
      <rPr>
        <sz val="11"/>
        <color theme="0"/>
        <rFont val="Aptos Narrow"/>
        <family val="2"/>
        <scheme val="minor"/>
      </rPr>
      <t xml:space="preserve">
El saldo de la cuenta prevista en el párrafo anterior que se tenga al día del cierre de cada ejercicio, se actualizará por el periodo comprendido desde el mes en el que se efectuó la última actualización y hasta el mes de cierre del ejercicio de que se trate. Cuando se efectúen aportaciones o reducciones de capital, con posterioridad a la actualización prevista en este párrafo, el saldo de la cuenta que se tenga a esa fecha se actualizará por el periodo comprendido desde el mes en el que se efectuó la última actualización y hasta el mes en el que se pague la aportación o el reembolso, según corresponda.</t>
    </r>
  </si>
  <si>
    <r>
      <rPr>
        <b/>
        <sz val="11"/>
        <color theme="0"/>
        <rFont val="Aptos Narrow"/>
        <family val="2"/>
        <scheme val="minor"/>
      </rPr>
      <t>El resultado fiscal del ejercicio se determinará como sigue:</t>
    </r>
    <r>
      <rPr>
        <sz val="11"/>
        <color theme="0"/>
        <rFont val="Aptos Narrow"/>
        <family val="2"/>
        <scheme val="minor"/>
      </rPr>
      <t xml:space="preserve">
I.	Se obtendrá la utilidad fiscal disminuyendo de la totalidad de los ingresos acumulables obtenidos en el ejercicio, las deducciones autorizadas por este Título y la participación de los trabajadores en las utilidades de las empresas pagada en el ejercicio, en los términos del artículo 123 de la Constitución Política de los Estados Unidos Mexicanos.
II.	A la utilidad fiscal del ejercicio se le disminuirán, en su caso, las pérdidas fiscales pendientes de aplicar de ejercicios anteriores.</t>
    </r>
  </si>
  <si>
    <t>Descripción</t>
  </si>
  <si>
    <t>Artículo 77 tercer párrafo de LISR
III.	El monto que se determine de conformidad con el siguiente párrafo.
Párrafo con fracciones reformado DOF 12-11-2021
Cuando en el ejercicio por el cual se calcule la utilidad fiscal neta a que se refiere el párrafo anterior, la persona moral de que se trate tenga la obligación de acumular los montos proporcionales de los impuestos sobre la renta pagados en el extranjero de conformidad con los párrafos segundo y cuarto del artículo 5 de esta Ley, se deberá disminuir a la cantidad que se obtenga conforme al párrafo anterior, el monto que resulte por aplicar la siguiente fórmula:</t>
  </si>
  <si>
    <t>Artículo 77 quinto párrafo LISR
Cuando la suma del impuesto sobre la renta pagado en los términos del artículo 9 de esta Ley, las partidas no deducibles para efectos del impuesto sobre la renta, excepto las señaladas en las fracciones VIII y IX del artículo 28 de esta Ley, la participación de los trabajadores en las utilidades de las empresas a que se refiere la fracción I del artículo 9 de la misma, y el monto que se determine conforme al párrafo anterior, sea mayor al resultado fiscal del ejercicio, la diferencia se disminuirá del saldo de la cuenta de utilidad fiscal neta que se tenga al final del ejercicio o, en su caso, de la utilidad fiscal neta que se determine en los siguientes ejercicios, hasta agotarlo. En este último caso, el monto que se disminuya se actualizará desde el último mes del ejercicio en el que se determinó y hasta el último mes del ejercicio en el que se disminuya</t>
  </si>
  <si>
    <t>Nombre de la hoja</t>
  </si>
  <si>
    <t>La utilidad neta es el valor residual de los ingresos de una entidad lucrativa, después de haber disminuidos sus costos y gastos relativos reconocidos en el estado de resultado integral, siempre que estos últimos sean menores a dichos ingresos, durante un periodo contable. En caso contrario, es decir, cuando los costos y gastos sean superiores a los ingresos. la resultante es una pérdida neta.</t>
  </si>
  <si>
    <t>(+) Reserva legal</t>
  </si>
  <si>
    <t>Antes de absorber las pérdidas y reserva legal</t>
  </si>
  <si>
    <t>(=) Utilidad fiscal</t>
  </si>
  <si>
    <t>(-) Pérdidas fiscales pendientes de amortizar</t>
  </si>
  <si>
    <t>(=) Resultado fiscal</t>
  </si>
  <si>
    <t>(x) Tasa de ISR del artículo 9 LISR</t>
  </si>
  <si>
    <t>(=) ISR causado</t>
  </si>
  <si>
    <t>(-) ISR pagado por dividendos</t>
  </si>
  <si>
    <t>(-) Pagos provisionales</t>
  </si>
  <si>
    <t>(-) ISR retenido interes bancarios</t>
  </si>
  <si>
    <t>Ejemplo 1</t>
  </si>
  <si>
    <t>Ejemplo 2</t>
  </si>
  <si>
    <t>(=) ISR por pagar (a favor)</t>
  </si>
  <si>
    <t>Ejercicio 2024 (ejercicio en el que se pago el ISR)</t>
  </si>
  <si>
    <t>Saldo</t>
  </si>
  <si>
    <t>Menú</t>
  </si>
  <si>
    <t>(+) UFIN del ejercicio</t>
  </si>
  <si>
    <t>(-) UFIN negativa del ejercicio</t>
  </si>
  <si>
    <t>Es práctica común que al efectuarse colocaciones de acciones las entidades emisoras reciben importes que exceden a los valores nominales de esas acciones, los cuales deben reconocerse en un rubro denominado prima en emisión de acciones o prima en suscripción de acciones. Quienes efectúan esos pagos no tienen derecho preferencial sobres ese capital adicional, ya que todos los propietarios participan de ese importe en proporción a las acciones que poseen.
En ocasiones, algunas entidades colocan opciones para emitir acciones que, de acuerdo con la NIF C-12 califican y, por lo tanto, se reconocon como capital. El precio cobrado debe reconocerse en un rubro especifico del capital contribuido desde su pago y cuando se ejerce la opción pasa a formar parte del capital social. En caso de que el potencial adquierente de las aciones no ejerza la opción, la prima cobrada queda a favor d ela entidad y debe reconocerse como una prima en emisión de acciones. Dado que ésta es una transacción con un potencial propietario, no debe afectar resultados.
En caso de que, por decisión de los propietarios se capitalicen las primas, al igual que otras partidas de capital contribuido, dicho monto pasa a ser parte del capital social.</t>
  </si>
  <si>
    <t>En caso de que existan aportaciones para futuros aumentos de capital de la entidad, éstas deben recononcerse en los estados financieros  en un rubro por separado dentro del capital contribuido, siempre y cuando se cumplan todos los requisitos siguientes; en caso contrario, estas aportaciones deben formar parte del pasivo:
a) Debe existir un compromiso, establecido mediante resolución en asamblea de socios o propietarios, de que esas aportaciones se aplicarán para aumentos de capital en el futuro; por lo tanto, para que califique como capital no debe estar permitida su  devolución antes de su capitalización.
b) Se especifique un número fijo de acciones para el intercambio de un monto fijo aportado, ya que de esa manera quien efectúa la aportación esta ya expuesto a los riesgos y beneficios de la entidad;
c) No deben tener un rendimiento fijo en tanto se capitalizan; y
d) Como no tendrían carácter reembolsable, deben queda reconocidas en la moneda funciona de la entidad.</t>
  </si>
  <si>
    <t>Retención que se tiene que realizar al socio o accionista (artículo 140 LISR)</t>
  </si>
  <si>
    <t>Utilidad distribuida fracción I artículo 178 LISR</t>
  </si>
  <si>
    <t>(-) Utilidad distribuida gravable fracción I</t>
  </si>
  <si>
    <t>(+) Utilidad distribuida fracción II artículo 178 LISR</t>
  </si>
  <si>
    <t>(=) Utilidad distribuida</t>
  </si>
  <si>
    <r>
      <rPr>
        <b/>
        <sz val="11"/>
        <color theme="1"/>
        <rFont val="Aptos Narrow"/>
        <family val="2"/>
        <scheme val="minor"/>
      </rPr>
      <t>Artículo 140 segundo párrafo LISR</t>
    </r>
    <r>
      <rPr>
        <sz val="11"/>
        <color theme="1"/>
        <rFont val="Aptos Narrow"/>
        <family val="2"/>
        <scheme val="minor"/>
      </rPr>
      <t xml:space="preserve">
No obstante lo dispuesto en el párrafo anterior, las personas físicas estarán sujetas a una tasa adicional del 10% sobre los dividendos o utilidades distribuidos por las personas morales residentes en México. Estas últimas, estarán obligadas a retener el impuesto cuando distribuyan dichos dividendos o utilidades, y lo enterarán conjuntamente con el pago provisional del periodo que corresponda. El pago realizado conforme a este párrafo será definitivo.</t>
    </r>
  </si>
  <si>
    <t>(x) Tasa de retención ISR</t>
  </si>
  <si>
    <t>(=) Retención de ISR al socio o accionista</t>
  </si>
  <si>
    <t>Límite inferior</t>
  </si>
  <si>
    <t>Límite superior</t>
  </si>
  <si>
    <t>Cuota fija</t>
  </si>
  <si>
    <t>Por ciento para aplicarse sobre el excedente del límite inferior</t>
  </si>
  <si>
    <t>$</t>
  </si>
  <si>
    <t>%</t>
  </si>
  <si>
    <t>En adelante</t>
  </si>
  <si>
    <t>Determinación del ISR anual personas físicas</t>
  </si>
  <si>
    <t>SUELDOS, SALARIOS Y ASIMILADOS A SALARIOS</t>
  </si>
  <si>
    <t>Sueldos y salarios (régimen 002)</t>
  </si>
  <si>
    <t>Ingresos asimilados a salarios (régimen del 05 al 11)</t>
  </si>
  <si>
    <t>Indemnización (régimen 13)</t>
  </si>
  <si>
    <t>Jubilación en parcialidades (régimen 003, 004, 012)</t>
  </si>
  <si>
    <t>Jubilación pago único (régimen 003, 004, 012)</t>
  </si>
  <si>
    <t>Ingresos del seguro de retiro</t>
  </si>
  <si>
    <t>(+) ACTIVIDAD EMPRESARIAL Y PROFESIONAL</t>
  </si>
  <si>
    <t>(+) ARRENDAMIENTO DE INMUEBLES</t>
  </si>
  <si>
    <t>(+) ENAJENACIÓN DE BIENES</t>
  </si>
  <si>
    <t>(+) ADQUISICIÓN DE BIENES</t>
  </si>
  <si>
    <t>(+) INGRESOS POR INTERESES</t>
  </si>
  <si>
    <t>Monto del dividendo o utilidad</t>
  </si>
  <si>
    <t>(x) Factor</t>
  </si>
  <si>
    <t>Monto acumulable del dividendo o utilidad</t>
  </si>
  <si>
    <t>(+) DEMÁS INGRESOS</t>
  </si>
  <si>
    <t>Total de ingresos acumulables</t>
  </si>
  <si>
    <t>(+) INGRESOS POR DIVIDENDOS O UTILIDADES DISTRIBUIDAS</t>
  </si>
  <si>
    <t>ISR causado</t>
  </si>
  <si>
    <t>(-) ISR pagado por la empresa</t>
  </si>
  <si>
    <t>Con piramidación de los dividendos</t>
  </si>
  <si>
    <t>Sin piramidación de los dividendos</t>
  </si>
  <si>
    <t>Artículo 19 LGSM</t>
  </si>
  <si>
    <t>(+) ISR utilidad distribuida fracción II artículo 78 LISR</t>
  </si>
  <si>
    <t>Año de pago del ISR</t>
  </si>
  <si>
    <t>Plazo de acreditamiento</t>
  </si>
  <si>
    <t>Importe a acreditar</t>
  </si>
  <si>
    <t>(-) Retención de ISR</t>
  </si>
  <si>
    <t>Pago del impuesto por distribución de dividendos de la persona moral cuando no proviene de la CUFIN (artículo 10 LISR)</t>
  </si>
  <si>
    <t>ISR por dividendos que no provienen de la CUFIN</t>
  </si>
  <si>
    <t>Dividendo decretado</t>
  </si>
  <si>
    <t>Cálculos:</t>
  </si>
  <si>
    <t>Utilidad fiscal base (si no proviene de CUFIN)</t>
  </si>
  <si>
    <t>ISR adicional empresa (30%)</t>
  </si>
  <si>
    <t>ISR retenido al accionista (10%)</t>
  </si>
  <si>
    <t>Dividendo neto pagado</t>
  </si>
  <si>
    <t>Pago total de ISR (empresa + retención)</t>
  </si>
  <si>
    <t>Asientos contables sugeridos:</t>
  </si>
  <si>
    <t>Cuenta</t>
  </si>
  <si>
    <t>Debe</t>
  </si>
  <si>
    <t>Haber</t>
  </si>
  <si>
    <t>Decreto de dividendos</t>
  </si>
  <si>
    <t>Pago del dividendo neto</t>
  </si>
  <si>
    <t>Pago ISR retenido al SAT</t>
  </si>
  <si>
    <t>¿Provienen de la CUFIN?</t>
  </si>
  <si>
    <t>Sí</t>
  </si>
  <si>
    <r>
      <rPr>
        <b/>
        <sz val="11"/>
        <color theme="0"/>
        <rFont val="Aptos Narrow"/>
        <family val="2"/>
        <scheme val="minor"/>
      </rPr>
      <t xml:space="preserve">Artículo 10 tercer párrafo LISR: </t>
    </r>
    <r>
      <rPr>
        <sz val="11"/>
        <color theme="0"/>
        <rFont val="Aptos Narrow"/>
        <family val="2"/>
        <scheme val="minor"/>
      </rPr>
      <t>No se estará obligado al pago del impuesto a que se refiere este artículo cuando los dividendos o utilidades provengan de la cuenta de utilidad fiscal neta que establece la presente Ley.</t>
    </r>
  </si>
  <si>
    <t>No</t>
  </si>
  <si>
    <t>Corresponde a utilidades 2014 y posteriores</t>
  </si>
  <si>
    <t>Dividendos por pagar</t>
  </si>
  <si>
    <t xml:space="preserve">Utilidades acumuladas </t>
  </si>
  <si>
    <t>ISR por dividendos no provenientes de la CUFIN</t>
  </si>
  <si>
    <t>ISR por pagar por dividendos</t>
  </si>
  <si>
    <t>REGISTROS CONTABLES DE DIVIDENDOS (CON O SIN CUFIN)</t>
  </si>
  <si>
    <t>Utilidades acumuladas</t>
  </si>
  <si>
    <t>ISR artículo 140 LISR</t>
  </si>
  <si>
    <t>ISR 10% por dividendos</t>
  </si>
  <si>
    <t xml:space="preserve">Dividendos por pagar </t>
  </si>
  <si>
    <t>Bancos</t>
  </si>
  <si>
    <t>Pago ISR por dividendos no provenientes de la CUFIN</t>
  </si>
  <si>
    <t>II. Tarifa para el cálculo del impuesto correspondiente al ejercicio de 2025 a que se refieren los artículos 97 y 152 de la Ley del ISR, así como la regla 3.17.1.</t>
  </si>
  <si>
    <t>Registro contable de dividendos</t>
  </si>
  <si>
    <t>ACONTABLE</t>
  </si>
  <si>
    <t>MENU</t>
  </si>
  <si>
    <t xml:space="preserve">Trámite </t>
  </si>
  <si>
    <t xml:space="preserve">Servicio </t>
  </si>
  <si>
    <t>Gratuito</t>
  </si>
  <si>
    <t>Para la relación actualizada de socios de sociedades cooperativas de producción dedicadas exclusivamente a actividades pesqueras o silvícolas, en los plazos establecidos en la RFA vigente al momento de la presentación del aviso, según corresponda a cada caso.</t>
  </si>
  <si>
    <t>https://sya.sat.gob.mx/login</t>
  </si>
  <si>
    <t>7. Imprime o guarda el Acuse de Recepción.</t>
  </si>
  <si>
    <t>8. Ingresa al aplicativo, dentro del plazo de 10 días posteriores a la presentación del trámite, con el número de folio, para verificar la respuesta a tu solicitud y consulta, imprime o guarda el Acuse de Respuesta.</t>
  </si>
  <si>
    <t>En caso de no contar con respuesta, deberás ingresar un caso de aclaración a través del Portal del SAT, anexando la documentación soporte que consideres pertinente, para que la autoridad resuelva tu aclaración por el mismo medio.</t>
  </si>
  <si>
    <t>Los días y horarios siguientes: lunes a jueves de 09:00 a 16:00 hrs. y viernes de 08:30 a 15:00 hrs., excepto días inhábiles.</t>
  </si>
  <si>
    <t xml:space="preserve">https://www.sat.gob.mx/portal/public/tramites/quejas-o-denuncias </t>
  </si>
  <si>
    <r>
      <t>·</t>
    </r>
    <r>
      <rPr>
        <sz val="11"/>
        <color theme="1"/>
        <rFont val="Times New Roman"/>
        <family val="1"/>
      </rPr>
      <t xml:space="preserve">            </t>
    </r>
    <r>
      <rPr>
        <sz val="11"/>
        <color rgb="FF000000"/>
        <rFont val="Arial"/>
        <family val="2"/>
      </rPr>
      <t>Personas morales.</t>
    </r>
  </si>
  <si>
    <r>
      <t>·</t>
    </r>
    <r>
      <rPr>
        <sz val="11"/>
        <color theme="1"/>
        <rFont val="Times New Roman"/>
        <family val="1"/>
      </rPr>
      <t xml:space="preserve">            </t>
    </r>
    <r>
      <rPr>
        <sz val="11"/>
        <color rgb="FF000000"/>
        <rFont val="Arial"/>
        <family val="2"/>
      </rPr>
      <t>Sociedades cuyas acciones están colocadas entre el gran público inversionista.</t>
    </r>
  </si>
  <si>
    <r>
      <t>·</t>
    </r>
    <r>
      <rPr>
        <sz val="11"/>
        <color theme="1"/>
        <rFont val="Times New Roman"/>
        <family val="1"/>
      </rPr>
      <t xml:space="preserve">            </t>
    </r>
    <r>
      <rPr>
        <sz val="11"/>
        <color rgb="FF000000"/>
        <rFont val="Arial"/>
        <family val="2"/>
      </rPr>
      <t>Sociedades cooperativas de producción dedicadas exclusivamente a actividades pesqueras o silvícolas que cuenten con concesión o permiso del Gobierno Federal para explotar los recursos marinos o silvícolas.</t>
    </r>
  </si>
  <si>
    <r>
      <t xml:space="preserve">En el Portal del SAT, </t>
    </r>
    <r>
      <rPr>
        <sz val="11"/>
        <color theme="1"/>
        <rFont val="Arial"/>
        <family val="2"/>
      </rPr>
      <t>dentro del aplicativo</t>
    </r>
    <r>
      <rPr>
        <b/>
        <sz val="11"/>
        <color theme="1"/>
        <rFont val="Arial"/>
        <family val="2"/>
      </rPr>
      <t xml:space="preserve"> Socios o Accionistas</t>
    </r>
    <r>
      <rPr>
        <sz val="11"/>
        <color theme="1"/>
        <rFont val="Arial"/>
        <family val="2"/>
      </rPr>
      <t xml:space="preserve">, en la siguiente liga: </t>
    </r>
  </si>
  <si>
    <r>
      <t xml:space="preserve">1. Ingresa al Portal del SAT, en la liga del apartado </t>
    </r>
    <r>
      <rPr>
        <b/>
        <sz val="11"/>
        <color theme="1"/>
        <rFont val="Arial"/>
        <family val="2"/>
      </rPr>
      <t>¿Dónde puedo presentarlo?</t>
    </r>
  </si>
  <si>
    <r>
      <t xml:space="preserve">2. En el aplicativo </t>
    </r>
    <r>
      <rPr>
        <b/>
        <sz val="11"/>
        <color theme="1"/>
        <rFont val="Arial"/>
        <family val="2"/>
      </rPr>
      <t>Socios o Accionistas</t>
    </r>
    <r>
      <rPr>
        <sz val="11"/>
        <color theme="1"/>
        <rFont val="Arial"/>
        <family val="2"/>
      </rPr>
      <t>, ingresa con tu e.firma y elige</t>
    </r>
    <r>
      <rPr>
        <b/>
        <sz val="11"/>
        <color theme="1"/>
        <rFont val="Arial"/>
        <family val="2"/>
      </rPr>
      <t xml:space="preserve"> Iniciar sesión</t>
    </r>
    <r>
      <rPr>
        <sz val="11"/>
        <color theme="1"/>
        <rFont val="Arial"/>
        <family val="2"/>
      </rPr>
      <t>.</t>
    </r>
  </si>
  <si>
    <r>
      <t xml:space="preserve">5. Adjunta los documentos señalados en el apartado </t>
    </r>
    <r>
      <rPr>
        <b/>
        <sz val="11"/>
        <color theme="1"/>
        <rFont val="Arial"/>
        <family val="2"/>
      </rPr>
      <t xml:space="preserve">¿Qué requisitos debo cumplir? </t>
    </r>
    <r>
      <rPr>
        <sz val="11"/>
        <color theme="1"/>
        <rFont val="Arial"/>
        <family val="2"/>
      </rPr>
      <t>(Todos los documentos deberán adjuntarse en formato PDF).</t>
    </r>
  </si>
  <si>
    <r>
      <t xml:space="preserve">1. En </t>
    </r>
    <r>
      <rPr>
        <b/>
        <sz val="11"/>
        <color theme="1"/>
        <rFont val="Arial"/>
        <family val="2"/>
      </rPr>
      <t>Mi portal</t>
    </r>
    <r>
      <rPr>
        <sz val="11"/>
        <color theme="1"/>
        <rFont val="Arial"/>
        <family val="2"/>
      </rPr>
      <t xml:space="preserve">, captura tu RFC y Contraseña, y elige </t>
    </r>
    <r>
      <rPr>
        <b/>
        <sz val="11"/>
        <color theme="1"/>
        <rFont val="Arial"/>
        <family val="2"/>
      </rPr>
      <t>Iniciar sesión</t>
    </r>
    <r>
      <rPr>
        <sz val="11"/>
        <color theme="1"/>
        <rFont val="Arial"/>
        <family val="2"/>
      </rPr>
      <t xml:space="preserve">. </t>
    </r>
  </si>
  <si>
    <r>
      <t xml:space="preserve">2. Selecciona la opción de </t>
    </r>
    <r>
      <rPr>
        <b/>
        <sz val="11"/>
        <color theme="1"/>
        <rFont val="Arial"/>
        <family val="2"/>
      </rPr>
      <t>Servicios por Internet</t>
    </r>
    <r>
      <rPr>
        <sz val="11"/>
        <color theme="1"/>
        <rFont val="Arial"/>
        <family val="2"/>
      </rPr>
      <t xml:space="preserve"> </t>
    </r>
    <r>
      <rPr>
        <b/>
        <sz val="11"/>
        <color theme="1"/>
        <rFont val="Arial"/>
        <family val="2"/>
      </rPr>
      <t>/</t>
    </r>
    <r>
      <rPr>
        <sz val="11"/>
        <color theme="1"/>
        <rFont val="Arial"/>
        <family val="2"/>
      </rPr>
      <t xml:space="preserve"> </t>
    </r>
    <r>
      <rPr>
        <b/>
        <sz val="11"/>
        <color theme="1"/>
        <rFont val="Arial"/>
        <family val="2"/>
      </rPr>
      <t>Servicios o solicitudes /</t>
    </r>
    <r>
      <rPr>
        <sz val="11"/>
        <color theme="1"/>
        <rFont val="Arial"/>
        <family val="2"/>
      </rPr>
      <t xml:space="preserve"> </t>
    </r>
    <r>
      <rPr>
        <b/>
        <sz val="11"/>
        <color theme="1"/>
        <rFont val="Arial"/>
        <family val="2"/>
      </rPr>
      <t>Solicitud</t>
    </r>
    <r>
      <rPr>
        <sz val="11"/>
        <color theme="1"/>
        <rFont val="Arial"/>
        <family val="2"/>
      </rPr>
      <t xml:space="preserve"> y aparecerá un formulario. </t>
    </r>
  </si>
  <si>
    <r>
      <t xml:space="preserve">I. En el apartado </t>
    </r>
    <r>
      <rPr>
        <b/>
        <sz val="11"/>
        <color theme="1"/>
        <rFont val="Arial"/>
        <family val="2"/>
      </rPr>
      <t>Descripción del Servicio</t>
    </r>
    <r>
      <rPr>
        <sz val="11"/>
        <color theme="1"/>
        <rFont val="Arial"/>
        <family val="2"/>
      </rPr>
      <t xml:space="preserve">, en la pestaña </t>
    </r>
    <r>
      <rPr>
        <b/>
        <sz val="11"/>
        <color theme="1"/>
        <rFont val="Arial"/>
        <family val="2"/>
      </rPr>
      <t>Trámite</t>
    </r>
    <r>
      <rPr>
        <sz val="11"/>
        <color theme="1"/>
        <rFont val="Arial"/>
        <family val="2"/>
      </rPr>
      <t xml:space="preserve"> selecciona la opción </t>
    </r>
    <r>
      <rPr>
        <b/>
        <sz val="11"/>
        <color theme="1"/>
        <rFont val="Arial"/>
        <family val="2"/>
      </rPr>
      <t>SOCC_ACC_RL</t>
    </r>
    <r>
      <rPr>
        <sz val="11"/>
        <color theme="1"/>
        <rFont val="Arial"/>
        <family val="2"/>
      </rPr>
      <t xml:space="preserve">; en </t>
    </r>
    <r>
      <rPr>
        <b/>
        <sz val="11"/>
        <color theme="1"/>
        <rFont val="Arial"/>
        <family val="2"/>
      </rPr>
      <t>Dirigido a</t>
    </r>
    <r>
      <rPr>
        <sz val="11"/>
        <color theme="1"/>
        <rFont val="Arial"/>
        <family val="2"/>
      </rPr>
      <t xml:space="preserve">: ADSC correspondiente, en </t>
    </r>
    <r>
      <rPr>
        <b/>
        <sz val="11"/>
        <color theme="1"/>
        <rFont val="Arial"/>
        <family val="2"/>
      </rPr>
      <t>Asunto</t>
    </r>
    <r>
      <rPr>
        <sz val="11"/>
        <color theme="1"/>
        <rFont val="Arial"/>
        <family val="2"/>
      </rPr>
      <t>: Modificación o incorporación de socios, accionistas y asociados extranjeros; Descripción: Aviso de modificación o incorporación de socios, accionistas, asociados y demás personas, que forman parte de la estructura orgánica de una persona moral, así como de aquéllas que tengan control, influencia significativa o poder de mando, cuando residan en el extranjero y no estén obligados a inscribirse en el RFC.</t>
    </r>
  </si>
  <si>
    <r>
      <t xml:space="preserve">II. Para anexar información relacionada con el servicio, oprime </t>
    </r>
    <r>
      <rPr>
        <b/>
        <sz val="11"/>
        <color theme="1"/>
        <rFont val="Arial"/>
        <family val="2"/>
      </rPr>
      <t>Adjuntar Archivo / Examinar</t>
    </r>
    <r>
      <rPr>
        <sz val="11"/>
        <color theme="1"/>
        <rFont val="Arial"/>
        <family val="2"/>
      </rPr>
      <t xml:space="preserve">, selecciona el documento digitalizado en formato PDF y elige </t>
    </r>
    <r>
      <rPr>
        <b/>
        <sz val="11"/>
        <color theme="1"/>
        <rFont val="Arial"/>
        <family val="2"/>
      </rPr>
      <t>Cargar</t>
    </r>
    <r>
      <rPr>
        <sz val="11"/>
        <color theme="1"/>
        <rFont val="Arial"/>
        <family val="2"/>
      </rPr>
      <t xml:space="preserve">. </t>
    </r>
  </si>
  <si>
    <r>
      <t xml:space="preserve">6. Para verificar la situación de tu aviso, ingresa al Portal del SAT, dentro del plazo de seis días posteriores a la presentación del trámite, con el número de folio, en: </t>
    </r>
    <r>
      <rPr>
        <u/>
        <sz val="11"/>
        <color rgb="FF0563C1"/>
        <rFont val="Arial"/>
        <family val="2"/>
      </rPr>
      <t>https://www.sat.gob.mx/portal/private/aplicacion/mi-portal</t>
    </r>
    <r>
      <rPr>
        <sz val="11"/>
        <color theme="1"/>
        <rFont val="Arial"/>
        <family val="2"/>
      </rPr>
      <t xml:space="preserve"> de acuerdo a lo siguiente: En </t>
    </r>
    <r>
      <rPr>
        <b/>
        <sz val="11"/>
        <color theme="1"/>
        <rFont val="Arial"/>
        <family val="2"/>
      </rPr>
      <t>Mi portal</t>
    </r>
    <r>
      <rPr>
        <sz val="11"/>
        <color theme="1"/>
        <rFont val="Arial"/>
        <family val="2"/>
      </rPr>
      <t xml:space="preserve">, captura tu RFC y Contraseña; selecciona la opción de </t>
    </r>
    <r>
      <rPr>
        <b/>
        <sz val="11"/>
        <color theme="1"/>
        <rFont val="Arial"/>
        <family val="2"/>
      </rPr>
      <t>Servicios por Internet / Servicios o solicitudes / Consulta</t>
    </r>
    <r>
      <rPr>
        <sz val="11"/>
        <color theme="1"/>
        <rFont val="Arial"/>
        <family val="2"/>
      </rPr>
      <t xml:space="preserve">; captura el número de folio del trámite y verifica la solución otorgada a tu aviso; si tu solicitud fue resuelta, obtendrás el Acuse de respuesta imprímelo y guárdalo. </t>
    </r>
  </si>
  <si>
    <r>
      <t>·</t>
    </r>
    <r>
      <rPr>
        <sz val="11"/>
        <color theme="1"/>
        <rFont val="Times New Roman"/>
        <family val="1"/>
      </rPr>
      <t xml:space="preserve">            </t>
    </r>
    <r>
      <rPr>
        <sz val="11"/>
        <color theme="1"/>
        <rFont val="Arial"/>
        <family val="2"/>
      </rPr>
      <t xml:space="preserve">Instrumento para acreditar la representación digitalizado, donde se acredite la personalidad del representante legal, de conformidad con el apartado </t>
    </r>
    <r>
      <rPr>
        <b/>
        <sz val="11"/>
        <color theme="1"/>
        <rFont val="Arial"/>
        <family val="2"/>
      </rPr>
      <t>I. Definiciones</t>
    </r>
    <r>
      <rPr>
        <sz val="11"/>
        <color theme="1"/>
        <rFont val="Arial"/>
        <family val="2"/>
      </rPr>
      <t xml:space="preserve">; punto </t>
    </r>
    <r>
      <rPr>
        <b/>
        <sz val="11"/>
        <color theme="1"/>
        <rFont val="Arial"/>
        <family val="2"/>
      </rPr>
      <t>1.2. Identificaciones oficiales, comprobantes de domicilio e Instrumentos para acreditar la representación</t>
    </r>
    <r>
      <rPr>
        <sz val="11"/>
        <color theme="1"/>
        <rFont val="Arial"/>
        <family val="2"/>
      </rPr>
      <t xml:space="preserve">, inciso </t>
    </r>
    <r>
      <rPr>
        <b/>
        <sz val="11"/>
        <color theme="1"/>
        <rFont val="Arial"/>
        <family val="2"/>
      </rPr>
      <t>C) Instrumentos para acreditar la representación</t>
    </r>
    <r>
      <rPr>
        <sz val="11"/>
        <color theme="1"/>
        <rFont val="Arial"/>
        <family val="2"/>
      </rPr>
      <t>, del presente Anexo.</t>
    </r>
  </si>
  <si>
    <r>
      <t>·</t>
    </r>
    <r>
      <rPr>
        <sz val="11"/>
        <color theme="1"/>
        <rFont val="Times New Roman"/>
        <family val="1"/>
      </rPr>
      <t xml:space="preserve">            </t>
    </r>
    <r>
      <rPr>
        <sz val="11"/>
        <color theme="1"/>
        <rFont val="Arial"/>
        <family val="2"/>
      </rPr>
      <t xml:space="preserve">Identificación oficial vigente del o los representantes legales que se darán de alta, cualquiera de las señaladas en el Apartado </t>
    </r>
    <r>
      <rPr>
        <b/>
        <sz val="11"/>
        <color theme="1"/>
        <rFont val="Arial"/>
        <family val="2"/>
      </rPr>
      <t>I. Definiciones</t>
    </r>
    <r>
      <rPr>
        <sz val="11"/>
        <color theme="1"/>
        <rFont val="Arial"/>
        <family val="2"/>
      </rPr>
      <t xml:space="preserve">; punto </t>
    </r>
    <r>
      <rPr>
        <b/>
        <sz val="11"/>
        <color theme="1"/>
        <rFont val="Arial"/>
        <family val="2"/>
      </rPr>
      <t>1.2. Identificaciones oficiales, comprobantes de domicilio e Instrumentos para acreditar la representación</t>
    </r>
    <r>
      <rPr>
        <sz val="11"/>
        <color theme="1"/>
        <rFont val="Arial"/>
        <family val="2"/>
      </rPr>
      <t xml:space="preserve">, inciso </t>
    </r>
    <r>
      <rPr>
        <b/>
        <sz val="11"/>
        <color theme="1"/>
        <rFont val="Arial"/>
        <family val="2"/>
      </rPr>
      <t>A) Identificación oficial</t>
    </r>
    <r>
      <rPr>
        <sz val="11"/>
        <color theme="1"/>
        <rFont val="Arial"/>
        <family val="2"/>
      </rPr>
      <t>, del presente Anexo.</t>
    </r>
  </si>
  <si>
    <r>
      <t>·</t>
    </r>
    <r>
      <rPr>
        <sz val="11"/>
        <color theme="1"/>
        <rFont val="Times New Roman"/>
        <family val="1"/>
      </rPr>
      <t xml:space="preserve">            </t>
    </r>
    <r>
      <rPr>
        <sz val="11"/>
        <color theme="1"/>
        <rFont val="Arial"/>
        <family val="2"/>
      </rPr>
      <t>Tratándose de baja de representante o representantes legales, lo deberás realizar de conformidad con lo siguiente:</t>
    </r>
  </si>
  <si>
    <r>
      <t xml:space="preserve">En </t>
    </r>
    <r>
      <rPr>
        <b/>
        <sz val="11"/>
        <color theme="1"/>
        <rFont val="Arial"/>
        <family val="2"/>
      </rPr>
      <t>Mi portal</t>
    </r>
    <r>
      <rPr>
        <sz val="11"/>
        <color theme="1"/>
        <rFont val="Arial"/>
        <family val="2"/>
      </rPr>
      <t xml:space="preserve">, captura tu RFC y Contraseña, y elige </t>
    </r>
    <r>
      <rPr>
        <b/>
        <sz val="11"/>
        <color theme="1"/>
        <rFont val="Arial"/>
        <family val="2"/>
      </rPr>
      <t>Iniciar sesión</t>
    </r>
    <r>
      <rPr>
        <sz val="11"/>
        <color theme="1"/>
        <rFont val="Arial"/>
        <family val="2"/>
      </rPr>
      <t xml:space="preserve">, selecciona la opción de </t>
    </r>
    <r>
      <rPr>
        <b/>
        <sz val="11"/>
        <color theme="1"/>
        <rFont val="Arial"/>
        <family val="2"/>
      </rPr>
      <t>Servicios por Internet / Servicios o solicitudes / Solicitud</t>
    </r>
    <r>
      <rPr>
        <sz val="11"/>
        <color theme="1"/>
        <rFont val="Arial"/>
        <family val="2"/>
      </rPr>
      <t xml:space="preserve"> usando la etiqueta </t>
    </r>
    <r>
      <rPr>
        <b/>
        <sz val="11"/>
        <color theme="1"/>
        <rFont val="Arial"/>
        <family val="2"/>
      </rPr>
      <t>“SOCC_ACC_RL”</t>
    </r>
    <r>
      <rPr>
        <sz val="11"/>
        <color theme="1"/>
        <rFont val="Arial"/>
        <family val="2"/>
      </rPr>
      <t xml:space="preserve">, dirigido a la ADSC que corresponda a tu domicilio fiscal indicando en el asunto: “Solicitud de baja de representante legal”; y en </t>
    </r>
    <r>
      <rPr>
        <b/>
        <sz val="11"/>
        <color theme="1"/>
        <rFont val="Arial"/>
        <family val="2"/>
      </rPr>
      <t>“Descripción”</t>
    </r>
    <r>
      <rPr>
        <sz val="11"/>
        <color theme="1"/>
        <rFont val="Arial"/>
        <family val="2"/>
      </rPr>
      <t xml:space="preserve"> detalla el o los movimientos de baja que deseas realizar, incluyendo la clave en el RFC, el nombre completo del representante legal, la fecha en la cual dejó de ostentar el cargo y adjunta el documento notarial donde conste la revocación de facultades. </t>
    </r>
  </si>
  <si>
    <r>
      <t>·</t>
    </r>
    <r>
      <rPr>
        <sz val="11"/>
        <color theme="1"/>
        <rFont val="Times New Roman"/>
        <family val="1"/>
      </rPr>
      <t xml:space="preserve">            </t>
    </r>
    <r>
      <rPr>
        <sz val="11"/>
        <color theme="1"/>
        <rFont val="Arial"/>
        <family val="2"/>
      </rPr>
      <t>Documento protocolizado ante fedatario público y digitalizado en el que consten las modificaciones o en su caso la incorporación de socios y accionistas, así como los que tienen control, influencia significativa o poder de mando, así como a los representantes comunes de las acciones que ha emitido la persona moral.</t>
    </r>
  </si>
  <si>
    <r>
      <t>·</t>
    </r>
    <r>
      <rPr>
        <sz val="11"/>
        <color theme="1"/>
        <rFont val="Times New Roman"/>
        <family val="1"/>
      </rPr>
      <t xml:space="preserve">            </t>
    </r>
    <r>
      <rPr>
        <sz val="11"/>
        <color theme="1"/>
        <rFont val="Arial"/>
        <family val="2"/>
      </rPr>
      <t xml:space="preserve">Identificación oficial vigente de los socios, accionistas, representante legal y demás personas que forman parte de la estructura orgánica que se actualizarán, cualquiera de las señaladas en el Apartado </t>
    </r>
    <r>
      <rPr>
        <b/>
        <sz val="11"/>
        <color theme="1"/>
        <rFont val="Arial"/>
        <family val="2"/>
      </rPr>
      <t>I. Definiciones</t>
    </r>
    <r>
      <rPr>
        <sz val="11"/>
        <color theme="1"/>
        <rFont val="Arial"/>
        <family val="2"/>
      </rPr>
      <t xml:space="preserve">; punto </t>
    </r>
    <r>
      <rPr>
        <b/>
        <sz val="11"/>
        <color theme="1"/>
        <rFont val="Arial"/>
        <family val="2"/>
      </rPr>
      <t>1.2. Identificaciones oficiales, comprobantes de domicilio e Instrumentos para acreditar la representación</t>
    </r>
    <r>
      <rPr>
        <sz val="11"/>
        <color theme="1"/>
        <rFont val="Arial"/>
        <family val="2"/>
      </rPr>
      <t xml:space="preserve">, inciso </t>
    </r>
    <r>
      <rPr>
        <b/>
        <sz val="11"/>
        <color theme="1"/>
        <rFont val="Arial"/>
        <family val="2"/>
      </rPr>
      <t>A) Identificación oficial</t>
    </r>
    <r>
      <rPr>
        <sz val="11"/>
        <color theme="1"/>
        <rFont val="Arial"/>
        <family val="2"/>
      </rPr>
      <t>, del presente Anexo.</t>
    </r>
  </si>
  <si>
    <r>
      <t>·</t>
    </r>
    <r>
      <rPr>
        <sz val="11"/>
        <color theme="1"/>
        <rFont val="Times New Roman"/>
        <family val="1"/>
      </rPr>
      <t xml:space="preserve">            </t>
    </r>
    <r>
      <rPr>
        <sz val="11"/>
        <color theme="1"/>
        <rFont val="Arial"/>
        <family val="2"/>
      </rPr>
      <t>Cuando se trate de socios, accionistas, asociados y demás personas que forman parte de la estructura orgánica de una persona moral, así como de aquéllas que tengan control, influencia significativa o poder de mando, que residan en el extranjero y que optan por no inscribirse en el RFC, ya sean personas físicas o personas morales, deberán adjuntar como identificación oficial la forma oficial 96.</t>
    </r>
  </si>
  <si>
    <r>
      <t>·</t>
    </r>
    <r>
      <rPr>
        <sz val="11"/>
        <color theme="1"/>
        <rFont val="Times New Roman"/>
        <family val="1"/>
      </rPr>
      <t xml:space="preserve">            </t>
    </r>
    <r>
      <rPr>
        <sz val="11"/>
        <color theme="1"/>
        <rFont val="Arial"/>
        <family val="2"/>
      </rPr>
      <t xml:space="preserve">Cuando se trate de un socio o accionista que sea persona moral residente en México deberán adjuntar adicionalmente el instrumento para acreditar la representación e identificación oficial del representante legal para acreditar su personalidad, de conformidad con el apartado </t>
    </r>
    <r>
      <rPr>
        <b/>
        <sz val="11"/>
        <color theme="1"/>
        <rFont val="Arial"/>
        <family val="2"/>
      </rPr>
      <t>I. Definiciones</t>
    </r>
    <r>
      <rPr>
        <sz val="11"/>
        <color theme="1"/>
        <rFont val="Arial"/>
        <family val="2"/>
      </rPr>
      <t xml:space="preserve">; punto </t>
    </r>
    <r>
      <rPr>
        <b/>
        <sz val="11"/>
        <color theme="1"/>
        <rFont val="Arial"/>
        <family val="2"/>
      </rPr>
      <t>1.2. Identificaciones oficiales, comprobantes de domicilio e Instrumentos para acreditar la representación</t>
    </r>
    <r>
      <rPr>
        <sz val="11"/>
        <color theme="1"/>
        <rFont val="Arial"/>
        <family val="2"/>
      </rPr>
      <t xml:space="preserve">, inciso </t>
    </r>
    <r>
      <rPr>
        <b/>
        <sz val="11"/>
        <color theme="1"/>
        <rFont val="Arial"/>
        <family val="2"/>
      </rPr>
      <t>A) Identificación oficial</t>
    </r>
    <r>
      <rPr>
        <sz val="11"/>
        <color theme="1"/>
        <rFont val="Arial"/>
        <family val="2"/>
      </rPr>
      <t>, del presente Anexo.</t>
    </r>
  </si>
  <si>
    <r>
      <t>·</t>
    </r>
    <r>
      <rPr>
        <sz val="11"/>
        <color theme="1"/>
        <rFont val="Times New Roman"/>
        <family val="1"/>
      </rPr>
      <t xml:space="preserve">            </t>
    </r>
    <r>
      <rPr>
        <sz val="11"/>
        <color theme="1"/>
        <rFont val="Arial"/>
        <family val="2"/>
      </rPr>
      <t>Cuando se trate de socios, accionistas, asociados y demás personas que forman parte de la estructura orgánica de una persona moral, menores de edad, deberán adjuntar identificación oficial de ambos padres que ejerzan la patria potestad y acta de nacimiento del menor.</t>
    </r>
  </si>
  <si>
    <r>
      <t>·</t>
    </r>
    <r>
      <rPr>
        <sz val="11"/>
        <color theme="1"/>
        <rFont val="Times New Roman"/>
        <family val="1"/>
      </rPr>
      <t xml:space="preserve">            </t>
    </r>
    <r>
      <rPr>
        <sz val="11"/>
        <color theme="1"/>
        <rFont val="Arial"/>
        <family val="2"/>
      </rPr>
      <t>Cuando se trate de socios, accionistas, asociados y demás personas que forman parte de la estructura orgánica de una persona moral, que se encuentren en apertura de sucesión, deberán adjuntar el documento protocolizado ante fedatario público en el que se reconozca al albacea de la sucesión y acepte el cargo e identificación oficial del albacea.</t>
    </r>
  </si>
  <si>
    <r>
      <t>·</t>
    </r>
    <r>
      <rPr>
        <sz val="11"/>
        <color theme="1"/>
        <rFont val="Times New Roman"/>
        <family val="1"/>
      </rPr>
      <t xml:space="preserve">            </t>
    </r>
    <r>
      <rPr>
        <sz val="11"/>
        <color theme="1"/>
        <rFont val="Arial"/>
        <family val="2"/>
      </rPr>
      <t>Contar con e.firma vigente del contribuyente que promueve la solicitud.</t>
    </r>
  </si>
  <si>
    <r>
      <t>·</t>
    </r>
    <r>
      <rPr>
        <sz val="11"/>
        <color theme="1"/>
        <rFont val="Times New Roman"/>
        <family val="1"/>
      </rPr>
      <t xml:space="preserve">            </t>
    </r>
    <r>
      <rPr>
        <sz val="11"/>
        <color theme="1"/>
        <rFont val="Arial"/>
        <family val="2"/>
      </rPr>
      <t xml:space="preserve">El contribuyente que promueve la solicitud, así como los socios, accionistas, asociados, representantes legales y demás personas relacionadas deberán tener estatus diferente a Suspendido o Cancelado ante el RFC. </t>
    </r>
  </si>
  <si>
    <r>
      <t>·</t>
    </r>
    <r>
      <rPr>
        <sz val="11"/>
        <color theme="1"/>
        <rFont val="Times New Roman"/>
        <family val="1"/>
      </rPr>
      <t xml:space="preserve">            </t>
    </r>
    <r>
      <rPr>
        <sz val="11"/>
        <color theme="1"/>
        <rFont val="Arial"/>
        <family val="2"/>
      </rPr>
      <t xml:space="preserve">En el Portal del SAT, dentro del aplicativo </t>
    </r>
    <r>
      <rPr>
        <b/>
        <sz val="11"/>
        <color theme="1"/>
        <rFont val="Arial"/>
        <family val="2"/>
      </rPr>
      <t>Socios o Accionistas</t>
    </r>
    <r>
      <rPr>
        <sz val="11"/>
        <color theme="1"/>
        <rFont val="Arial"/>
        <family val="2"/>
      </rPr>
      <t xml:space="preserve"> con el número de folio que se encuentra en el Acuse de recepción.</t>
    </r>
  </si>
  <si>
    <r>
      <t>·</t>
    </r>
    <r>
      <rPr>
        <sz val="11"/>
        <color theme="1"/>
        <rFont val="Times New Roman"/>
        <family val="1"/>
      </rPr>
      <t xml:space="preserve">            </t>
    </r>
    <r>
      <rPr>
        <sz val="11"/>
        <color theme="1"/>
        <rFont val="Arial"/>
        <family val="2"/>
      </rPr>
      <t>MarcaSAT de lunes a viernes de 09:00 a 18:00 hrs., excepto días inhábiles:</t>
    </r>
  </si>
  <si>
    <r>
      <t>·</t>
    </r>
    <r>
      <rPr>
        <sz val="11"/>
        <color theme="1"/>
        <rFont val="Times New Roman"/>
        <family val="1"/>
      </rPr>
      <t xml:space="preserve">            </t>
    </r>
    <r>
      <rPr>
        <sz val="11"/>
        <color theme="1"/>
        <rFont val="Arial"/>
        <family val="2"/>
      </rPr>
      <t>Quejas y Denuncias SAT, desde cualquier parte del país 55 885 22 222 y para el exterior del país (+52) 55 885 22 222 (quejas y denuncias).</t>
    </r>
  </si>
  <si>
    <r>
      <t>·</t>
    </r>
    <r>
      <rPr>
        <sz val="11"/>
        <color theme="1"/>
        <rFont val="Times New Roman"/>
        <family val="1"/>
      </rPr>
      <t xml:space="preserve">            </t>
    </r>
    <r>
      <rPr>
        <sz val="11"/>
        <color theme="1"/>
        <rFont val="Arial"/>
        <family val="2"/>
      </rPr>
      <t xml:space="preserve">Correo electrónico: </t>
    </r>
    <r>
      <rPr>
        <u/>
        <sz val="11"/>
        <color rgb="FF0563C1"/>
        <rFont val="Arial"/>
        <family val="2"/>
      </rPr>
      <t xml:space="preserve">denuncias@sat.gob.mx </t>
    </r>
  </si>
  <si>
    <r>
      <t xml:space="preserve">Vía Chat: </t>
    </r>
    <r>
      <rPr>
        <u/>
        <sz val="11"/>
        <color rgb="FF0563C1"/>
        <rFont val="Arial"/>
        <family val="2"/>
      </rPr>
      <t>https://chat.sat.gob.mx.</t>
    </r>
  </si>
  <si>
    <r>
      <t>·</t>
    </r>
    <r>
      <rPr>
        <sz val="11"/>
        <color theme="1"/>
        <rFont val="Times New Roman"/>
        <family val="1"/>
      </rPr>
      <t xml:space="preserve">            </t>
    </r>
    <r>
      <rPr>
        <sz val="11"/>
        <color theme="1"/>
        <rFont val="Arial"/>
        <family val="2"/>
      </rPr>
      <t>En el Portal del SAT:</t>
    </r>
  </si>
  <si>
    <r>
      <t>·</t>
    </r>
    <r>
      <rPr>
        <sz val="11"/>
        <color theme="1"/>
        <rFont val="Times New Roman"/>
        <family val="1"/>
      </rPr>
      <t xml:space="preserve">            </t>
    </r>
    <r>
      <rPr>
        <sz val="11"/>
        <color theme="1"/>
        <rFont val="Arial"/>
        <family val="2"/>
      </rPr>
      <t>Atención personal en las oficinas del SAT ubicadas en diversas ciudades del país, como se establece en la siguiente liga:</t>
    </r>
  </si>
  <si>
    <r>
      <t>https://www.sat.gob.mx/portal/public/directorio</t>
    </r>
    <r>
      <rPr>
        <u/>
        <sz val="11"/>
        <color theme="1"/>
        <rFont val="Arial"/>
        <family val="2"/>
      </rPr>
      <t xml:space="preserve"> </t>
    </r>
  </si>
  <si>
    <r>
      <t>·</t>
    </r>
    <r>
      <rPr>
        <sz val="11"/>
        <color theme="1"/>
        <rFont val="Times New Roman"/>
        <family val="1"/>
      </rPr>
      <t xml:space="preserve">            </t>
    </r>
    <r>
      <rPr>
        <sz val="11"/>
        <color theme="1"/>
        <rFont val="Arial"/>
        <family val="2"/>
      </rPr>
      <t>Teléfonos rojos ubicados en las oficinas del SAT.</t>
    </r>
  </si>
  <si>
    <r>
      <t>·</t>
    </r>
    <r>
      <rPr>
        <sz val="11"/>
        <color theme="1"/>
        <rFont val="Times New Roman"/>
        <family val="1"/>
      </rPr>
      <t xml:space="preserve">            </t>
    </r>
    <r>
      <rPr>
        <sz val="11"/>
        <color theme="1"/>
        <rFont val="Arial"/>
        <family val="2"/>
      </rPr>
      <t>MarcaSAT 55 627 22 728 opción 8.</t>
    </r>
  </si>
  <si>
    <r>
      <t>Artículos 19 y 27 del CFF; 297 de la CFPC; Regla 2.4.15. de la RMF; Regla 1.16. de la RFA.</t>
    </r>
    <r>
      <rPr>
        <vertAlign val="superscript"/>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</si>
</sst>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0.0000"/>
    <numFmt numFmtId="165" formatCode="0.0000"/>
    <numFmt numFmtId="166" formatCode="&quot;&quot;"/>
    <numFmt numFmtId="167" formatCode="&quot;$&quot;#,##0.00"/>
  </numFmts>
  <fonts count="75" x14ac:knownFonts="1">
    <font>
      <sz val="11"/>
      <color theme="1"/>
      <name val="Aptos Narrow"/>
      <family val="2"/>
      <scheme val="minor"/>
    </font>
    <font>
      <b/>
      <sz val="11"/>
      <color theme="1"/>
      <name val="Aptos Narrow"/>
      <family val="2"/>
      <scheme val="minor"/>
    </font>
    <font>
      <sz val="14"/>
      <color rgb="FF000000"/>
      <name val="Calibri"/>
      <family val="2"/>
    </font>
    <font>
      <u/>
      <sz val="11"/>
      <color theme="10"/>
      <name val="Aptos Narrow"/>
      <family val="2"/>
      <scheme val="minor"/>
    </font>
    <font>
      <sz val="8"/>
      <name val="Aptos Narrow"/>
      <family val="2"/>
      <scheme val="minor"/>
    </font>
    <font>
      <sz val="12"/>
      <color theme="1"/>
      <name val="Aptos Narrow"/>
      <family val="2"/>
      <scheme val="minor"/>
    </font>
    <font>
      <b/>
      <sz val="12"/>
      <color theme="1"/>
      <name val="Aptos Narrow"/>
      <family val="2"/>
      <scheme val="minor"/>
    </font>
    <font>
      <b/>
      <u/>
      <sz val="14"/>
      <color rgb="FF0033CC"/>
      <name val="Aptos Narrow"/>
      <family val="2"/>
      <scheme val="minor"/>
    </font>
    <font>
      <b/>
      <sz val="12"/>
      <color rgb="FFC00000"/>
      <name val="Aptos Narrow"/>
      <family val="2"/>
      <scheme val="minor"/>
    </font>
    <font>
      <sz val="14"/>
      <color theme="1"/>
      <name val="Aptos Narrow"/>
      <family val="2"/>
      <scheme val="minor"/>
    </font>
    <font>
      <b/>
      <sz val="14"/>
      <color theme="1"/>
      <name val="Aptos Narrow"/>
      <family val="2"/>
      <scheme val="minor"/>
    </font>
    <font>
      <b/>
      <sz val="14"/>
      <color rgb="FFFFFF00"/>
      <name val="Aptos Narrow"/>
      <family val="2"/>
      <scheme val="minor"/>
    </font>
    <font>
      <b/>
      <sz val="14"/>
      <color rgb="FF000000"/>
      <name val="Calibri"/>
      <family val="2"/>
    </font>
    <font>
      <b/>
      <sz val="9"/>
      <color rgb="FFFFFFFF"/>
      <name val="Arial"/>
      <family val="2"/>
    </font>
    <font>
      <sz val="9"/>
      <color rgb="FF000000"/>
      <name val="Arial"/>
      <family val="2"/>
    </font>
    <font>
      <b/>
      <sz val="9"/>
      <color rgb="FF363636"/>
      <name val="Arial"/>
      <family val="2"/>
    </font>
    <font>
      <sz val="11"/>
      <color theme="1"/>
      <name val="Aptos Narrow"/>
      <family val="2"/>
      <scheme val="minor"/>
    </font>
    <font>
      <sz val="11"/>
      <color theme="1"/>
      <name val="Arial"/>
      <family val="2"/>
    </font>
    <font>
      <b/>
      <sz val="11"/>
      <color theme="1"/>
      <name val="Arial"/>
      <family val="2"/>
    </font>
    <font>
      <b/>
      <u/>
      <sz val="11"/>
      <color rgb="FF0033CC"/>
      <name val="Aptos Narrow"/>
      <family val="2"/>
      <scheme val="minor"/>
    </font>
    <font>
      <b/>
      <sz val="12"/>
      <color rgb="FFFF0000"/>
      <name val="Aptos Narrow"/>
      <family val="2"/>
      <scheme val="minor"/>
    </font>
    <font>
      <b/>
      <u/>
      <sz val="12"/>
      <color rgb="FF0033CC"/>
      <name val="Aptos Narrow"/>
      <family val="2"/>
      <scheme val="minor"/>
    </font>
    <font>
      <b/>
      <sz val="12"/>
      <color theme="1"/>
      <name val="Arial"/>
      <family val="2"/>
    </font>
    <font>
      <b/>
      <sz val="12"/>
      <color rgb="FF0033CC"/>
      <name val="Aptos Narrow"/>
      <family val="2"/>
      <scheme val="minor"/>
    </font>
    <font>
      <sz val="11"/>
      <color theme="1"/>
      <name val="Calibri"/>
      <family val="2"/>
    </font>
    <font>
      <b/>
      <sz val="9"/>
      <color indexed="81"/>
      <name val="Tahoma"/>
      <family val="2"/>
    </font>
    <font>
      <b/>
      <sz val="13"/>
      <color rgb="FFFFFFFF"/>
      <name val="Calibri"/>
      <family val="2"/>
    </font>
    <font>
      <sz val="13"/>
      <color rgb="FF000000"/>
      <name val="Calibri"/>
      <family val="2"/>
    </font>
    <font>
      <b/>
      <sz val="11"/>
      <color theme="1"/>
      <name val="Calibri"/>
      <family val="2"/>
    </font>
    <font>
      <b/>
      <i/>
      <sz val="9"/>
      <color indexed="10"/>
      <name val="Tahoma"/>
      <family val="2"/>
    </font>
    <font>
      <b/>
      <sz val="11"/>
      <color rgb="FFFFFF00"/>
      <name val="Aptos Narrow"/>
      <family val="2"/>
      <scheme val="minor"/>
    </font>
    <font>
      <b/>
      <sz val="11"/>
      <color rgb="FF000000"/>
      <name val="Arial"/>
      <family val="2"/>
    </font>
    <font>
      <sz val="11"/>
      <color rgb="FF000000"/>
      <name val="Arial"/>
      <family val="2"/>
    </font>
    <font>
      <u/>
      <sz val="11"/>
      <color rgb="FF0563C1"/>
      <name val="Arial"/>
      <family val="2"/>
    </font>
    <font>
      <u/>
      <sz val="11"/>
      <color theme="1"/>
      <name val="Arial"/>
      <family val="2"/>
    </font>
    <font>
      <sz val="11"/>
      <color theme="1"/>
      <name val="Symbol"/>
      <family val="1"/>
      <charset val="2"/>
    </font>
    <font>
      <b/>
      <sz val="11"/>
      <color theme="0"/>
      <name val="Aptos Narrow"/>
      <family val="2"/>
      <scheme val="minor"/>
    </font>
    <font>
      <sz val="11"/>
      <color theme="0"/>
      <name val="Aptos Narrow"/>
      <family val="2"/>
      <scheme val="minor"/>
    </font>
    <font>
      <sz val="11"/>
      <color rgb="FF0033CC"/>
      <name val="Aptos Narrow"/>
      <family val="2"/>
      <scheme val="minor"/>
    </font>
    <font>
      <b/>
      <sz val="11"/>
      <color rgb="FF0033CC"/>
      <name val="Aptos Narrow"/>
      <family val="2"/>
      <scheme val="minor"/>
    </font>
    <font>
      <b/>
      <sz val="11"/>
      <color rgb="FFC00000"/>
      <name val="Aptos Narrow"/>
      <family val="2"/>
      <scheme val="minor"/>
    </font>
    <font>
      <sz val="11"/>
      <color rgb="FFC00000"/>
      <name val="Aptos Narrow"/>
      <family val="2"/>
      <scheme val="minor"/>
    </font>
    <font>
      <sz val="12"/>
      <color rgb="FFC00000"/>
      <name val="Aptos Narrow"/>
      <family val="2"/>
      <scheme val="minor"/>
    </font>
    <font>
      <u/>
      <sz val="11"/>
      <color rgb="FF0033CC"/>
      <name val="Arial"/>
      <family val="2"/>
    </font>
    <font>
      <b/>
      <u/>
      <sz val="11"/>
      <color rgb="FF0033CC"/>
      <name val="Arial"/>
      <family val="2"/>
    </font>
    <font>
      <b/>
      <u/>
      <sz val="11"/>
      <color rgb="FFC00000"/>
      <name val="Arial"/>
      <family val="2"/>
    </font>
    <font>
      <sz val="12"/>
      <color rgb="FF0033CC"/>
      <name val="Aptos Narrow"/>
      <family val="2"/>
      <scheme val="minor"/>
    </font>
    <font>
      <sz val="12"/>
      <color theme="0"/>
      <name val="Aptos Narrow"/>
      <family val="2"/>
      <scheme val="minor"/>
    </font>
    <font>
      <b/>
      <sz val="12"/>
      <color theme="0"/>
      <name val="Aptos Narrow"/>
      <family val="2"/>
      <scheme val="minor"/>
    </font>
    <font>
      <sz val="12"/>
      <color theme="0"/>
      <name val="Arial"/>
      <family val="2"/>
    </font>
    <font>
      <b/>
      <i/>
      <u/>
      <sz val="14"/>
      <color theme="0"/>
      <name val="Calibri"/>
      <family val="2"/>
    </font>
    <font>
      <b/>
      <sz val="14"/>
      <color theme="0"/>
      <name val="Aptos Narrow"/>
      <family val="2"/>
      <scheme val="minor"/>
    </font>
    <font>
      <sz val="14"/>
      <color theme="0"/>
      <name val="Calibri"/>
      <family val="2"/>
    </font>
    <font>
      <sz val="14"/>
      <color theme="0"/>
      <name val="Aptos Narrow"/>
      <family val="2"/>
      <scheme val="minor"/>
    </font>
    <font>
      <b/>
      <sz val="14"/>
      <color theme="0"/>
      <name val="Calibri"/>
      <family val="2"/>
    </font>
    <font>
      <sz val="14"/>
      <color theme="0"/>
      <name val="Algerian"/>
      <family val="5"/>
    </font>
    <font>
      <b/>
      <u/>
      <sz val="11"/>
      <color theme="1"/>
      <name val="Aptos Narrow"/>
      <family val="2"/>
      <scheme val="minor"/>
    </font>
    <font>
      <u/>
      <sz val="14"/>
      <color rgb="FF0033CC"/>
      <name val="Arial"/>
      <family val="2"/>
    </font>
    <font>
      <u/>
      <sz val="12"/>
      <color rgb="FFC00000"/>
      <name val="Arial"/>
      <family val="2"/>
    </font>
    <font>
      <b/>
      <u/>
      <sz val="12"/>
      <color rgb="FFC00000"/>
      <name val="Arial"/>
      <family val="2"/>
    </font>
    <font>
      <b/>
      <sz val="12"/>
      <color theme="10"/>
      <name val="Aptos Narrow"/>
      <family val="2"/>
      <scheme val="minor"/>
    </font>
    <font>
      <b/>
      <sz val="11"/>
      <color theme="10"/>
      <name val="Aptos Narrow"/>
      <family val="2"/>
      <scheme val="minor"/>
    </font>
    <font>
      <sz val="11"/>
      <color rgb="FFFFFF00"/>
      <name val="Aptos Narrow"/>
      <family val="2"/>
      <scheme val="minor"/>
    </font>
    <font>
      <u/>
      <sz val="14"/>
      <color theme="10"/>
      <name val="Aptos Narrow"/>
      <family val="2"/>
      <scheme val="minor"/>
    </font>
    <font>
      <sz val="12"/>
      <color theme="1"/>
      <name val="Arial"/>
      <family val="2"/>
    </font>
    <font>
      <b/>
      <sz val="11"/>
      <color theme="4" tint="-0.249977111117893"/>
      <name val="Aptos Narrow"/>
      <family val="2"/>
      <scheme val="minor"/>
    </font>
    <font>
      <b/>
      <sz val="9"/>
      <color indexed="39"/>
      <name val="Tahoma"/>
      <family val="2"/>
    </font>
    <font>
      <b/>
      <sz val="14"/>
      <color rgb="FFFF0000"/>
      <name val="Aptos Narrow"/>
      <family val="2"/>
      <scheme val="minor"/>
    </font>
    <font>
      <b/>
      <sz val="14"/>
      <color theme="5" tint="-0.499984740745262"/>
      <name val="Aptos Narrow"/>
      <family val="2"/>
      <scheme val="minor"/>
    </font>
    <font>
      <b/>
      <sz val="11"/>
      <color theme="5" tint="-0.499984740745262"/>
      <name val="Aptos Narrow"/>
      <family val="2"/>
      <scheme val="minor"/>
    </font>
    <font>
      <b/>
      <sz val="14"/>
      <name val="Calibri"/>
      <family val="2"/>
    </font>
    <font>
      <b/>
      <sz val="11"/>
      <name val="Calibri"/>
      <family val="2"/>
    </font>
    <font>
      <sz val="9"/>
      <color theme="1"/>
      <name val="Arial"/>
      <family val="2"/>
    </font>
    <font>
      <sz val="11"/>
      <color theme="1"/>
      <name val="Times New Roman"/>
      <family val="1"/>
    </font>
    <font>
      <vertAlign val="superscript"/>
      <sz val="11"/>
      <color theme="1"/>
      <name val="Arial"/>
      <family val="2"/>
    </font>
  </fonts>
  <fills count="33">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5" tint="-0.499984740745262"/>
        <bgColor indexed="64"/>
      </patternFill>
    </fill>
    <fill>
      <patternFill patternType="solid">
        <fgColor rgb="FFFFFFFF"/>
        <bgColor indexed="64"/>
      </patternFill>
    </fill>
    <fill>
      <patternFill patternType="solid">
        <fgColor rgb="FF104E8B"/>
        <bgColor indexed="64"/>
      </patternFill>
    </fill>
    <fill>
      <patternFill patternType="solid">
        <fgColor rgb="FFF0F8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5B9BD5"/>
        <bgColor indexed="64"/>
      </patternFill>
    </fill>
    <fill>
      <patternFill patternType="solid">
        <fgColor rgb="FFD2DEEF"/>
        <bgColor indexed="64"/>
      </patternFill>
    </fill>
    <fill>
      <patternFill patternType="solid">
        <fgColor rgb="FFEAEFF7"/>
        <bgColor indexed="64"/>
      </patternFill>
    </fill>
    <fill>
      <patternFill patternType="solid">
        <fgColor theme="7" tint="0.59999389629810485"/>
        <bgColor indexed="64"/>
      </patternFill>
    </fill>
    <fill>
      <patternFill patternType="solid">
        <fgColor rgb="FFC00000"/>
        <bgColor indexed="64"/>
      </patternFill>
    </fill>
    <fill>
      <patternFill patternType="solid">
        <fgColor theme="3" tint="9.9978637043366805E-2"/>
        <bgColor indexed="64"/>
      </patternFill>
    </fill>
    <fill>
      <patternFill patternType="solid">
        <fgColor rgb="FFC0C0C0"/>
        <bgColor indexed="64"/>
      </patternFill>
    </fill>
    <fill>
      <patternFill patternType="solid">
        <fgColor theme="4" tint="0.59999389629810485"/>
        <bgColor indexed="64"/>
      </patternFill>
    </fill>
    <fill>
      <patternFill patternType="solid">
        <fgColor rgb="FF0033CC"/>
        <bgColor indexed="64"/>
      </patternFill>
    </fill>
    <fill>
      <patternFill patternType="solid">
        <fgColor theme="6" tint="-0.499984740745262"/>
        <bgColor indexed="64"/>
      </patternFill>
    </fill>
    <fill>
      <patternFill patternType="solid">
        <fgColor theme="0" tint="-0.249977111117893"/>
        <bgColor indexed="64"/>
      </patternFill>
    </fill>
    <fill>
      <patternFill patternType="solid">
        <fgColor rgb="FFF0F0F0"/>
      </patternFill>
    </fill>
    <fill>
      <patternFill patternType="solid">
        <fgColor theme="5" tint="0.79998168889431442"/>
        <bgColor indexed="64"/>
      </patternFill>
    </fill>
    <fill>
      <patternFill patternType="solid">
        <fgColor theme="3" tint="0.89999084444715716"/>
        <bgColor indexed="64"/>
      </patternFill>
    </fill>
    <fill>
      <patternFill patternType="solid">
        <fgColor rgb="FFFFFFCC"/>
        <bgColor indexed="64"/>
      </patternFill>
    </fill>
    <fill>
      <patternFill patternType="solid">
        <fgColor rgb="FFCCFFFF"/>
        <bgColor indexed="64"/>
      </patternFill>
    </fill>
    <fill>
      <patternFill patternType="solid">
        <fgColor rgb="FF99FFCC"/>
        <bgColor indexed="64"/>
      </patternFill>
    </fill>
    <fill>
      <patternFill patternType="solid">
        <fgColor rgb="FF66FFFF"/>
        <bgColor indexed="64"/>
      </patternFill>
    </fill>
    <fill>
      <patternFill patternType="solid">
        <fgColor rgb="FF99FF99"/>
        <bgColor auto="1"/>
      </patternFill>
    </fill>
    <fill>
      <patternFill patternType="solid">
        <fgColor theme="0" tint="-4.9989318521683403E-2"/>
        <bgColor auto="1"/>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double">
        <color rgb="FF000000"/>
      </top>
      <bottom/>
      <diagonal/>
    </border>
    <border>
      <left/>
      <right/>
      <top/>
      <bottom style="double">
        <color rgb="FF000000"/>
      </bottom>
      <diagonal/>
    </border>
    <border>
      <left style="thin">
        <color indexed="64"/>
      </left>
      <right/>
      <top/>
      <bottom/>
      <diagonal/>
    </border>
    <border>
      <left/>
      <right/>
      <top style="double">
        <color indexed="64"/>
      </top>
      <bottom/>
      <diagonal/>
    </border>
    <border>
      <left/>
      <right/>
      <top/>
      <bottom style="double">
        <color indexed="64"/>
      </bottom>
      <diagonal/>
    </border>
  </borders>
  <cellStyleXfs count="3">
    <xf numFmtId="0" fontId="0" fillId="0" borderId="0"/>
    <xf numFmtId="0" fontId="3" fillId="0" borderId="0" applyNumberFormat="0" applyFill="0" applyBorder="0" applyAlignment="0" applyProtection="0"/>
    <xf numFmtId="9" fontId="16" fillId="0" borderId="0" applyFont="0" applyFill="0" applyBorder="0" applyAlignment="0" applyProtection="0"/>
  </cellStyleXfs>
  <cellXfs count="347">
    <xf numFmtId="0" fontId="0" fillId="0" borderId="0" xfId="0"/>
    <xf numFmtId="0" fontId="9" fillId="0" borderId="0" xfId="0" applyFont="1"/>
    <xf numFmtId="0" fontId="1" fillId="0" borderId="0" xfId="0" applyFont="1"/>
    <xf numFmtId="4" fontId="1" fillId="0" borderId="0" xfId="0" applyNumberFormat="1" applyFont="1"/>
    <xf numFmtId="0" fontId="5" fillId="0" borderId="0" xfId="0" applyFont="1"/>
    <xf numFmtId="0" fontId="6" fillId="0" borderId="0" xfId="0" applyFont="1"/>
    <xf numFmtId="4" fontId="6" fillId="0" borderId="0" xfId="0" applyNumberFormat="1" applyFont="1"/>
    <xf numFmtId="4" fontId="0" fillId="3" borderId="1" xfId="0" applyNumberFormat="1" applyFill="1" applyBorder="1"/>
    <xf numFmtId="0" fontId="21" fillId="0" borderId="0" xfId="1" applyFont="1"/>
    <xf numFmtId="4" fontId="5" fillId="3" borderId="1" xfId="0" applyNumberFormat="1" applyFont="1" applyFill="1" applyBorder="1"/>
    <xf numFmtId="0" fontId="0" fillId="3" borderId="1" xfId="0" applyFill="1" applyBorder="1"/>
    <xf numFmtId="4" fontId="0" fillId="2" borderId="0" xfId="0" applyNumberFormat="1" applyFill="1"/>
    <xf numFmtId="0" fontId="24" fillId="0" borderId="0" xfId="0" applyFont="1" applyAlignment="1">
      <alignment horizontal="center" vertical="center"/>
    </xf>
    <xf numFmtId="0" fontId="1" fillId="0" borderId="0" xfId="0" applyFont="1" applyAlignment="1">
      <alignment horizontal="center" vertical="center"/>
    </xf>
    <xf numFmtId="4" fontId="0" fillId="3" borderId="1" xfId="0" applyNumberFormat="1" applyFill="1" applyBorder="1" applyAlignment="1">
      <alignment vertical="center"/>
    </xf>
    <xf numFmtId="4" fontId="1" fillId="16" borderId="1" xfId="0" quotePrefix="1" applyNumberFormat="1" applyFont="1" applyFill="1" applyBorder="1" applyAlignment="1">
      <alignment vertical="center"/>
    </xf>
    <xf numFmtId="4" fontId="0" fillId="0" borderId="1" xfId="0" quotePrefix="1" applyNumberFormat="1" applyBorder="1" applyAlignment="1">
      <alignment vertical="center"/>
    </xf>
    <xf numFmtId="4" fontId="0" fillId="0" borderId="1" xfId="0" applyNumberFormat="1" applyBorder="1" applyAlignment="1">
      <alignment vertical="center"/>
    </xf>
    <xf numFmtId="4" fontId="0" fillId="16" borderId="1" xfId="0" quotePrefix="1" applyNumberFormat="1" applyFill="1" applyBorder="1" applyAlignment="1">
      <alignment vertical="center"/>
    </xf>
    <xf numFmtId="0" fontId="0" fillId="17" borderId="0" xfId="0" applyFill="1"/>
    <xf numFmtId="0" fontId="30" fillId="18" borderId="0" xfId="0" applyFont="1" applyFill="1" applyAlignment="1">
      <alignment horizontal="center" vertical="center" wrapText="1"/>
    </xf>
    <xf numFmtId="0" fontId="30" fillId="4" borderId="0" xfId="0" applyFont="1" applyFill="1" applyAlignment="1">
      <alignment horizontal="center" vertical="center" wrapText="1"/>
    </xf>
    <xf numFmtId="166" fontId="0" fillId="0" borderId="0" xfId="0" applyNumberFormat="1"/>
    <xf numFmtId="4" fontId="47" fillId="0" borderId="1" xfId="0" applyNumberFormat="1" applyFont="1" applyBorder="1"/>
    <xf numFmtId="0" fontId="47" fillId="0" borderId="0" xfId="0" applyFont="1"/>
    <xf numFmtId="0" fontId="37" fillId="0" borderId="0" xfId="0" applyFont="1"/>
    <xf numFmtId="0" fontId="0" fillId="0" borderId="0" xfId="0" applyProtection="1">
      <protection locked="0"/>
    </xf>
    <xf numFmtId="0" fontId="6" fillId="0" borderId="0" xfId="0" applyFont="1" applyProtection="1">
      <protection locked="0"/>
    </xf>
    <xf numFmtId="0" fontId="5" fillId="0" borderId="0" xfId="0" applyFont="1" applyProtection="1">
      <protection locked="0"/>
    </xf>
    <xf numFmtId="0" fontId="6" fillId="9"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wrapText="1"/>
      <protection locked="0"/>
    </xf>
    <xf numFmtId="4" fontId="5" fillId="3" borderId="1" xfId="0" applyNumberFormat="1" applyFont="1" applyFill="1" applyBorder="1" applyAlignment="1" applyProtection="1">
      <alignment horizontal="right" vertical="center" wrapText="1"/>
      <protection locked="0"/>
    </xf>
    <xf numFmtId="0" fontId="8" fillId="5" borderId="1" xfId="0" applyFont="1" applyFill="1" applyBorder="1" applyAlignment="1" applyProtection="1">
      <alignment horizontal="left" vertical="center" wrapText="1"/>
      <protection locked="0"/>
    </xf>
    <xf numFmtId="4" fontId="5" fillId="8" borderId="1" xfId="0" applyNumberFormat="1" applyFont="1" applyFill="1" applyBorder="1" applyAlignment="1" applyProtection="1">
      <alignment horizontal="right" vertical="center" wrapText="1"/>
      <protection locked="0"/>
    </xf>
    <xf numFmtId="0" fontId="20" fillId="5" borderId="1"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left" vertical="center" wrapText="1"/>
      <protection locked="0"/>
    </xf>
    <xf numFmtId="4" fontId="6" fillId="5" borderId="1" xfId="0" applyNumberFormat="1" applyFont="1" applyFill="1" applyBorder="1" applyAlignment="1" applyProtection="1">
      <alignment horizontal="right" vertical="center" wrapText="1"/>
      <protection locked="0"/>
    </xf>
    <xf numFmtId="4" fontId="5" fillId="5" borderId="1" xfId="0" applyNumberFormat="1" applyFont="1" applyFill="1" applyBorder="1" applyAlignment="1" applyProtection="1">
      <alignment horizontal="right" vertical="center" wrapText="1"/>
      <protection locked="0"/>
    </xf>
    <xf numFmtId="0" fontId="21" fillId="11" borderId="0" xfId="1" applyFont="1" applyFill="1" applyBorder="1" applyAlignment="1" applyProtection="1">
      <alignment horizontal="left" vertical="center" wrapText="1"/>
      <protection locked="0"/>
    </xf>
    <xf numFmtId="4" fontId="6" fillId="11" borderId="0" xfId="0" applyNumberFormat="1" applyFont="1" applyFill="1" applyAlignment="1" applyProtection="1">
      <alignment horizontal="right" vertical="center" wrapText="1"/>
      <protection locked="0"/>
    </xf>
    <xf numFmtId="0" fontId="22" fillId="9" borderId="1"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4" fontId="47" fillId="0" borderId="0" xfId="0" applyNumberFormat="1" applyFont="1" applyProtection="1">
      <protection locked="0"/>
    </xf>
    <xf numFmtId="0" fontId="47" fillId="0" borderId="1" xfId="0" applyFont="1" applyBorder="1" applyProtection="1">
      <protection locked="0"/>
    </xf>
    <xf numFmtId="9" fontId="47" fillId="0" borderId="1" xfId="2" applyFont="1" applyBorder="1" applyProtection="1">
      <protection locked="0"/>
    </xf>
    <xf numFmtId="4" fontId="6" fillId="0" borderId="0" xfId="0" applyNumberFormat="1" applyFont="1" applyProtection="1">
      <protection locked="0"/>
    </xf>
    <xf numFmtId="0" fontId="5" fillId="0" borderId="1" xfId="0" applyFont="1" applyBorder="1" applyProtection="1">
      <protection locked="0"/>
    </xf>
    <xf numFmtId="4" fontId="5" fillId="0" borderId="1" xfId="0" applyNumberFormat="1" applyFont="1" applyBorder="1" applyProtection="1">
      <protection locked="0"/>
    </xf>
    <xf numFmtId="0" fontId="23" fillId="0" borderId="0" xfId="0" applyFont="1" applyProtection="1">
      <protection locked="0"/>
    </xf>
    <xf numFmtId="4" fontId="23" fillId="0" borderId="0" xfId="0" applyNumberFormat="1" applyFont="1" applyProtection="1">
      <protection locked="0"/>
    </xf>
    <xf numFmtId="4" fontId="47" fillId="0" borderId="1" xfId="0" applyNumberFormat="1" applyFont="1" applyBorder="1" applyProtection="1">
      <protection locked="0"/>
    </xf>
    <xf numFmtId="4" fontId="37" fillId="0" borderId="1" xfId="0" applyNumberFormat="1" applyFont="1" applyBorder="1" applyProtection="1">
      <protection locked="0"/>
    </xf>
    <xf numFmtId="0" fontId="47" fillId="0" borderId="0" xfId="0" applyFont="1" applyProtection="1">
      <protection locked="0"/>
    </xf>
    <xf numFmtId="0" fontId="37" fillId="0" borderId="0" xfId="0" applyFont="1" applyProtection="1">
      <protection locked="0"/>
    </xf>
    <xf numFmtId="4" fontId="37" fillId="0" borderId="0" xfId="0" applyNumberFormat="1" applyFont="1" applyProtection="1">
      <protection locked="0"/>
    </xf>
    <xf numFmtId="0" fontId="47" fillId="0" borderId="1" xfId="0" applyFont="1" applyBorder="1" applyAlignment="1" applyProtection="1">
      <alignment horizontal="left" indent="1"/>
      <protection locked="0"/>
    </xf>
    <xf numFmtId="4" fontId="1" fillId="0" borderId="0" xfId="0" applyNumberFormat="1" applyFont="1" applyProtection="1">
      <protection locked="0"/>
    </xf>
    <xf numFmtId="0" fontId="55" fillId="0" borderId="0" xfId="0" applyFont="1" applyAlignment="1" applyProtection="1">
      <alignment horizontal="center"/>
      <protection locked="0" hidden="1"/>
    </xf>
    <xf numFmtId="0" fontId="55" fillId="0" borderId="0" xfId="0" applyFont="1" applyAlignment="1" applyProtection="1">
      <alignment horizontal="center" vertical="center"/>
      <protection locked="0" hidden="1"/>
    </xf>
    <xf numFmtId="0" fontId="6" fillId="12" borderId="1" xfId="0" applyFont="1" applyFill="1" applyBorder="1" applyAlignment="1" applyProtection="1">
      <alignment horizontal="center"/>
      <protection locked="0"/>
    </xf>
    <xf numFmtId="0" fontId="6" fillId="12" borderId="5" xfId="0" applyFont="1" applyFill="1" applyBorder="1" applyAlignment="1" applyProtection="1">
      <alignment horizontal="center"/>
      <protection locked="0"/>
    </xf>
    <xf numFmtId="0" fontId="19" fillId="5" borderId="1" xfId="1" applyFont="1" applyFill="1" applyBorder="1" applyAlignment="1" applyProtection="1">
      <alignment horizontal="left" vertical="center" wrapText="1"/>
      <protection locked="0"/>
    </xf>
    <xf numFmtId="4" fontId="5" fillId="3" borderId="1" xfId="0" applyNumberFormat="1" applyFont="1" applyFill="1" applyBorder="1" applyAlignment="1" applyProtection="1">
      <alignment horizontal="right" vertical="center" wrapText="1" indent="1"/>
      <protection locked="0"/>
    </xf>
    <xf numFmtId="4" fontId="5" fillId="8" borderId="1" xfId="0" applyNumberFormat="1" applyFont="1" applyFill="1" applyBorder="1" applyAlignment="1" applyProtection="1">
      <alignment horizontal="right" vertical="center" wrapText="1" indent="1"/>
      <protection locked="0"/>
    </xf>
    <xf numFmtId="10" fontId="5" fillId="3" borderId="1" xfId="0" applyNumberFormat="1" applyFont="1" applyFill="1" applyBorder="1" applyAlignment="1" applyProtection="1">
      <alignment horizontal="right" vertical="center" wrapText="1" indent="1"/>
      <protection locked="0"/>
    </xf>
    <xf numFmtId="10" fontId="5" fillId="5" borderId="1" xfId="0" applyNumberFormat="1" applyFont="1" applyFill="1" applyBorder="1" applyAlignment="1" applyProtection="1">
      <alignment horizontal="right" vertical="center" wrapText="1" indent="1"/>
      <protection locked="0"/>
    </xf>
    <xf numFmtId="4" fontId="47" fillId="5" borderId="1" xfId="0" applyNumberFormat="1" applyFont="1" applyFill="1" applyBorder="1" applyAlignment="1" applyProtection="1">
      <alignment horizontal="right" vertical="center" wrapText="1" indent="1"/>
      <protection locked="0"/>
    </xf>
    <xf numFmtId="0" fontId="19" fillId="5" borderId="1" xfId="1" applyFont="1" applyFill="1" applyBorder="1" applyAlignment="1" applyProtection="1">
      <alignment vertical="center" wrapText="1"/>
      <protection locked="0"/>
    </xf>
    <xf numFmtId="4" fontId="5" fillId="5" borderId="1" xfId="0" applyNumberFormat="1" applyFont="1" applyFill="1" applyBorder="1" applyAlignment="1" applyProtection="1">
      <alignment horizontal="right" vertical="center" wrapText="1" indent="1"/>
      <protection locked="0"/>
    </xf>
    <xf numFmtId="8" fontId="0" fillId="0" borderId="0" xfId="0" applyNumberFormat="1" applyProtection="1">
      <protection locked="0"/>
    </xf>
    <xf numFmtId="9" fontId="47" fillId="0" borderId="0" xfId="2" applyFont="1" applyProtection="1">
      <protection locked="0"/>
    </xf>
    <xf numFmtId="0" fontId="6" fillId="0" borderId="0" xfId="0" applyFont="1" applyAlignment="1" applyProtection="1">
      <alignment vertical="center"/>
      <protection locked="0"/>
    </xf>
    <xf numFmtId="4" fontId="6" fillId="0" borderId="0" xfId="0" applyNumberFormat="1" applyFont="1" applyAlignment="1" applyProtection="1">
      <alignment vertical="center"/>
      <protection locked="0"/>
    </xf>
    <xf numFmtId="0" fontId="57" fillId="0" borderId="0" xfId="1" applyFont="1" applyAlignment="1">
      <alignment horizontal="center" vertical="center"/>
    </xf>
    <xf numFmtId="0" fontId="58" fillId="0" borderId="0" xfId="1" applyFont="1"/>
    <xf numFmtId="0" fontId="44" fillId="0" borderId="0" xfId="1" applyFont="1" applyAlignment="1">
      <alignment horizontal="center" vertical="center"/>
    </xf>
    <xf numFmtId="0" fontId="59" fillId="0" borderId="0" xfId="1" applyFont="1" applyAlignment="1">
      <alignment horizontal="center" vertical="center"/>
    </xf>
    <xf numFmtId="0" fontId="44" fillId="0" borderId="0" xfId="1" applyFont="1" applyAlignment="1">
      <alignment vertical="center"/>
    </xf>
    <xf numFmtId="0" fontId="45" fillId="0" borderId="0" xfId="1" applyFont="1" applyAlignment="1">
      <alignment horizontal="center" vertical="center"/>
    </xf>
    <xf numFmtId="0" fontId="1" fillId="0" borderId="0" xfId="0" applyFont="1" applyProtection="1">
      <protection locked="0"/>
    </xf>
    <xf numFmtId="0" fontId="21" fillId="0" borderId="0" xfId="1" applyFont="1" applyProtection="1">
      <protection locked="0"/>
    </xf>
    <xf numFmtId="4" fontId="0" fillId="0" borderId="1" xfId="0" quotePrefix="1" applyNumberFormat="1" applyBorder="1" applyProtection="1">
      <protection locked="0"/>
    </xf>
    <xf numFmtId="4" fontId="0" fillId="3" borderId="1" xfId="0" applyNumberFormat="1" applyFill="1" applyBorder="1" applyProtection="1">
      <protection locked="0"/>
    </xf>
    <xf numFmtId="0" fontId="19" fillId="0" borderId="0" xfId="1" applyFont="1" applyProtection="1">
      <protection locked="0"/>
    </xf>
    <xf numFmtId="0" fontId="43" fillId="0" borderId="0" xfId="1" applyFont="1" applyAlignment="1" applyProtection="1">
      <alignment horizontal="center"/>
      <protection locked="0"/>
    </xf>
    <xf numFmtId="4" fontId="0" fillId="0" borderId="1" xfId="0" applyNumberFormat="1" applyBorder="1" applyProtection="1">
      <protection locked="0"/>
    </xf>
    <xf numFmtId="4" fontId="0" fillId="3" borderId="1" xfId="0" quotePrefix="1" applyNumberFormat="1" applyFill="1" applyBorder="1" applyProtection="1">
      <protection locked="0"/>
    </xf>
    <xf numFmtId="4" fontId="0" fillId="0" borderId="0" xfId="0" quotePrefix="1" applyNumberFormat="1" applyProtection="1">
      <protection locked="0"/>
    </xf>
    <xf numFmtId="0" fontId="1" fillId="2" borderId="1" xfId="0" applyFont="1" applyFill="1" applyBorder="1" applyAlignment="1" applyProtection="1">
      <alignment horizontal="center" vertical="center" wrapText="1"/>
      <protection locked="0"/>
    </xf>
    <xf numFmtId="0" fontId="1" fillId="9" borderId="1" xfId="0" applyFont="1" applyFill="1" applyBorder="1" applyAlignment="1" applyProtection="1">
      <alignment horizontal="center" vertical="center"/>
      <protection locked="0"/>
    </xf>
    <xf numFmtId="14" fontId="0" fillId="3" borderId="1" xfId="0" applyNumberFormat="1" applyFill="1" applyBorder="1" applyProtection="1">
      <protection locked="0"/>
    </xf>
    <xf numFmtId="0" fontId="37" fillId="0" borderId="0" xfId="0" applyFont="1" applyAlignment="1" applyProtection="1">
      <alignment horizontal="left" indent="1"/>
      <protection locked="0"/>
    </xf>
    <xf numFmtId="165" fontId="37" fillId="0" borderId="0" xfId="0" quotePrefix="1" applyNumberFormat="1" applyFont="1" applyProtection="1">
      <protection locked="0"/>
    </xf>
    <xf numFmtId="165" fontId="37" fillId="0" borderId="0" xfId="0" applyNumberFormat="1" applyFont="1" applyProtection="1">
      <protection locked="0"/>
    </xf>
    <xf numFmtId="4" fontId="47" fillId="3" borderId="1" xfId="0" applyNumberFormat="1" applyFont="1" applyFill="1" applyBorder="1" applyProtection="1">
      <protection locked="0"/>
    </xf>
    <xf numFmtId="0" fontId="37" fillId="3" borderId="1" xfId="0" applyFont="1" applyFill="1" applyBorder="1" applyProtection="1">
      <protection locked="0"/>
    </xf>
    <xf numFmtId="4" fontId="37" fillId="3" borderId="1" xfId="0" applyNumberFormat="1" applyFont="1" applyFill="1" applyBorder="1" applyProtection="1">
      <protection locked="0"/>
    </xf>
    <xf numFmtId="0" fontId="6" fillId="20" borderId="7" xfId="0" applyFont="1" applyFill="1" applyBorder="1" applyAlignment="1" applyProtection="1">
      <alignment horizontal="center" vertical="center" wrapText="1"/>
      <protection locked="0"/>
    </xf>
    <xf numFmtId="0" fontId="1" fillId="20" borderId="7" xfId="0" applyFont="1" applyFill="1" applyBorder="1" applyAlignment="1" applyProtection="1">
      <alignment horizontal="center" vertical="center"/>
      <protection locked="0"/>
    </xf>
    <xf numFmtId="0" fontId="1" fillId="20" borderId="7" xfId="0" applyFont="1" applyFill="1" applyBorder="1" applyAlignment="1" applyProtection="1">
      <alignment horizontal="center" vertical="center" wrapText="1"/>
      <protection locked="0"/>
    </xf>
    <xf numFmtId="4" fontId="5" fillId="3" borderId="1" xfId="0" applyNumberFormat="1" applyFont="1" applyFill="1" applyBorder="1" applyProtection="1">
      <protection locked="0"/>
    </xf>
    <xf numFmtId="0" fontId="46" fillId="0" borderId="0" xfId="1" applyFont="1" applyProtection="1">
      <protection locked="0"/>
    </xf>
    <xf numFmtId="0" fontId="44" fillId="0" borderId="0" xfId="1" applyFont="1" applyProtection="1">
      <protection locked="0"/>
    </xf>
    <xf numFmtId="0" fontId="48" fillId="0" borderId="0" xfId="0" applyFont="1" applyProtection="1">
      <protection locked="0"/>
    </xf>
    <xf numFmtId="4" fontId="48" fillId="0" borderId="0" xfId="0" applyNumberFormat="1" applyFont="1" applyProtection="1">
      <protection locked="0"/>
    </xf>
    <xf numFmtId="0" fontId="45" fillId="0" borderId="0" xfId="1" applyFont="1" applyAlignment="1" applyProtection="1">
      <alignment horizontal="right"/>
      <protection locked="0"/>
    </xf>
    <xf numFmtId="4" fontId="47" fillId="0" borderId="6" xfId="0" applyNumberFormat="1" applyFont="1" applyBorder="1" applyProtection="1">
      <protection locked="0"/>
    </xf>
    <xf numFmtId="0" fontId="37" fillId="0" borderId="6" xfId="0" applyFont="1" applyBorder="1" applyProtection="1">
      <protection locked="0"/>
    </xf>
    <xf numFmtId="9" fontId="37" fillId="0" borderId="6" xfId="2" applyFont="1" applyBorder="1" applyProtection="1">
      <protection locked="0"/>
    </xf>
    <xf numFmtId="0" fontId="8" fillId="0" borderId="0" xfId="0" applyFont="1" applyProtection="1">
      <protection locked="0"/>
    </xf>
    <xf numFmtId="4" fontId="40" fillId="0" borderId="0" xfId="0" applyNumberFormat="1" applyFont="1" applyProtection="1">
      <protection locked="0"/>
    </xf>
    <xf numFmtId="0" fontId="38" fillId="0" borderId="0" xfId="1" applyFont="1" applyAlignment="1" applyProtection="1">
      <alignment horizontal="justify" vertical="center" wrapText="1"/>
      <protection locked="0"/>
    </xf>
    <xf numFmtId="4" fontId="0" fillId="3" borderId="1" xfId="0" applyNumberFormat="1" applyFill="1" applyBorder="1" applyAlignment="1" applyProtection="1">
      <alignment vertical="center"/>
      <protection locked="0"/>
    </xf>
    <xf numFmtId="0" fontId="36" fillId="0" borderId="0" xfId="0" applyFont="1" applyProtection="1">
      <protection locked="0"/>
    </xf>
    <xf numFmtId="4" fontId="36" fillId="0" borderId="0" xfId="0" applyNumberFormat="1" applyFont="1" applyProtection="1">
      <protection locked="0"/>
    </xf>
    <xf numFmtId="4" fontId="0" fillId="0" borderId="0" xfId="0" applyNumberFormat="1" applyProtection="1">
      <protection locked="0"/>
    </xf>
    <xf numFmtId="0" fontId="24" fillId="0" borderId="0" xfId="0" applyFont="1" applyProtection="1">
      <protection locked="0"/>
    </xf>
    <xf numFmtId="0" fontId="37" fillId="0" borderId="0" xfId="0" applyFont="1" applyAlignment="1" applyProtection="1">
      <alignment horizontal="justify" vertical="center" wrapText="1"/>
      <protection locked="0"/>
    </xf>
    <xf numFmtId="0" fontId="45" fillId="0" borderId="0" xfId="1" applyFont="1" applyProtection="1">
      <protection locked="0"/>
    </xf>
    <xf numFmtId="4" fontId="37" fillId="0" borderId="6" xfId="0" applyNumberFormat="1" applyFont="1" applyBorder="1" applyProtection="1">
      <protection locked="0"/>
    </xf>
    <xf numFmtId="0" fontId="42" fillId="0" borderId="0" xfId="0" applyFont="1" applyProtection="1">
      <protection locked="0"/>
    </xf>
    <xf numFmtId="4" fontId="41" fillId="0" borderId="0" xfId="0" applyNumberFormat="1" applyFont="1" applyProtection="1">
      <protection locked="0"/>
    </xf>
    <xf numFmtId="4" fontId="41" fillId="0" borderId="6" xfId="0" applyNumberFormat="1" applyFont="1" applyBorder="1" applyProtection="1">
      <protection locked="0"/>
    </xf>
    <xf numFmtId="0" fontId="40" fillId="0" borderId="0" xfId="0" applyFont="1" applyProtection="1">
      <protection locked="0"/>
    </xf>
    <xf numFmtId="0" fontId="26" fillId="13" borderId="8" xfId="0" applyFont="1" applyFill="1" applyBorder="1" applyAlignment="1" applyProtection="1">
      <alignment horizontal="justify" vertical="center" wrapText="1" readingOrder="1"/>
      <protection locked="0"/>
    </xf>
    <xf numFmtId="0" fontId="27" fillId="14" borderId="9" xfId="0" applyFont="1" applyFill="1" applyBorder="1" applyAlignment="1" applyProtection="1">
      <alignment horizontal="justify" vertical="center" wrapText="1" readingOrder="1"/>
      <protection locked="0"/>
    </xf>
    <xf numFmtId="0" fontId="27" fillId="15" borderId="10" xfId="0" applyFont="1" applyFill="1" applyBorder="1" applyAlignment="1" applyProtection="1">
      <alignment horizontal="justify" vertical="center" wrapText="1" readingOrder="1"/>
      <protection locked="0"/>
    </xf>
    <xf numFmtId="0" fontId="10" fillId="0" borderId="0" xfId="0" applyFont="1" applyProtection="1">
      <protection locked="0"/>
    </xf>
    <xf numFmtId="0" fontId="9" fillId="0" borderId="0" xfId="0" applyFont="1" applyProtection="1">
      <protection locked="0"/>
    </xf>
    <xf numFmtId="0" fontId="2" fillId="0" borderId="0" xfId="0" applyFont="1" applyAlignment="1" applyProtection="1">
      <alignment horizontal="left" wrapText="1" readingOrder="1"/>
      <protection locked="0"/>
    </xf>
    <xf numFmtId="4" fontId="9" fillId="3" borderId="1" xfId="0" applyNumberFormat="1" applyFont="1" applyFill="1" applyBorder="1" applyProtection="1">
      <protection locked="0"/>
    </xf>
    <xf numFmtId="0" fontId="11" fillId="4" borderId="0" xfId="0" applyFont="1" applyFill="1" applyAlignment="1" applyProtection="1">
      <alignment horizontal="center" vertical="center"/>
      <protection locked="0"/>
    </xf>
    <xf numFmtId="0" fontId="12" fillId="0" borderId="0" xfId="0" applyFont="1" applyAlignment="1" applyProtection="1">
      <alignment horizontal="left" wrapText="1" readingOrder="1"/>
      <protection locked="0"/>
    </xf>
    <xf numFmtId="4" fontId="10" fillId="0" borderId="0" xfId="0" applyNumberFormat="1" applyFont="1" applyProtection="1">
      <protection locked="0"/>
    </xf>
    <xf numFmtId="14" fontId="9" fillId="3" borderId="1" xfId="0" applyNumberFormat="1" applyFont="1" applyFill="1" applyBorder="1" applyProtection="1">
      <protection locked="0"/>
    </xf>
    <xf numFmtId="0" fontId="12" fillId="0" borderId="0" xfId="0" applyFont="1" applyAlignment="1" applyProtection="1">
      <alignment horizontal="right" wrapText="1" indent="1" readingOrder="1"/>
      <protection locked="0"/>
    </xf>
    <xf numFmtId="14" fontId="10" fillId="3" borderId="1" xfId="0" applyNumberFormat="1" applyFont="1" applyFill="1" applyBorder="1" applyProtection="1">
      <protection locked="0"/>
    </xf>
    <xf numFmtId="0" fontId="50" fillId="0" borderId="0" xfId="0" applyFont="1" applyAlignment="1" applyProtection="1">
      <alignment horizontal="left" wrapText="1" readingOrder="1"/>
      <protection locked="0"/>
    </xf>
    <xf numFmtId="4" fontId="51" fillId="0" borderId="0" xfId="0" applyNumberFormat="1" applyFont="1" applyProtection="1">
      <protection locked="0"/>
    </xf>
    <xf numFmtId="0" fontId="52" fillId="0" borderId="0" xfId="0" applyFont="1" applyAlignment="1" applyProtection="1">
      <alignment horizontal="left" wrapText="1" indent="1" readingOrder="1"/>
      <protection locked="0"/>
    </xf>
    <xf numFmtId="0" fontId="53" fillId="0" borderId="0" xfId="0" quotePrefix="1" applyFont="1" applyProtection="1">
      <protection locked="0"/>
    </xf>
    <xf numFmtId="0" fontId="53" fillId="0" borderId="6" xfId="0" applyFont="1" applyBorder="1" applyProtection="1">
      <protection locked="0"/>
    </xf>
    <xf numFmtId="0" fontId="52" fillId="0" borderId="0" xfId="0" applyFont="1" applyAlignment="1" applyProtection="1">
      <alignment horizontal="left" wrapText="1" readingOrder="1"/>
      <protection locked="0"/>
    </xf>
    <xf numFmtId="164" fontId="53" fillId="0" borderId="6" xfId="0" applyNumberFormat="1" applyFont="1" applyBorder="1" applyProtection="1">
      <protection locked="0"/>
    </xf>
    <xf numFmtId="0" fontId="54" fillId="0" borderId="0" xfId="0" applyFont="1" applyAlignment="1" applyProtection="1">
      <alignment horizontal="left" wrapText="1" readingOrder="1"/>
      <protection locked="0"/>
    </xf>
    <xf numFmtId="0" fontId="1" fillId="2" borderId="0" xfId="0" applyFont="1" applyFill="1" applyAlignment="1" applyProtection="1">
      <alignment horizontal="center" vertical="center"/>
      <protection locked="0"/>
    </xf>
    <xf numFmtId="0" fontId="19" fillId="0" borderId="0" xfId="1" applyFont="1" applyBorder="1" applyAlignment="1" applyProtection="1">
      <alignment vertical="center"/>
      <protection locked="0"/>
    </xf>
    <xf numFmtId="0" fontId="37" fillId="0" borderId="0" xfId="0" applyFont="1" applyAlignment="1" applyProtection="1">
      <alignment horizontal="justify"/>
      <protection locked="0"/>
    </xf>
    <xf numFmtId="0" fontId="37" fillId="0" borderId="0" xfId="0" applyFont="1" applyAlignment="1" applyProtection="1">
      <alignment horizontal="justify" vertical="center"/>
      <protection locked="0"/>
    </xf>
    <xf numFmtId="0" fontId="37" fillId="0" borderId="0" xfId="0" applyFont="1" applyAlignment="1" applyProtection="1">
      <alignment vertical="center"/>
      <protection locked="0"/>
    </xf>
    <xf numFmtId="0" fontId="37" fillId="0" borderId="0" xfId="0" applyFont="1" applyAlignment="1" applyProtection="1">
      <alignment horizontal="justify" wrapText="1"/>
      <protection locked="0"/>
    </xf>
    <xf numFmtId="0" fontId="39" fillId="0" borderId="0" xfId="1" applyFont="1" applyBorder="1" applyAlignment="1" applyProtection="1">
      <alignment horizontal="justify" vertical="center"/>
      <protection locked="0"/>
    </xf>
    <xf numFmtId="0" fontId="56" fillId="0" borderId="0" xfId="1" applyFont="1" applyBorder="1" applyAlignment="1" applyProtection="1">
      <alignment horizontal="justify" vertical="center"/>
      <protection locked="0"/>
    </xf>
    <xf numFmtId="0" fontId="19" fillId="0" borderId="0" xfId="1" applyFont="1" applyBorder="1" applyAlignment="1" applyProtection="1">
      <alignment horizontal="justify" vertical="center"/>
      <protection locked="0"/>
    </xf>
    <xf numFmtId="0" fontId="13" fillId="6" borderId="2" xfId="0" applyFont="1" applyFill="1" applyBorder="1" applyAlignment="1" applyProtection="1">
      <alignment horizontal="right" vertical="top"/>
      <protection locked="0"/>
    </xf>
    <xf numFmtId="0" fontId="14" fillId="7" borderId="2" xfId="0" applyFont="1" applyFill="1" applyBorder="1" applyAlignment="1" applyProtection="1">
      <alignment horizontal="right" vertical="top"/>
      <protection locked="0"/>
    </xf>
    <xf numFmtId="0" fontId="15" fillId="7" borderId="2" xfId="0" applyFont="1" applyFill="1" applyBorder="1" applyAlignment="1" applyProtection="1">
      <alignment horizontal="right" vertical="top"/>
      <protection locked="0"/>
    </xf>
    <xf numFmtId="0" fontId="14" fillId="5" borderId="2" xfId="0" applyFont="1" applyFill="1" applyBorder="1" applyAlignment="1" applyProtection="1">
      <alignment horizontal="right" vertical="top"/>
      <protection locked="0"/>
    </xf>
    <xf numFmtId="4" fontId="5" fillId="0" borderId="0" xfId="0" applyNumberFormat="1" applyFont="1" applyProtection="1">
      <protection locked="0"/>
    </xf>
    <xf numFmtId="9" fontId="5" fillId="0" borderId="0" xfId="2" applyFont="1" applyProtection="1">
      <protection locked="0"/>
    </xf>
    <xf numFmtId="0" fontId="6" fillId="0" borderId="0" xfId="0" applyFont="1" applyAlignment="1" applyProtection="1">
      <alignment horizontal="center"/>
      <protection locked="0"/>
    </xf>
    <xf numFmtId="0" fontId="30" fillId="21" borderId="0" xfId="0" applyFont="1" applyFill="1" applyProtection="1">
      <protection locked="0"/>
    </xf>
    <xf numFmtId="0" fontId="62" fillId="21" borderId="0" xfId="0" applyFont="1" applyFill="1" applyProtection="1">
      <protection locked="0"/>
    </xf>
    <xf numFmtId="4" fontId="30" fillId="21" borderId="0" xfId="0" applyNumberFormat="1" applyFont="1" applyFill="1" applyProtection="1">
      <protection locked="0"/>
    </xf>
    <xf numFmtId="0" fontId="63" fillId="0" borderId="0" xfId="1" applyFont="1" applyAlignment="1" applyProtection="1">
      <alignment horizontal="center"/>
      <protection locked="0" hidden="1"/>
    </xf>
    <xf numFmtId="4" fontId="0" fillId="0" borderId="6" xfId="0" applyNumberFormat="1" applyBorder="1" applyProtection="1">
      <protection locked="0"/>
    </xf>
    <xf numFmtId="9" fontId="0" fillId="0" borderId="0" xfId="2" applyFont="1" applyProtection="1">
      <protection locked="0"/>
    </xf>
    <xf numFmtId="0" fontId="30" fillId="22" borderId="0" xfId="0" applyFont="1" applyFill="1" applyAlignment="1" applyProtection="1">
      <alignment horizontal="center" vertical="center" wrapText="1"/>
      <protection locked="0"/>
    </xf>
    <xf numFmtId="0" fontId="30" fillId="4" borderId="0" xfId="0" applyFont="1" applyFill="1" applyAlignment="1" applyProtection="1">
      <alignment horizontal="center" vertical="center" wrapText="1"/>
      <protection locked="0"/>
    </xf>
    <xf numFmtId="0" fontId="39" fillId="0" borderId="0" xfId="0" applyFont="1" applyProtection="1">
      <protection locked="0"/>
    </xf>
    <xf numFmtId="0" fontId="65" fillId="0" borderId="0" xfId="0" applyFont="1" applyAlignment="1" applyProtection="1">
      <alignment horizontal="left" indent="1"/>
      <protection locked="0"/>
    </xf>
    <xf numFmtId="0" fontId="0" fillId="0" borderId="0" xfId="0" applyAlignment="1" applyProtection="1">
      <alignment horizontal="left" indent="1"/>
      <protection locked="0"/>
    </xf>
    <xf numFmtId="164" fontId="5" fillId="0" borderId="0" xfId="0" applyNumberFormat="1" applyFont="1" applyProtection="1">
      <protection locked="0"/>
    </xf>
    <xf numFmtId="0" fontId="67" fillId="0" borderId="0" xfId="0" applyFont="1" applyProtection="1">
      <protection locked="0"/>
    </xf>
    <xf numFmtId="4" fontId="67" fillId="0" borderId="0" xfId="0" applyNumberFormat="1" applyFont="1" applyProtection="1">
      <protection locked="0"/>
    </xf>
    <xf numFmtId="4" fontId="9" fillId="0" borderId="0" xfId="0" applyNumberFormat="1" applyFont="1" applyProtection="1">
      <protection locked="0"/>
    </xf>
    <xf numFmtId="4" fontId="9" fillId="23" borderId="0" xfId="0" applyNumberFormat="1" applyFont="1" applyFill="1" applyProtection="1">
      <protection locked="0"/>
    </xf>
    <xf numFmtId="0" fontId="68" fillId="0" borderId="0" xfId="0" applyFont="1" applyProtection="1">
      <protection locked="0"/>
    </xf>
    <xf numFmtId="0" fontId="69" fillId="0" borderId="0" xfId="0" applyFont="1" applyProtection="1">
      <protection locked="0"/>
    </xf>
    <xf numFmtId="4" fontId="68" fillId="0" borderId="0" xfId="0" applyNumberFormat="1" applyFont="1" applyProtection="1">
      <protection locked="0"/>
    </xf>
    <xf numFmtId="0" fontId="64" fillId="0" borderId="27" xfId="0" applyFont="1" applyBorder="1" applyAlignment="1" applyProtection="1">
      <alignment horizontal="center" vertical="center" wrapText="1"/>
      <protection locked="0"/>
    </xf>
    <xf numFmtId="0" fontId="64" fillId="0" borderId="28" xfId="0" applyFont="1" applyBorder="1" applyAlignment="1" applyProtection="1">
      <alignment horizontal="center" vertical="center" wrapText="1"/>
      <protection locked="0"/>
    </xf>
    <xf numFmtId="0" fontId="47" fillId="0" borderId="6" xfId="0" applyFont="1" applyBorder="1" applyProtection="1">
      <protection locked="0"/>
    </xf>
    <xf numFmtId="9" fontId="47" fillId="0" borderId="6" xfId="2" applyFont="1" applyBorder="1" applyProtection="1">
      <protection locked="0"/>
    </xf>
    <xf numFmtId="4" fontId="8" fillId="0" borderId="0" xfId="0" applyNumberFormat="1" applyFont="1" applyProtection="1">
      <protection locked="0"/>
    </xf>
    <xf numFmtId="0" fontId="1" fillId="0" borderId="0" xfId="0" applyFont="1" applyAlignment="1" applyProtection="1">
      <alignment horizontal="right"/>
      <protection locked="0"/>
    </xf>
    <xf numFmtId="0" fontId="0" fillId="3" borderId="1" xfId="0" applyFill="1" applyBorder="1" applyProtection="1">
      <protection locked="0"/>
    </xf>
    <xf numFmtId="0" fontId="1" fillId="2" borderId="7" xfId="0" applyFont="1" applyFill="1" applyBorder="1" applyAlignment="1" applyProtection="1">
      <alignment horizontal="center" vertical="center" wrapText="1"/>
      <protection locked="0"/>
    </xf>
    <xf numFmtId="0" fontId="1" fillId="10" borderId="1" xfId="0"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top"/>
      <protection locked="0"/>
    </xf>
    <xf numFmtId="0" fontId="13" fillId="6" borderId="4" xfId="0" applyFont="1" applyFill="1" applyBorder="1" applyAlignment="1" applyProtection="1">
      <alignment horizontal="center" vertical="top"/>
      <protection locked="0"/>
    </xf>
    <xf numFmtId="0" fontId="71" fillId="0" borderId="0" xfId="0" applyFont="1"/>
    <xf numFmtId="167" fontId="0" fillId="0" borderId="0" xfId="0" applyNumberFormat="1"/>
    <xf numFmtId="0" fontId="71" fillId="0" borderId="0" xfId="0" applyFont="1" applyAlignment="1">
      <alignment vertical="center"/>
    </xf>
    <xf numFmtId="4" fontId="0" fillId="0" borderId="0" xfId="0" applyNumberFormat="1" applyAlignment="1">
      <alignment vertical="center"/>
    </xf>
    <xf numFmtId="0" fontId="0" fillId="3" borderId="1" xfId="0" applyFill="1" applyBorder="1" applyAlignment="1">
      <alignment horizontal="center" vertical="center"/>
    </xf>
    <xf numFmtId="0" fontId="71" fillId="24" borderId="1" xfId="0" applyFont="1" applyFill="1" applyBorder="1" applyAlignment="1">
      <alignment horizontal="center"/>
    </xf>
    <xf numFmtId="0" fontId="0" fillId="25" borderId="1" xfId="0" applyFill="1" applyBorder="1"/>
    <xf numFmtId="167" fontId="0" fillId="25" borderId="1" xfId="0" applyNumberFormat="1" applyFill="1" applyBorder="1"/>
    <xf numFmtId="0" fontId="0" fillId="26" borderId="1" xfId="0" applyFill="1" applyBorder="1"/>
    <xf numFmtId="167" fontId="0" fillId="26" borderId="1" xfId="0" applyNumberFormat="1" applyFill="1" applyBorder="1"/>
    <xf numFmtId="0" fontId="0" fillId="27" borderId="1" xfId="0" applyFill="1" applyBorder="1"/>
    <xf numFmtId="167" fontId="0" fillId="27" borderId="1" xfId="0" applyNumberFormat="1" applyFill="1" applyBorder="1"/>
    <xf numFmtId="0" fontId="0" fillId="28" borderId="1" xfId="0" applyFill="1" applyBorder="1"/>
    <xf numFmtId="167" fontId="0" fillId="28" borderId="1" xfId="0" applyNumberFormat="1" applyFill="1" applyBorder="1"/>
    <xf numFmtId="0" fontId="0" fillId="29" borderId="1" xfId="0" applyFill="1" applyBorder="1"/>
    <xf numFmtId="167" fontId="0" fillId="29" borderId="1" xfId="0" applyNumberFormat="1" applyFill="1" applyBorder="1"/>
    <xf numFmtId="0" fontId="0" fillId="30" borderId="1" xfId="0" applyFill="1" applyBorder="1"/>
    <xf numFmtId="167" fontId="0" fillId="30" borderId="1" xfId="0" applyNumberFormat="1" applyFill="1" applyBorder="1"/>
    <xf numFmtId="0" fontId="72" fillId="0" borderId="30" xfId="0" applyFont="1" applyBorder="1" applyAlignment="1" applyProtection="1">
      <alignment horizontal="center" vertical="center" wrapText="1"/>
      <protection locked="0"/>
    </xf>
    <xf numFmtId="4" fontId="72" fillId="0" borderId="30" xfId="0" applyNumberFormat="1" applyFont="1" applyBorder="1" applyAlignment="1" applyProtection="1">
      <alignment horizontal="center" vertical="center" wrapText="1"/>
      <protection locked="0"/>
    </xf>
    <xf numFmtId="4" fontId="72" fillId="0" borderId="0" xfId="0" applyNumberFormat="1" applyFont="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4" fontId="72" fillId="0" borderId="31" xfId="0" applyNumberFormat="1" applyFont="1" applyBorder="1" applyAlignment="1" applyProtection="1">
      <alignment horizontal="center" vertical="center" wrapText="1"/>
      <protection locked="0"/>
    </xf>
    <xf numFmtId="0" fontId="72" fillId="0" borderId="31" xfId="0" applyFont="1" applyBorder="1" applyAlignment="1" applyProtection="1">
      <alignment horizontal="center" vertical="center" wrapText="1"/>
      <protection locked="0"/>
    </xf>
    <xf numFmtId="0" fontId="11" fillId="18" borderId="26" xfId="0" applyFont="1" applyFill="1" applyBorder="1" applyAlignment="1">
      <alignment horizontal="center" vertical="center"/>
    </xf>
    <xf numFmtId="0" fontId="10" fillId="31" borderId="17" xfId="0" applyFont="1" applyFill="1" applyBorder="1" applyProtection="1">
      <protection hidden="1"/>
    </xf>
    <xf numFmtId="0" fontId="10" fillId="32" borderId="17" xfId="0" applyFont="1" applyFill="1" applyBorder="1" applyProtection="1">
      <protection hidden="1"/>
    </xf>
    <xf numFmtId="0" fontId="10" fillId="31" borderId="16" xfId="0" applyFont="1" applyFill="1" applyBorder="1" applyProtection="1">
      <protection hidden="1"/>
    </xf>
    <xf numFmtId="0" fontId="10" fillId="31" borderId="17" xfId="0" applyFont="1" applyFill="1" applyBorder="1" applyAlignment="1" applyProtection="1">
      <alignment horizontal="center"/>
      <protection hidden="1"/>
    </xf>
    <xf numFmtId="0" fontId="10" fillId="32" borderId="17" xfId="0" applyFont="1" applyFill="1" applyBorder="1" applyAlignment="1" applyProtection="1">
      <alignment horizontal="center"/>
      <protection hidden="1"/>
    </xf>
    <xf numFmtId="0" fontId="10" fillId="31" borderId="16" xfId="0" applyFont="1" applyFill="1" applyBorder="1" applyAlignment="1" applyProtection="1">
      <alignment horizontal="center"/>
      <protection hidden="1"/>
    </xf>
    <xf numFmtId="0" fontId="63" fillId="0" borderId="0" xfId="1" applyFont="1" applyAlignment="1" applyProtection="1">
      <alignment horizontal="center" vertical="center"/>
      <protection locked="0" hidden="1"/>
    </xf>
    <xf numFmtId="0" fontId="17" fillId="0" borderId="17" xfId="0" applyFont="1" applyBorder="1" applyAlignment="1">
      <alignment horizontal="justify" vertical="center" wrapText="1"/>
    </xf>
    <xf numFmtId="0" fontId="17" fillId="0" borderId="18" xfId="0" applyFont="1" applyBorder="1" applyAlignment="1">
      <alignment horizontal="justify" vertical="center" wrapText="1"/>
    </xf>
    <xf numFmtId="0" fontId="17" fillId="0" borderId="17" xfId="0" applyFont="1" applyBorder="1" applyAlignment="1">
      <alignment vertical="top" wrapText="1"/>
    </xf>
    <xf numFmtId="0" fontId="18" fillId="0" borderId="19" xfId="0" applyFont="1" applyBorder="1" applyAlignment="1">
      <alignment horizontal="justify" vertical="center" wrapText="1"/>
    </xf>
    <xf numFmtId="0" fontId="17" fillId="0" borderId="16" xfId="0" applyFont="1" applyBorder="1" applyAlignment="1">
      <alignment vertical="top" wrapText="1"/>
    </xf>
    <xf numFmtId="0" fontId="18" fillId="0" borderId="18" xfId="0" applyFont="1" applyBorder="1" applyAlignment="1">
      <alignment horizontal="justify" vertical="center" wrapText="1"/>
    </xf>
    <xf numFmtId="0" fontId="31" fillId="19" borderId="13" xfId="0" applyFont="1" applyFill="1" applyBorder="1" applyAlignment="1">
      <alignment horizontal="center" vertical="center"/>
    </xf>
    <xf numFmtId="0" fontId="31" fillId="19" borderId="14" xfId="0" applyFont="1" applyFill="1" applyBorder="1" applyAlignment="1">
      <alignment horizontal="center" vertical="center"/>
    </xf>
    <xf numFmtId="0" fontId="31" fillId="19" borderId="15" xfId="0" applyFont="1" applyFill="1" applyBorder="1" applyAlignment="1">
      <alignment horizontal="center" vertical="center"/>
    </xf>
    <xf numFmtId="0" fontId="31" fillId="19" borderId="23" xfId="0" applyFont="1" applyFill="1" applyBorder="1" applyAlignment="1">
      <alignment horizontal="center" vertical="center" wrapText="1"/>
    </xf>
    <xf numFmtId="0" fontId="31" fillId="19" borderId="24" xfId="0" applyFont="1" applyFill="1" applyBorder="1" applyAlignment="1">
      <alignment horizontal="center" vertical="center" wrapText="1"/>
    </xf>
    <xf numFmtId="0" fontId="31" fillId="19" borderId="25" xfId="0" applyFont="1" applyFill="1" applyBorder="1" applyAlignment="1">
      <alignment horizontal="center" vertical="center" wrapText="1"/>
    </xf>
    <xf numFmtId="0" fontId="31" fillId="19" borderId="21" xfId="0" applyFont="1" applyFill="1" applyBorder="1" applyAlignment="1">
      <alignment horizontal="center" vertical="center" wrapText="1"/>
    </xf>
    <xf numFmtId="0" fontId="31" fillId="19" borderId="20" xfId="0" applyFont="1" applyFill="1" applyBorder="1" applyAlignment="1">
      <alignment horizontal="center" vertical="center" wrapText="1"/>
    </xf>
    <xf numFmtId="0" fontId="31" fillId="19" borderId="18" xfId="0" applyFont="1" applyFill="1" applyBorder="1" applyAlignment="1">
      <alignment horizontal="center" vertical="center" wrapText="1"/>
    </xf>
    <xf numFmtId="0" fontId="31" fillId="19" borderId="26" xfId="0" applyFont="1" applyFill="1" applyBorder="1" applyAlignment="1">
      <alignment horizontal="center" vertical="center" wrapText="1"/>
    </xf>
    <xf numFmtId="0" fontId="31" fillId="19" borderId="16" xfId="0" applyFont="1" applyFill="1" applyBorder="1" applyAlignment="1">
      <alignment horizontal="center" vertical="center" wrapText="1"/>
    </xf>
    <xf numFmtId="0" fontId="17" fillId="0" borderId="23" xfId="0" applyFont="1" applyBorder="1" applyAlignment="1">
      <alignment horizontal="justify" vertical="center" wrapText="1"/>
    </xf>
    <xf numFmtId="0" fontId="17" fillId="0" borderId="24" xfId="0" applyFont="1" applyBorder="1" applyAlignment="1">
      <alignment horizontal="justify" vertical="center" wrapText="1"/>
    </xf>
    <xf numFmtId="0" fontId="17" fillId="0" borderId="25" xfId="0" applyFont="1" applyBorder="1" applyAlignment="1">
      <alignment horizontal="justify" vertical="center" wrapText="1"/>
    </xf>
    <xf numFmtId="0" fontId="17" fillId="0" borderId="22" xfId="0" applyFont="1" applyBorder="1" applyAlignment="1">
      <alignment horizontal="justify" vertical="center" wrapText="1"/>
    </xf>
    <xf numFmtId="0" fontId="17" fillId="0" borderId="0" xfId="0" applyFont="1" applyAlignment="1">
      <alignment horizontal="justify" vertical="center" wrapText="1"/>
    </xf>
    <xf numFmtId="0" fontId="17" fillId="0" borderId="19" xfId="0" applyFont="1" applyBorder="1" applyAlignment="1">
      <alignment horizontal="justify" vertical="center" wrapText="1"/>
    </xf>
    <xf numFmtId="0" fontId="17" fillId="0" borderId="21" xfId="0" applyFont="1" applyBorder="1" applyAlignment="1">
      <alignment horizontal="justify" vertical="center" wrapText="1"/>
    </xf>
    <xf numFmtId="0" fontId="17" fillId="0" borderId="20" xfId="0" applyFont="1" applyBorder="1" applyAlignment="1">
      <alignment horizontal="justify" vertical="center" wrapText="1"/>
    </xf>
    <xf numFmtId="0" fontId="17" fillId="0" borderId="18" xfId="0" applyFont="1" applyBorder="1" applyAlignment="1">
      <alignment horizontal="justify" vertical="center" wrapText="1"/>
    </xf>
    <xf numFmtId="0" fontId="31" fillId="19" borderId="13" xfId="0" applyFont="1" applyFill="1" applyBorder="1" applyAlignment="1">
      <alignment horizontal="center" vertical="center" wrapText="1"/>
    </xf>
    <xf numFmtId="0" fontId="31" fillId="19" borderId="14" xfId="0" applyFont="1" applyFill="1" applyBorder="1" applyAlignment="1">
      <alignment horizontal="center" vertical="center" wrapText="1"/>
    </xf>
    <xf numFmtId="0" fontId="31" fillId="19" borderId="15" xfId="0" applyFont="1" applyFill="1" applyBorder="1" applyAlignment="1">
      <alignment horizontal="center" vertical="center" wrapText="1"/>
    </xf>
    <xf numFmtId="0" fontId="35" fillId="5" borderId="23" xfId="0" applyFont="1" applyFill="1" applyBorder="1" applyAlignment="1">
      <alignment horizontal="justify" vertical="center" wrapText="1"/>
    </xf>
    <xf numFmtId="0" fontId="35" fillId="5" borderId="24" xfId="0" applyFont="1" applyFill="1" applyBorder="1" applyAlignment="1">
      <alignment horizontal="justify" vertical="center" wrapText="1"/>
    </xf>
    <xf numFmtId="0" fontId="35" fillId="5" borderId="25" xfId="0" applyFont="1" applyFill="1" applyBorder="1" applyAlignment="1">
      <alignment horizontal="justify" vertical="center" wrapText="1"/>
    </xf>
    <xf numFmtId="0" fontId="35" fillId="5" borderId="22" xfId="0" applyFont="1" applyFill="1" applyBorder="1" applyAlignment="1">
      <alignment horizontal="justify" vertical="center" wrapText="1"/>
    </xf>
    <xf numFmtId="0" fontId="35" fillId="5" borderId="0" xfId="0" applyFont="1" applyFill="1" applyAlignment="1">
      <alignment horizontal="justify" vertical="center" wrapText="1"/>
    </xf>
    <xf numFmtId="0" fontId="35" fillId="5" borderId="19" xfId="0" applyFont="1" applyFill="1" applyBorder="1" applyAlignment="1">
      <alignment horizontal="justify" vertical="center" wrapText="1"/>
    </xf>
    <xf numFmtId="0" fontId="35" fillId="5" borderId="21" xfId="0" applyFont="1" applyFill="1" applyBorder="1" applyAlignment="1">
      <alignment horizontal="justify" vertical="center" wrapText="1"/>
    </xf>
    <xf numFmtId="0" fontId="35" fillId="5" borderId="20" xfId="0" applyFont="1" applyFill="1" applyBorder="1" applyAlignment="1">
      <alignment horizontal="justify" vertical="center" wrapText="1"/>
    </xf>
    <xf numFmtId="0" fontId="35" fillId="5" borderId="18" xfId="0" applyFont="1" applyFill="1" applyBorder="1" applyAlignment="1">
      <alignment horizontal="justify" vertical="center" wrapText="1"/>
    </xf>
    <xf numFmtId="0" fontId="32" fillId="5" borderId="23" xfId="0" applyFont="1" applyFill="1" applyBorder="1" applyAlignment="1">
      <alignment horizontal="justify" vertical="center" wrapText="1"/>
    </xf>
    <xf numFmtId="0" fontId="32" fillId="5" borderId="24" xfId="0" applyFont="1" applyFill="1" applyBorder="1" applyAlignment="1">
      <alignment horizontal="justify" vertical="center" wrapText="1"/>
    </xf>
    <xf numFmtId="0" fontId="32" fillId="5" borderId="25" xfId="0" applyFont="1" applyFill="1" applyBorder="1" applyAlignment="1">
      <alignment horizontal="justify" vertical="center" wrapText="1"/>
    </xf>
    <xf numFmtId="0" fontId="32" fillId="5" borderId="22" xfId="0" applyFont="1" applyFill="1" applyBorder="1" applyAlignment="1">
      <alignment horizontal="justify" vertical="center" wrapText="1"/>
    </xf>
    <xf numFmtId="0" fontId="32" fillId="5" borderId="0" xfId="0" applyFont="1" applyFill="1" applyAlignment="1">
      <alignment horizontal="justify" vertical="center" wrapText="1"/>
    </xf>
    <xf numFmtId="0" fontId="32" fillId="5" borderId="19" xfId="0" applyFont="1" applyFill="1" applyBorder="1" applyAlignment="1">
      <alignment horizontal="justify" vertical="center" wrapText="1"/>
    </xf>
    <xf numFmtId="0" fontId="32" fillId="5" borderId="21" xfId="0" applyFont="1" applyFill="1" applyBorder="1" applyAlignment="1">
      <alignment horizontal="justify" vertical="center" wrapText="1"/>
    </xf>
    <xf numFmtId="0" fontId="32" fillId="5" borderId="20" xfId="0" applyFont="1" applyFill="1" applyBorder="1" applyAlignment="1">
      <alignment horizontal="justify" vertical="center" wrapText="1"/>
    </xf>
    <xf numFmtId="0" fontId="32" fillId="5" borderId="18" xfId="0" applyFont="1" applyFill="1" applyBorder="1" applyAlignment="1">
      <alignment horizontal="justify" vertical="center" wrapText="1"/>
    </xf>
    <xf numFmtId="0" fontId="18" fillId="0" borderId="23" xfId="0" applyFont="1" applyBorder="1" applyAlignment="1">
      <alignment horizontal="justify" vertical="center" wrapText="1"/>
    </xf>
    <xf numFmtId="0" fontId="18" fillId="0" borderId="24" xfId="0" applyFont="1" applyBorder="1" applyAlignment="1">
      <alignment horizontal="justify" vertical="center" wrapText="1"/>
    </xf>
    <xf numFmtId="0" fontId="18" fillId="0" borderId="25" xfId="0" applyFont="1" applyBorder="1" applyAlignment="1">
      <alignment horizontal="justify" vertical="center" wrapText="1"/>
    </xf>
    <xf numFmtId="0" fontId="33" fillId="0" borderId="21" xfId="0" applyFont="1" applyBorder="1" applyAlignment="1">
      <alignment horizontal="justify" vertical="center" wrapText="1"/>
    </xf>
    <xf numFmtId="0" fontId="33" fillId="0" borderId="20" xfId="0" applyFont="1" applyBorder="1" applyAlignment="1">
      <alignment horizontal="justify" vertical="center" wrapText="1"/>
    </xf>
    <xf numFmtId="0" fontId="33" fillId="0" borderId="18" xfId="0" applyFont="1" applyBorder="1" applyAlignment="1">
      <alignment horizontal="justify" vertical="center" wrapText="1"/>
    </xf>
    <xf numFmtId="0" fontId="18" fillId="0" borderId="22" xfId="0" applyFont="1" applyBorder="1" applyAlignment="1">
      <alignment horizontal="justify" vertical="center" wrapText="1"/>
    </xf>
    <xf numFmtId="0" fontId="18" fillId="0" borderId="0" xfId="0" applyFont="1" applyAlignment="1">
      <alignment horizontal="justify" vertical="center" wrapText="1"/>
    </xf>
    <xf numFmtId="0" fontId="18" fillId="0" borderId="19" xfId="0" applyFont="1" applyBorder="1" applyAlignment="1">
      <alignment horizontal="justify" vertical="center" wrapText="1"/>
    </xf>
    <xf numFmtId="0" fontId="35" fillId="0" borderId="22" xfId="0" applyFont="1" applyBorder="1" applyAlignment="1">
      <alignment horizontal="justify" vertical="center" wrapText="1"/>
    </xf>
    <xf numFmtId="0" fontId="35" fillId="0" borderId="0" xfId="0" applyFont="1" applyAlignment="1">
      <alignment horizontal="justify" vertical="center" wrapText="1"/>
    </xf>
    <xf numFmtId="0" fontId="35" fillId="0" borderId="19" xfId="0" applyFont="1" applyBorder="1" applyAlignment="1">
      <alignment horizontal="justify" vertical="center" wrapText="1"/>
    </xf>
    <xf numFmtId="0" fontId="35" fillId="0" borderId="21" xfId="0" applyFont="1" applyBorder="1" applyAlignment="1">
      <alignment horizontal="justify" vertical="center" wrapText="1"/>
    </xf>
    <xf numFmtId="0" fontId="35" fillId="0" borderId="20" xfId="0" applyFont="1" applyBorder="1" applyAlignment="1">
      <alignment horizontal="justify" vertical="center" wrapText="1"/>
    </xf>
    <xf numFmtId="0" fontId="35" fillId="0" borderId="18" xfId="0" applyFont="1" applyBorder="1" applyAlignment="1">
      <alignment horizontal="justify" vertical="center" wrapText="1"/>
    </xf>
    <xf numFmtId="0" fontId="35" fillId="0" borderId="23" xfId="0" applyFont="1" applyBorder="1" applyAlignment="1">
      <alignment horizontal="justify" vertical="center" wrapText="1"/>
    </xf>
    <xf numFmtId="0" fontId="35" fillId="0" borderId="24" xfId="0" applyFont="1" applyBorder="1" applyAlignment="1">
      <alignment horizontal="justify" vertical="center" wrapText="1"/>
    </xf>
    <xf numFmtId="0" fontId="35" fillId="0" borderId="25" xfId="0" applyFont="1" applyBorder="1" applyAlignment="1">
      <alignment horizontal="justify" vertical="center" wrapText="1"/>
    </xf>
    <xf numFmtId="0" fontId="35" fillId="0" borderId="13" xfId="0" applyFont="1" applyBorder="1" applyAlignment="1">
      <alignment horizontal="justify" vertical="center" wrapText="1"/>
    </xf>
    <xf numFmtId="0" fontId="35" fillId="0" borderId="14" xfId="0" applyFont="1" applyBorder="1" applyAlignment="1">
      <alignment horizontal="justify" vertical="center" wrapText="1"/>
    </xf>
    <xf numFmtId="0" fontId="35" fillId="0" borderId="15" xfId="0" applyFont="1" applyBorder="1" applyAlignment="1">
      <alignment horizontal="justify" vertical="center" wrapText="1"/>
    </xf>
    <xf numFmtId="0" fontId="17" fillId="0" borderId="13" xfId="0" applyFont="1" applyBorder="1" applyAlignment="1">
      <alignment horizontal="justify" vertical="center" wrapText="1"/>
    </xf>
    <xf numFmtId="0" fontId="17" fillId="0" borderId="14" xfId="0" applyFont="1" applyBorder="1" applyAlignment="1">
      <alignment horizontal="justify" vertical="center" wrapText="1"/>
    </xf>
    <xf numFmtId="0" fontId="17" fillId="0" borderId="15" xfId="0" applyFont="1" applyBorder="1" applyAlignment="1">
      <alignment horizontal="justify" vertical="center" wrapText="1"/>
    </xf>
    <xf numFmtId="0" fontId="33" fillId="0" borderId="22" xfId="0" applyFont="1" applyBorder="1" applyAlignment="1">
      <alignment horizontal="justify" vertical="center" wrapText="1"/>
    </xf>
    <xf numFmtId="0" fontId="33" fillId="0" borderId="0" xfId="0" applyFont="1" applyAlignment="1">
      <alignment horizontal="justify" vertical="center" wrapText="1"/>
    </xf>
    <xf numFmtId="0" fontId="33" fillId="0" borderId="19" xfId="0" applyFont="1" applyBorder="1" applyAlignment="1">
      <alignment horizontal="justify" vertical="center" wrapText="1"/>
    </xf>
    <xf numFmtId="0" fontId="47" fillId="0" borderId="1" xfId="0" applyFont="1" applyBorder="1" applyAlignment="1" applyProtection="1">
      <alignment horizontal="justify" wrapText="1"/>
      <protection locked="0"/>
    </xf>
    <xf numFmtId="0" fontId="47" fillId="0" borderId="1" xfId="0" applyFont="1" applyBorder="1" applyAlignment="1" applyProtection="1">
      <alignment horizontal="justify"/>
      <protection locked="0"/>
    </xf>
    <xf numFmtId="0" fontId="47" fillId="0" borderId="1" xfId="0" applyFont="1" applyBorder="1" applyAlignment="1" applyProtection="1">
      <alignment horizontal="justify" vertical="center"/>
      <protection locked="0"/>
    </xf>
    <xf numFmtId="0" fontId="47" fillId="0" borderId="1" xfId="0" applyFont="1" applyBorder="1" applyAlignment="1" applyProtection="1">
      <alignment horizontal="justify" vertical="center" wrapText="1"/>
      <protection locked="0"/>
    </xf>
    <xf numFmtId="0" fontId="1" fillId="0" borderId="0" xfId="0" applyFont="1" applyAlignment="1" applyProtection="1">
      <alignment horizontal="left"/>
      <protection locked="0"/>
    </xf>
    <xf numFmtId="0" fontId="37" fillId="0" borderId="0" xfId="0" applyFont="1" applyAlignment="1" applyProtection="1">
      <alignment horizontal="left"/>
      <protection locked="0"/>
    </xf>
    <xf numFmtId="0" fontId="1" fillId="16" borderId="1" xfId="0" applyFont="1" applyFill="1" applyBorder="1" applyAlignment="1">
      <alignment horizontal="justify"/>
    </xf>
    <xf numFmtId="0" fontId="60" fillId="0" borderId="1" xfId="1" applyFont="1" applyBorder="1" applyAlignment="1">
      <alignment horizontal="justify" vertical="center" wrapText="1"/>
    </xf>
    <xf numFmtId="0" fontId="60" fillId="0" borderId="1" xfId="1" applyFont="1" applyBorder="1" applyAlignment="1">
      <alignment horizontal="justify" vertical="center"/>
    </xf>
    <xf numFmtId="0" fontId="37" fillId="0" borderId="1" xfId="0" applyFont="1" applyBorder="1" applyAlignment="1">
      <alignment horizontal="justify" wrapText="1"/>
    </xf>
    <xf numFmtId="0" fontId="37" fillId="0" borderId="1" xfId="0" applyFont="1" applyBorder="1" applyAlignment="1">
      <alignment horizontal="justify"/>
    </xf>
    <xf numFmtId="0" fontId="1" fillId="2" borderId="12" xfId="0" applyFont="1" applyFill="1" applyBorder="1" applyAlignment="1">
      <alignment horizontal="left"/>
    </xf>
    <xf numFmtId="0" fontId="1" fillId="2" borderId="11" xfId="0" applyFont="1" applyFill="1" applyBorder="1" applyAlignment="1">
      <alignment horizontal="left"/>
    </xf>
    <xf numFmtId="0" fontId="37" fillId="0" borderId="0" xfId="0" applyFont="1" applyAlignment="1">
      <alignment horizontal="left" indent="1"/>
    </xf>
    <xf numFmtId="0" fontId="37" fillId="0" borderId="1" xfId="0" applyFont="1" applyBorder="1" applyAlignment="1">
      <alignment horizontal="justify" vertical="center"/>
    </xf>
    <xf numFmtId="0" fontId="0" fillId="16" borderId="1" xfId="0" applyFill="1" applyBorder="1" applyAlignment="1">
      <alignment horizontal="justify" vertical="center"/>
    </xf>
    <xf numFmtId="0" fontId="61" fillId="0" borderId="1" xfId="1" applyFont="1" applyBorder="1" applyAlignment="1">
      <alignment horizontal="justify" wrapText="1"/>
    </xf>
    <xf numFmtId="0" fontId="61" fillId="0" borderId="1" xfId="1" applyFont="1" applyBorder="1" applyAlignment="1">
      <alignment horizontal="justify"/>
    </xf>
    <xf numFmtId="0" fontId="37" fillId="0" borderId="0" xfId="0" applyFont="1" applyAlignment="1">
      <alignment horizontal="left"/>
    </xf>
    <xf numFmtId="0" fontId="37" fillId="0" borderId="5" xfId="0" applyFont="1" applyBorder="1" applyAlignment="1">
      <alignment horizontal="left"/>
    </xf>
    <xf numFmtId="0" fontId="0" fillId="0" borderId="1" xfId="0" applyBorder="1" applyAlignment="1" applyProtection="1">
      <alignment horizontal="justify" vertical="center" wrapText="1"/>
      <protection locked="0"/>
    </xf>
    <xf numFmtId="0" fontId="0" fillId="0" borderId="1" xfId="0" applyBorder="1" applyAlignment="1" applyProtection="1">
      <alignment horizontal="justify" vertical="center"/>
      <protection locked="0"/>
    </xf>
    <xf numFmtId="0" fontId="37" fillId="0" borderId="1" xfId="0" applyFont="1" applyBorder="1" applyAlignment="1" applyProtection="1">
      <alignment horizontal="justify" vertical="center" wrapText="1"/>
      <protection locked="0"/>
    </xf>
    <xf numFmtId="0" fontId="37" fillId="0" borderId="1" xfId="0" applyFont="1" applyBorder="1" applyAlignment="1" applyProtection="1">
      <alignment horizontal="justify" vertical="center"/>
      <protection locked="0"/>
    </xf>
    <xf numFmtId="0" fontId="38" fillId="0" borderId="1" xfId="1" applyFont="1" applyBorder="1" applyAlignment="1" applyProtection="1">
      <alignment horizontal="justify" wrapText="1"/>
      <protection locked="0"/>
    </xf>
    <xf numFmtId="0" fontId="38" fillId="0" borderId="1" xfId="1" applyFont="1" applyBorder="1" applyAlignment="1" applyProtection="1">
      <alignment horizontal="justify"/>
      <protection locked="0"/>
    </xf>
    <xf numFmtId="0" fontId="38" fillId="0" borderId="1" xfId="0" applyFont="1" applyBorder="1" applyAlignment="1" applyProtection="1">
      <alignment horizontal="justify" vertical="center" wrapText="1"/>
      <protection locked="0"/>
    </xf>
    <xf numFmtId="0" fontId="38" fillId="0" borderId="1" xfId="0" applyFont="1" applyBorder="1" applyAlignment="1" applyProtection="1">
      <alignment horizontal="justify" vertical="center"/>
      <protection locked="0"/>
    </xf>
    <xf numFmtId="0" fontId="5" fillId="0" borderId="1" xfId="0" applyFont="1" applyBorder="1" applyAlignment="1" applyProtection="1">
      <alignment horizontal="justify" wrapText="1"/>
      <protection locked="0"/>
    </xf>
    <xf numFmtId="0" fontId="37" fillId="0" borderId="1" xfId="0" applyFont="1" applyBorder="1" applyAlignment="1" applyProtection="1">
      <alignment horizontal="justify" wrapText="1"/>
      <protection locked="0"/>
    </xf>
    <xf numFmtId="0" fontId="7" fillId="0" borderId="0" xfId="1" applyFont="1" applyAlignment="1" applyProtection="1">
      <alignment horizontal="left" wrapText="1" readingOrder="1"/>
      <protection locked="0"/>
    </xf>
    <xf numFmtId="0" fontId="7" fillId="0" borderId="5" xfId="1" applyFont="1" applyBorder="1" applyAlignment="1" applyProtection="1">
      <alignment horizontal="left" wrapText="1" readingOrder="1"/>
      <protection locked="0"/>
    </xf>
    <xf numFmtId="0" fontId="7" fillId="0" borderId="0" xfId="1" applyFont="1" applyBorder="1" applyAlignment="1" applyProtection="1">
      <alignment horizontal="left" wrapText="1" readingOrder="1"/>
      <protection locked="0"/>
    </xf>
    <xf numFmtId="0" fontId="12" fillId="0" borderId="0" xfId="0" applyFont="1" applyAlignment="1" applyProtection="1">
      <alignment horizontal="left" wrapText="1" readingOrder="1"/>
      <protection locked="0"/>
    </xf>
    <xf numFmtId="0" fontId="37" fillId="0" borderId="0" xfId="0" applyFont="1" applyAlignment="1" applyProtection="1">
      <alignment horizontal="left" vertical="center"/>
      <protection locked="0"/>
    </xf>
    <xf numFmtId="0" fontId="70" fillId="0" borderId="0" xfId="0" applyFont="1"/>
    <xf numFmtId="0" fontId="0" fillId="0" borderId="0" xfId="0"/>
    <xf numFmtId="0" fontId="37" fillId="0" borderId="29" xfId="0" applyFont="1" applyBorder="1" applyAlignment="1">
      <alignment horizontal="justify" vertical="center"/>
    </xf>
    <xf numFmtId="0" fontId="37" fillId="0" borderId="0" xfId="0" applyFont="1" applyAlignment="1">
      <alignment horizontal="justify" vertical="center"/>
    </xf>
    <xf numFmtId="0" fontId="0" fillId="25" borderId="1" xfId="0" applyFill="1" applyBorder="1" applyAlignment="1">
      <alignment horizontal="center" vertical="center"/>
    </xf>
    <xf numFmtId="0" fontId="0" fillId="26" borderId="1" xfId="0" applyFill="1" applyBorder="1" applyAlignment="1">
      <alignment horizontal="center" vertical="center"/>
    </xf>
    <xf numFmtId="0" fontId="0" fillId="26" borderId="1" xfId="0" applyFill="1" applyBorder="1" applyAlignment="1">
      <alignment horizontal="center" vertical="center" wrapText="1"/>
    </xf>
    <xf numFmtId="0" fontId="0" fillId="30" borderId="1" xfId="0" applyFill="1" applyBorder="1" applyAlignment="1">
      <alignment horizontal="center"/>
    </xf>
    <xf numFmtId="0" fontId="0" fillId="30" borderId="1" xfId="0" applyFill="1" applyBorder="1" applyAlignment="1">
      <alignment horizontal="center" vertical="center"/>
    </xf>
    <xf numFmtId="0" fontId="0" fillId="27" borderId="1" xfId="0" applyFill="1" applyBorder="1" applyAlignment="1">
      <alignment horizontal="center" vertical="center"/>
    </xf>
    <xf numFmtId="0" fontId="0" fillId="28" borderId="1" xfId="0" applyFill="1" applyBorder="1" applyAlignment="1">
      <alignment horizontal="center" vertical="center"/>
    </xf>
    <xf numFmtId="0" fontId="0" fillId="29" borderId="1" xfId="0" applyFill="1" applyBorder="1" applyAlignment="1">
      <alignment horizontal="center" vertical="center"/>
    </xf>
    <xf numFmtId="0" fontId="0" fillId="29" borderId="1" xfId="0" applyFill="1" applyBorder="1" applyAlignment="1">
      <alignment horizontal="center" wrapText="1"/>
    </xf>
    <xf numFmtId="0" fontId="64" fillId="0" borderId="28" xfId="0" applyFont="1" applyBorder="1" applyAlignment="1" applyProtection="1">
      <alignment horizontal="justify" vertical="center"/>
      <protection locked="0"/>
    </xf>
  </cellXfs>
  <cellStyles count="3">
    <cellStyle name="Hipervínculo" xfId="1" builtinId="8"/>
    <cellStyle name="Normal" xfId="0" builtinId="0"/>
    <cellStyle name="Porcentaje" xfId="2" builtinId="5"/>
  </cellStyles>
  <dxfs count="32">
    <dxf>
      <font>
        <b/>
        <i/>
        <color theme="1"/>
      </font>
      <fill>
        <gradientFill degree="270">
          <stop position="0">
            <color rgb="FFC00000"/>
          </stop>
          <stop position="1">
            <color rgb="FFFFFF00"/>
          </stop>
        </gradientFill>
      </fill>
    </dxf>
    <dxf>
      <font>
        <b/>
        <i/>
        <color theme="1"/>
      </font>
      <fill>
        <gradientFill degree="270">
          <stop position="0">
            <color rgb="FFC00000"/>
          </stop>
          <stop position="1">
            <color rgb="FFFFFF00"/>
          </stop>
        </gradientFill>
      </fill>
    </dxf>
    <dxf>
      <font>
        <color theme="1"/>
      </font>
      <border>
        <left style="thin">
          <color auto="1"/>
        </left>
        <right style="thin">
          <color auto="1"/>
        </right>
        <top style="thin">
          <color auto="1"/>
        </top>
        <bottom style="thin">
          <color auto="1"/>
        </bottom>
        <vertical/>
        <horizontal/>
      </border>
    </dxf>
    <dxf>
      <font>
        <b/>
        <i/>
        <color theme="1"/>
      </font>
      <fill>
        <gradientFill degree="270">
          <stop position="0">
            <color rgb="FFC00000"/>
          </stop>
          <stop position="1">
            <color rgb="FFFFFF00"/>
          </stop>
        </gradientFill>
      </fill>
    </dxf>
    <dxf>
      <font>
        <b/>
        <i/>
        <color theme="1"/>
      </font>
      <fill>
        <gradientFill degree="270">
          <stop position="0">
            <color rgb="FFC00000"/>
          </stop>
          <stop position="1">
            <color rgb="FFFFFF00"/>
          </stop>
        </gradientFill>
      </fill>
    </dxf>
    <dxf>
      <font>
        <b/>
        <i/>
        <color theme="1"/>
      </font>
      <fill>
        <gradientFill degree="270">
          <stop position="0">
            <color rgb="FFC00000"/>
          </stop>
          <stop position="1">
            <color rgb="FFFFFF00"/>
          </stop>
        </gradientFill>
      </fill>
    </dxf>
    <dxf>
      <font>
        <color theme="1"/>
      </font>
      <border>
        <left style="thin">
          <color auto="1"/>
        </left>
        <right style="thin">
          <color auto="1"/>
        </right>
        <top style="thin">
          <color auto="1"/>
        </top>
        <bottom style="thin">
          <color auto="1"/>
        </bottom>
        <vertical/>
        <horizontal/>
      </border>
    </dxf>
    <dxf>
      <font>
        <b/>
        <i/>
        <color theme="1"/>
      </font>
      <fill>
        <gradientFill degree="270">
          <stop position="0">
            <color rgb="FFC00000"/>
          </stop>
          <stop position="1">
            <color rgb="FFFFFF00"/>
          </stop>
        </gradientFill>
      </fill>
    </dxf>
    <dxf>
      <font>
        <color theme="1"/>
      </font>
    </dxf>
    <dxf>
      <font>
        <color theme="1"/>
      </font>
    </dxf>
    <dxf>
      <font>
        <b/>
        <i/>
        <color theme="1"/>
      </font>
      <fill>
        <gradientFill degree="270">
          <stop position="0">
            <color rgb="FFC00000"/>
          </stop>
          <stop position="1">
            <color rgb="FFFFFF00"/>
          </stop>
        </gradient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ont>
        <color theme="1"/>
      </font>
    </dxf>
    <dxf>
      <font>
        <b/>
        <i/>
        <color theme="1"/>
      </font>
      <fill>
        <gradientFill degree="270">
          <stop position="0">
            <color rgb="FFC00000"/>
          </stop>
          <stop position="1">
            <color rgb="FFFFFF00"/>
          </stop>
        </gradientFill>
      </fill>
    </dxf>
    <dxf>
      <font>
        <b/>
        <i/>
        <color theme="1"/>
      </font>
      <fill>
        <gradientFill degree="270">
          <stop position="0">
            <color rgb="FFC00000"/>
          </stop>
          <stop position="1">
            <color rgb="FFFFFF00"/>
          </stop>
        </gradientFill>
      </fill>
    </dxf>
    <dxf>
      <font>
        <color theme="1"/>
      </font>
    </dxf>
    <dxf>
      <font>
        <color theme="0" tint="-0.24994659260841701"/>
      </font>
      <fill>
        <patternFill>
          <bgColor theme="0" tint="-0.24994659260841701"/>
        </patternFill>
      </fill>
    </dxf>
    <dxf>
      <font>
        <color theme="0" tint="-0.24994659260841701"/>
      </font>
      <fill>
        <patternFill>
          <bgColor theme="0" tint="-0.24994659260841701"/>
        </patternFill>
      </fill>
    </dxf>
    <dxf>
      <font>
        <b/>
        <i/>
        <color theme="1"/>
      </font>
      <fill>
        <gradientFill degree="270">
          <stop position="0">
            <color rgb="FFC00000"/>
          </stop>
          <stop position="1">
            <color rgb="FFFFFF00"/>
          </stop>
        </gradientFill>
      </fill>
    </dxf>
    <dxf>
      <font>
        <color theme="1"/>
      </font>
    </dxf>
    <dxf>
      <font>
        <b/>
        <i val="0"/>
        <u/>
        <color rgb="FF0033CC"/>
      </font>
    </dxf>
    <dxf>
      <font>
        <b/>
        <i/>
        <color theme="1"/>
      </font>
      <fill>
        <gradientFill degree="270">
          <stop position="0">
            <color rgb="FFC00000"/>
          </stop>
          <stop position="1">
            <color rgb="FFFFFF00"/>
          </stop>
        </gradientFill>
      </fill>
    </dxf>
    <dxf>
      <border>
        <left style="thin">
          <color auto="1"/>
        </left>
        <right style="thin">
          <color auto="1"/>
        </right>
        <top style="thin">
          <color auto="1"/>
        </top>
        <bottom style="thin">
          <color auto="1"/>
        </bottom>
        <vertical/>
        <horizontal/>
      </border>
    </dxf>
    <dxf>
      <font>
        <color theme="1"/>
      </font>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ont>
        <b/>
        <i/>
        <color theme="1"/>
      </font>
      <fill>
        <gradientFill degree="270">
          <stop position="0">
            <color rgb="FFC00000"/>
          </stop>
          <stop position="1">
            <color rgb="FFFFFF00"/>
          </stop>
        </gradientFill>
      </fill>
    </dxf>
    <dxf>
      <font>
        <color theme="1"/>
      </font>
    </dxf>
    <dxf>
      <font>
        <b/>
        <i/>
        <color theme="1"/>
      </font>
      <fill>
        <gradientFill degree="270">
          <stop position="0">
            <color rgb="FFC00000"/>
          </stop>
          <stop position="1">
            <color rgb="FFFFFF00"/>
          </stop>
        </gradientFill>
      </fill>
    </dxf>
  </dxfs>
  <tableStyles count="0" defaultTableStyle="TableStyleMedium2" defaultPivotStyle="PivotStyleLight16"/>
  <colors>
    <mruColors>
      <color rgb="FF99FF99"/>
      <color rgb="FF66FFFF"/>
      <color rgb="FF99FFCC"/>
      <color rgb="FFCCFFFF"/>
      <color rgb="FFFFFFCC"/>
      <color rgb="FF0033CC"/>
      <color rgb="FF33CC33"/>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8.sv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7.png"/><Relationship Id="rId5" Type="http://schemas.openxmlformats.org/officeDocument/2006/relationships/hyperlink" Target="#MENU!C6"/><Relationship Id="rId4"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oneCellAnchor>
    <xdr:from>
      <xdr:col>0</xdr:col>
      <xdr:colOff>254328</xdr:colOff>
      <xdr:row>6</xdr:row>
      <xdr:rowOff>183616</xdr:rowOff>
    </xdr:from>
    <xdr:ext cx="7949549" cy="937693"/>
    <xdr:sp macro="" textlink="">
      <xdr:nvSpPr>
        <xdr:cNvPr id="5" name="Rectángulo 4">
          <a:extLst>
            <a:ext uri="{FF2B5EF4-FFF2-40B4-BE49-F238E27FC236}">
              <a16:creationId xmlns:a16="http://schemas.microsoft.com/office/drawing/2014/main" id="{7C62F015-6ACF-12D8-01CB-7A3879AD94FB}"/>
            </a:ext>
          </a:extLst>
        </xdr:cNvPr>
        <xdr:cNvSpPr/>
      </xdr:nvSpPr>
      <xdr:spPr>
        <a:xfrm>
          <a:off x="254328" y="1326616"/>
          <a:ext cx="7949549" cy="937693"/>
        </a:xfrm>
        <a:prstGeom prst="rect">
          <a:avLst/>
        </a:prstGeom>
        <a:noFill/>
      </xdr:spPr>
      <xdr:txBody>
        <a:bodyPr wrap="none" lIns="91440" tIns="45720" rIns="91440" bIns="45720">
          <a:spAutoFit/>
        </a:bodyPr>
        <a:lstStyle/>
        <a:p>
          <a:pPr algn="ctr"/>
          <a:r>
            <a:rPr lang="es-ES" sz="5400" b="1" cap="none" spc="50">
              <a:ln w="9525" cmpd="sng">
                <a:solidFill>
                  <a:schemeClr val="accent1"/>
                </a:solidFill>
                <a:prstDash val="solid"/>
              </a:ln>
              <a:solidFill>
                <a:srgbClr val="70AD47">
                  <a:tint val="1000"/>
                </a:srgbClr>
              </a:solidFill>
              <a:effectLst>
                <a:glow rad="38100">
                  <a:schemeClr val="accent1">
                    <a:alpha val="40000"/>
                  </a:schemeClr>
                </a:glow>
              </a:effectLst>
            </a:rPr>
            <a:t>Dividendos,</a:t>
          </a:r>
          <a:r>
            <a:rPr lang="es-ES" sz="5400" b="1" cap="none" spc="50" baseline="0">
              <a:ln w="9525" cmpd="sng">
                <a:solidFill>
                  <a:schemeClr val="accent1"/>
                </a:solidFill>
                <a:prstDash val="solid"/>
              </a:ln>
              <a:solidFill>
                <a:srgbClr val="70AD47">
                  <a:tint val="1000"/>
                </a:srgbClr>
              </a:solidFill>
              <a:effectLst>
                <a:glow rad="38100">
                  <a:schemeClr val="accent1">
                    <a:alpha val="40000"/>
                  </a:schemeClr>
                </a:glow>
              </a:effectLst>
            </a:rPr>
            <a:t> CUCA y CUFIN</a:t>
          </a:r>
          <a:endParaRPr lang="es-ES" sz="5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twoCellAnchor editAs="oneCell">
    <xdr:from>
      <xdr:col>4</xdr:col>
      <xdr:colOff>381001</xdr:colOff>
      <xdr:row>12</xdr:row>
      <xdr:rowOff>104775</xdr:rowOff>
    </xdr:from>
    <xdr:to>
      <xdr:col>6</xdr:col>
      <xdr:colOff>238126</xdr:colOff>
      <xdr:row>19</xdr:row>
      <xdr:rowOff>152400</xdr:rowOff>
    </xdr:to>
    <xdr:pic>
      <xdr:nvPicPr>
        <xdr:cNvPr id="13" name="Imagen 12" descr="Calculadora Casio Fucsia Bolsillo 10 Dígitos SL-310UC-RD ...">
          <a:extLst>
            <a:ext uri="{FF2B5EF4-FFF2-40B4-BE49-F238E27FC236}">
              <a16:creationId xmlns:a16="http://schemas.microsoft.com/office/drawing/2014/main" id="{0AA15617-E986-05CB-B071-29513F94A4B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20866266">
          <a:off x="3429001" y="2390775"/>
          <a:ext cx="1381125"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438150</xdr:colOff>
      <xdr:row>1</xdr:row>
      <xdr:rowOff>114300</xdr:rowOff>
    </xdr:from>
    <xdr:to>
      <xdr:col>1</xdr:col>
      <xdr:colOff>650048</xdr:colOff>
      <xdr:row>7</xdr:row>
      <xdr:rowOff>56500</xdr:rowOff>
    </xdr:to>
    <xdr:pic>
      <xdr:nvPicPr>
        <xdr:cNvPr id="20" name="Imagen 19">
          <a:extLst>
            <a:ext uri="{FF2B5EF4-FFF2-40B4-BE49-F238E27FC236}">
              <a16:creationId xmlns:a16="http://schemas.microsoft.com/office/drawing/2014/main" id="{8BEAE8DB-5E42-445F-B4FE-C8F6E4334A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8150" y="304800"/>
          <a:ext cx="973898" cy="1085200"/>
        </a:xfrm>
        <a:prstGeom prst="rect">
          <a:avLst/>
        </a:prstGeom>
      </xdr:spPr>
    </xdr:pic>
    <xdr:clientData/>
  </xdr:twoCellAnchor>
  <xdr:twoCellAnchor editAs="oneCell">
    <xdr:from>
      <xdr:col>0</xdr:col>
      <xdr:colOff>304799</xdr:colOff>
      <xdr:row>1</xdr:row>
      <xdr:rowOff>0</xdr:rowOff>
    </xdr:from>
    <xdr:to>
      <xdr:col>10</xdr:col>
      <xdr:colOff>581024</xdr:colOff>
      <xdr:row>30</xdr:row>
      <xdr:rowOff>4762</xdr:rowOff>
    </xdr:to>
    <xdr:pic>
      <xdr:nvPicPr>
        <xdr:cNvPr id="4" name="Imagen 3">
          <a:extLst>
            <a:ext uri="{FF2B5EF4-FFF2-40B4-BE49-F238E27FC236}">
              <a16:creationId xmlns:a16="http://schemas.microsoft.com/office/drawing/2014/main" id="{7E7B86E9-43DD-6037-E6AA-F43B41F4343C}"/>
            </a:ext>
          </a:extLst>
        </xdr:cNvPr>
        <xdr:cNvPicPr>
          <a:picLocks noChangeAspect="1"/>
        </xdr:cNvPicPr>
      </xdr:nvPicPr>
      <xdr:blipFill>
        <a:blip xmlns:r="http://schemas.openxmlformats.org/officeDocument/2006/relationships" r:embed="rId3"/>
        <a:stretch>
          <a:fillRect/>
        </a:stretch>
      </xdr:blipFill>
      <xdr:spPr>
        <a:xfrm>
          <a:off x="304799" y="190500"/>
          <a:ext cx="7896225" cy="5529262"/>
        </a:xfrm>
        <a:prstGeom prst="rect">
          <a:avLst/>
        </a:prstGeom>
      </xdr:spPr>
    </xdr:pic>
    <xdr:clientData/>
  </xdr:twoCellAnchor>
  <xdr:twoCellAnchor editAs="oneCell">
    <xdr:from>
      <xdr:col>0</xdr:col>
      <xdr:colOff>1</xdr:colOff>
      <xdr:row>0</xdr:row>
      <xdr:rowOff>0</xdr:rowOff>
    </xdr:from>
    <xdr:to>
      <xdr:col>10</xdr:col>
      <xdr:colOff>749301</xdr:colOff>
      <xdr:row>32</xdr:row>
      <xdr:rowOff>180975</xdr:rowOff>
    </xdr:to>
    <xdr:pic>
      <xdr:nvPicPr>
        <xdr:cNvPr id="2" name="Imagen 1">
          <a:extLst>
            <a:ext uri="{FF2B5EF4-FFF2-40B4-BE49-F238E27FC236}">
              <a16:creationId xmlns:a16="http://schemas.microsoft.com/office/drawing/2014/main" id="{93F81567-90F2-44A1-DDB0-D9AF1B06530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 y="0"/>
          <a:ext cx="8369300" cy="6276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276225</xdr:colOff>
      <xdr:row>29</xdr:row>
      <xdr:rowOff>161925</xdr:rowOff>
    </xdr:from>
    <xdr:to>
      <xdr:col>6</xdr:col>
      <xdr:colOff>590550</xdr:colOff>
      <xdr:row>31</xdr:row>
      <xdr:rowOff>133350</xdr:rowOff>
    </xdr:to>
    <xdr:sp macro="" textlink="">
      <xdr:nvSpPr>
        <xdr:cNvPr id="3" name="CuadroTexto 2">
          <a:extLst>
            <a:ext uri="{FF2B5EF4-FFF2-40B4-BE49-F238E27FC236}">
              <a16:creationId xmlns:a16="http://schemas.microsoft.com/office/drawing/2014/main" id="{C01BD113-B247-4845-A722-07D8059789B3}"/>
            </a:ext>
          </a:extLst>
        </xdr:cNvPr>
        <xdr:cNvSpPr txBox="1"/>
      </xdr:nvSpPr>
      <xdr:spPr>
        <a:xfrm>
          <a:off x="276225" y="56864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1"/>
            <a:t>Elaborado por:</a:t>
          </a:r>
          <a:r>
            <a:rPr lang="es-MX" sz="1400" b="1" baseline="0"/>
            <a:t> </a:t>
          </a:r>
          <a:r>
            <a:rPr lang="es-MX" sz="1400" baseline="0"/>
            <a:t>C.P. Claudia Mendoza M. / C.P. Alberto Monroy S.</a:t>
          </a:r>
          <a:endParaRPr lang="es-MX" sz="1400"/>
        </a:p>
      </xdr:txBody>
    </xdr:sp>
    <xdr:clientData/>
  </xdr:twoCellAnchor>
  <xdr:twoCellAnchor>
    <xdr:from>
      <xdr:col>9</xdr:col>
      <xdr:colOff>514350</xdr:colOff>
      <xdr:row>0</xdr:row>
      <xdr:rowOff>38100</xdr:rowOff>
    </xdr:from>
    <xdr:to>
      <xdr:col>10</xdr:col>
      <xdr:colOff>742950</xdr:colOff>
      <xdr:row>4</xdr:row>
      <xdr:rowOff>85725</xdr:rowOff>
    </xdr:to>
    <xdr:sp macro="" textlink="">
      <xdr:nvSpPr>
        <xdr:cNvPr id="6" name="Triángulo rectángulo 5">
          <a:extLst>
            <a:ext uri="{FF2B5EF4-FFF2-40B4-BE49-F238E27FC236}">
              <a16:creationId xmlns:a16="http://schemas.microsoft.com/office/drawing/2014/main" id="{2C4EB1B6-8BE4-E944-C99A-B5BE6E06FE53}"/>
            </a:ext>
          </a:extLst>
        </xdr:cNvPr>
        <xdr:cNvSpPr/>
      </xdr:nvSpPr>
      <xdr:spPr>
        <a:xfrm rot="10800000">
          <a:off x="7372350" y="38100"/>
          <a:ext cx="990600" cy="809625"/>
        </a:xfrm>
        <a:prstGeom prst="rtTriangl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s-MX" sz="1100"/>
        </a:p>
      </xdr:txBody>
    </xdr:sp>
    <xdr:clientData/>
  </xdr:twoCellAnchor>
  <xdr:twoCellAnchor>
    <xdr:from>
      <xdr:col>8</xdr:col>
      <xdr:colOff>695325</xdr:colOff>
      <xdr:row>21</xdr:row>
      <xdr:rowOff>152400</xdr:rowOff>
    </xdr:from>
    <xdr:to>
      <xdr:col>10</xdr:col>
      <xdr:colOff>323850</xdr:colOff>
      <xdr:row>27</xdr:row>
      <xdr:rowOff>64275</xdr:rowOff>
    </xdr:to>
    <xdr:grpSp>
      <xdr:nvGrpSpPr>
        <xdr:cNvPr id="19" name="Grupo 18">
          <a:hlinkClick xmlns:r="http://schemas.openxmlformats.org/officeDocument/2006/relationships" r:id="rId5"/>
          <a:extLst>
            <a:ext uri="{FF2B5EF4-FFF2-40B4-BE49-F238E27FC236}">
              <a16:creationId xmlns:a16="http://schemas.microsoft.com/office/drawing/2014/main" id="{FE8A4FDD-E660-B4E8-BBA5-2B9C46631554}"/>
            </a:ext>
          </a:extLst>
        </xdr:cNvPr>
        <xdr:cNvGrpSpPr/>
      </xdr:nvGrpSpPr>
      <xdr:grpSpPr>
        <a:xfrm>
          <a:off x="6791325" y="4152900"/>
          <a:ext cx="1152525" cy="1054875"/>
          <a:chOff x="6657975" y="4752975"/>
          <a:chExt cx="1152525" cy="1054875"/>
        </a:xfrm>
      </xdr:grpSpPr>
      <xdr:pic>
        <xdr:nvPicPr>
          <xdr:cNvPr id="17" name="Gráfico 16" descr="Maestro contorno">
            <a:extLst>
              <a:ext uri="{FF2B5EF4-FFF2-40B4-BE49-F238E27FC236}">
                <a16:creationId xmlns:a16="http://schemas.microsoft.com/office/drawing/2014/main" id="{D4D00C9A-0DB1-179F-8CD6-723DF4AE15B8}"/>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657975" y="4752975"/>
            <a:ext cx="1152525" cy="1054875"/>
          </a:xfrm>
          <a:prstGeom prst="rect">
            <a:avLst/>
          </a:prstGeom>
        </xdr:spPr>
      </xdr:pic>
      <xdr:sp macro="" textlink="">
        <xdr:nvSpPr>
          <xdr:cNvPr id="18" name="CuadroTexto 17">
            <a:extLst>
              <a:ext uri="{FF2B5EF4-FFF2-40B4-BE49-F238E27FC236}">
                <a16:creationId xmlns:a16="http://schemas.microsoft.com/office/drawing/2014/main" id="{A9EED349-0424-963B-0CE0-6A1871A906DB}"/>
              </a:ext>
            </a:extLst>
          </xdr:cNvPr>
          <xdr:cNvSpPr txBox="1"/>
        </xdr:nvSpPr>
        <xdr:spPr>
          <a:xfrm>
            <a:off x="6953250" y="5019675"/>
            <a:ext cx="809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Comenzar</a:t>
            </a: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2168079</xdr:colOff>
      <xdr:row>0</xdr:row>
      <xdr:rowOff>88366</xdr:rowOff>
    </xdr:from>
    <xdr:ext cx="1950342" cy="937693"/>
    <xdr:sp macro="" textlink="">
      <xdr:nvSpPr>
        <xdr:cNvPr id="2" name="Rectángulo 1">
          <a:hlinkClick xmlns:r="http://schemas.openxmlformats.org/officeDocument/2006/relationships" r:id="rId1"/>
          <a:extLst>
            <a:ext uri="{FF2B5EF4-FFF2-40B4-BE49-F238E27FC236}">
              <a16:creationId xmlns:a16="http://schemas.microsoft.com/office/drawing/2014/main" id="{E47A6BA9-A020-5323-74F6-2B249DF9D95B}"/>
            </a:ext>
          </a:extLst>
        </xdr:cNvPr>
        <xdr:cNvSpPr/>
      </xdr:nvSpPr>
      <xdr:spPr>
        <a:xfrm>
          <a:off x="2930079" y="88366"/>
          <a:ext cx="1950342" cy="937693"/>
        </a:xfrm>
        <a:prstGeom prst="rect">
          <a:avLst/>
        </a:prstGeom>
        <a:noFill/>
      </xdr:spPr>
      <xdr:txBody>
        <a:bodyPr wrap="none" lIns="91440" tIns="45720" rIns="91440" bIns="45720">
          <a:spAutoFit/>
        </a:bodyPr>
        <a:lstStyle/>
        <a:p>
          <a:pPr algn="ctr"/>
          <a:r>
            <a:rPr lang="es-ES" sz="5400" b="1" cap="none" spc="50">
              <a:ln w="9525" cmpd="sng">
                <a:solidFill>
                  <a:schemeClr val="tx1"/>
                </a:solidFill>
                <a:prstDash val="solid"/>
              </a:ln>
              <a:solidFill>
                <a:srgbClr val="33CC33"/>
              </a:solidFill>
              <a:effectLst>
                <a:glow rad="38100">
                  <a:schemeClr val="accent1">
                    <a:alpha val="40000"/>
                  </a:schemeClr>
                </a:glow>
              </a:effectLst>
            </a:rPr>
            <a:t>MENÚ</a:t>
          </a:r>
        </a:p>
      </xdr:txBody>
    </xdr:sp>
    <xdr:clientData/>
  </xdr:oneCellAnchor>
  <xdr:twoCellAnchor>
    <xdr:from>
      <xdr:col>1</xdr:col>
      <xdr:colOff>1019175</xdr:colOff>
      <xdr:row>20</xdr:row>
      <xdr:rowOff>95250</xdr:rowOff>
    </xdr:from>
    <xdr:to>
      <xdr:col>2</xdr:col>
      <xdr:colOff>1390650</xdr:colOff>
      <xdr:row>21</xdr:row>
      <xdr:rowOff>209550</xdr:rowOff>
    </xdr:to>
    <xdr:sp macro="" textlink="">
      <xdr:nvSpPr>
        <xdr:cNvPr id="5" name="CuadroTexto 4">
          <a:extLst>
            <a:ext uri="{FF2B5EF4-FFF2-40B4-BE49-F238E27FC236}">
              <a16:creationId xmlns:a16="http://schemas.microsoft.com/office/drawing/2014/main" id="{343C5B44-CABF-EC78-0B53-478A426E9637}"/>
            </a:ext>
          </a:extLst>
        </xdr:cNvPr>
        <xdr:cNvSpPr txBox="1"/>
      </xdr:nvSpPr>
      <xdr:spPr>
        <a:xfrm>
          <a:off x="1781175" y="4114800"/>
          <a:ext cx="4886325"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1"/>
            <a:t>Elaborado por:</a:t>
          </a:r>
          <a:r>
            <a:rPr lang="es-MX" sz="1400" b="1" baseline="0"/>
            <a:t> </a:t>
          </a:r>
          <a:r>
            <a:rPr lang="es-MX" sz="1400" baseline="0"/>
            <a:t>C.P. Claudia Mendoza M. / C.P. Alberto Monroy S.</a:t>
          </a:r>
          <a:endParaRPr lang="es-MX"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396875</xdr:colOff>
      <xdr:row>15</xdr:row>
      <xdr:rowOff>103188</xdr:rowOff>
    </xdr:from>
    <xdr:to>
      <xdr:col>2</xdr:col>
      <xdr:colOff>2562225</xdr:colOff>
      <xdr:row>15</xdr:row>
      <xdr:rowOff>274638</xdr:rowOff>
    </xdr:to>
    <xdr:pic>
      <xdr:nvPicPr>
        <xdr:cNvPr id="3" name="Imagen 2">
          <a:extLst>
            <a:ext uri="{FF2B5EF4-FFF2-40B4-BE49-F238E27FC236}">
              <a16:creationId xmlns:a16="http://schemas.microsoft.com/office/drawing/2014/main" id="{ACD67EBC-F33C-5625-BF75-26AA1C7245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4563" y="5183188"/>
          <a:ext cx="2165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182563</xdr:colOff>
      <xdr:row>27</xdr:row>
      <xdr:rowOff>31750</xdr:rowOff>
    </xdr:from>
    <xdr:to>
      <xdr:col>2</xdr:col>
      <xdr:colOff>763588</xdr:colOff>
      <xdr:row>28</xdr:row>
      <xdr:rowOff>184150</xdr:rowOff>
    </xdr:to>
    <xdr:pic>
      <xdr:nvPicPr>
        <xdr:cNvPr id="4" name="Imagen 3">
          <a:extLst>
            <a:ext uri="{FF2B5EF4-FFF2-40B4-BE49-F238E27FC236}">
              <a16:creationId xmlns:a16="http://schemas.microsoft.com/office/drawing/2014/main" id="{E2D2B67D-A1DB-3360-ED72-91DDD655C3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6563" y="11533188"/>
          <a:ext cx="10890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103188</xdr:colOff>
      <xdr:row>37</xdr:row>
      <xdr:rowOff>23812</xdr:rowOff>
    </xdr:from>
    <xdr:to>
      <xdr:col>2</xdr:col>
      <xdr:colOff>1189038</xdr:colOff>
      <xdr:row>39</xdr:row>
      <xdr:rowOff>14287</xdr:rowOff>
    </xdr:to>
    <xdr:pic>
      <xdr:nvPicPr>
        <xdr:cNvPr id="5" name="Imagen 4">
          <a:extLst>
            <a:ext uri="{FF2B5EF4-FFF2-40B4-BE49-F238E27FC236}">
              <a16:creationId xmlns:a16="http://schemas.microsoft.com/office/drawing/2014/main" id="{36B4096B-0407-A2CF-87B1-F26FE6EE72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7188" y="16422687"/>
          <a:ext cx="15938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207817</xdr:colOff>
      <xdr:row>70</xdr:row>
      <xdr:rowOff>17318</xdr:rowOff>
    </xdr:from>
    <xdr:to>
      <xdr:col>12</xdr:col>
      <xdr:colOff>658090</xdr:colOff>
      <xdr:row>85</xdr:row>
      <xdr:rowOff>17318</xdr:rowOff>
    </xdr:to>
    <xdr:sp macro="" textlink="">
      <xdr:nvSpPr>
        <xdr:cNvPr id="2" name="CuadroTexto 1">
          <a:extLst>
            <a:ext uri="{FF2B5EF4-FFF2-40B4-BE49-F238E27FC236}">
              <a16:creationId xmlns:a16="http://schemas.microsoft.com/office/drawing/2014/main" id="{FA50A862-31FD-74BE-6968-F371B09A1919}"/>
            </a:ext>
          </a:extLst>
        </xdr:cNvPr>
        <xdr:cNvSpPr txBox="1"/>
      </xdr:nvSpPr>
      <xdr:spPr>
        <a:xfrm>
          <a:off x="6364431" y="23015863"/>
          <a:ext cx="7897091" cy="39745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MX" sz="1100" b="1"/>
            <a:t>Artículo 10 quinto párrafo LISR</a:t>
          </a:r>
        </a:p>
        <a:p>
          <a:pPr algn="just"/>
          <a:r>
            <a:rPr lang="es-ES" sz="1100">
              <a:solidFill>
                <a:schemeClr val="dk1"/>
              </a:solidFill>
              <a:effectLst/>
              <a:latin typeface="+mn-lt"/>
              <a:ea typeface="+mn-ea"/>
              <a:cs typeface="+mn-cs"/>
            </a:rPr>
            <a:t>Cuando los contribuyentes a que se refiere este artículo distribuyan dividendos o utilidades y como consecuencia de ello paguen el impuesto que establece este artículo, podrán acreditar dicho impuesto de acuerdo a lo siguiente:</a:t>
          </a:r>
          <a:endParaRPr lang="es-MX"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endParaRPr lang="es-MX"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I.	</a:t>
          </a:r>
          <a:r>
            <a:rPr lang="es-ES" sz="1100">
              <a:solidFill>
                <a:schemeClr val="dk1"/>
              </a:solidFill>
              <a:effectLst/>
              <a:latin typeface="+mn-lt"/>
              <a:ea typeface="+mn-ea"/>
              <a:cs typeface="+mn-cs"/>
            </a:rPr>
            <a:t>El acreditamiento únicamente podrá efectuarse contra el impuesto sobre la renta del ejercicio que resulte a cargo de la persona moral en el ejercicio en el que se pague el impuesto a que se refiere este artículo.</a:t>
          </a:r>
          <a:endParaRPr lang="es-MX"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endParaRPr lang="es-MX"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	El monto del impuesto que no se pueda acreditar conforme al párrafo anterior, se podrá acreditar hasta en los dos ejercicios inmediatos siguientes contra el impuesto del ejercicio y contra los pagos provisionales de los mismos. Cuando el impuesto del ejercicio sea menor que el monto que se hubiese acreditado en los pagos provisionales, únicamente se considerará acreditable contra el impuesto del ejercicio un monto igual a este último.</a:t>
          </a:r>
          <a:endParaRPr lang="es-MX"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endParaRPr lang="es-MX"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	Cuando el contribuyente no acredite en un ejercicio el impuesto a que se refiere el cuarto párrafo de este artículo, pudiendo haberlo hecho conforme al mismo, perderá el derecho a hacerlo en los ejercicios posteriores hasta por la cantidad en la que pudo haberlo efectuado.</a:t>
          </a:r>
          <a:endParaRPr lang="es-MX"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endParaRPr lang="es-MX"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II.	</a:t>
          </a:r>
          <a:r>
            <a:rPr lang="es-ES" sz="1100">
              <a:solidFill>
                <a:schemeClr val="dk1"/>
              </a:solidFill>
              <a:effectLst/>
              <a:latin typeface="+mn-lt"/>
              <a:ea typeface="+mn-ea"/>
              <a:cs typeface="+mn-cs"/>
            </a:rPr>
            <a:t>Para los efectos del artículo 77 de esta Ley, en el ejercicio en el que acrediten el impuesto conforme a la fracción anterior, los contribuyentes deberán disminuir de la utilidad fiscal neta calculada en los términos de dicho precepto, la cantidad que resulte de dividir el impuesto acreditado entre el factor 0.4286.</a:t>
          </a:r>
          <a:endParaRPr lang="es-MX"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endParaRPr lang="es-MX"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Para los efectos de este artículo, no se considerarán dividendos o utilidades distribuidos, la participación de los trabajadores en las utilidades de las empresas.</a:t>
          </a:r>
          <a:endParaRPr lang="es-MX" sz="1100">
            <a:solidFill>
              <a:schemeClr val="dk1"/>
            </a:solidFill>
            <a:effectLst/>
            <a:latin typeface="+mn-lt"/>
            <a:ea typeface="+mn-ea"/>
            <a:cs typeface="+mn-cs"/>
          </a:endParaRPr>
        </a:p>
        <a:p>
          <a:pPr algn="just"/>
          <a:endParaRPr lang="es-MX"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69273</xdr:colOff>
      <xdr:row>32</xdr:row>
      <xdr:rowOff>164522</xdr:rowOff>
    </xdr:from>
    <xdr:to>
      <xdr:col>6</xdr:col>
      <xdr:colOff>121438</xdr:colOff>
      <xdr:row>40</xdr:row>
      <xdr:rowOff>145682</xdr:rowOff>
    </xdr:to>
    <xdr:pic>
      <xdr:nvPicPr>
        <xdr:cNvPr id="2" name="Imagen 1">
          <a:extLst>
            <a:ext uri="{FF2B5EF4-FFF2-40B4-BE49-F238E27FC236}">
              <a16:creationId xmlns:a16="http://schemas.microsoft.com/office/drawing/2014/main" id="{DFB5D6BD-0068-A611-3709-8CD0969E4F44}"/>
            </a:ext>
          </a:extLst>
        </xdr:cNvPr>
        <xdr:cNvPicPr>
          <a:picLocks noChangeAspect="1"/>
        </xdr:cNvPicPr>
      </xdr:nvPicPr>
      <xdr:blipFill>
        <a:blip xmlns:r="http://schemas.openxmlformats.org/officeDocument/2006/relationships" r:embed="rId1"/>
        <a:stretch>
          <a:fillRect/>
        </a:stretch>
      </xdr:blipFill>
      <xdr:spPr>
        <a:xfrm>
          <a:off x="545523" y="6650181"/>
          <a:ext cx="7706801" cy="1505160"/>
        </a:xfrm>
        <a:prstGeom prst="rect">
          <a:avLst/>
        </a:prstGeom>
      </xdr:spPr>
    </xdr:pic>
    <xdr:clientData/>
  </xdr:twoCellAnchor>
  <xdr:twoCellAnchor editAs="oneCell">
    <xdr:from>
      <xdr:col>1</xdr:col>
      <xdr:colOff>0</xdr:colOff>
      <xdr:row>42</xdr:row>
      <xdr:rowOff>0</xdr:rowOff>
    </xdr:from>
    <xdr:to>
      <xdr:col>2</xdr:col>
      <xdr:colOff>639663</xdr:colOff>
      <xdr:row>50</xdr:row>
      <xdr:rowOff>66897</xdr:rowOff>
    </xdr:to>
    <xdr:pic>
      <xdr:nvPicPr>
        <xdr:cNvPr id="3" name="Imagen 2">
          <a:extLst>
            <a:ext uri="{FF2B5EF4-FFF2-40B4-BE49-F238E27FC236}">
              <a16:creationId xmlns:a16="http://schemas.microsoft.com/office/drawing/2014/main" id="{4426F507-DB44-1D18-7D65-4CF376078D13}"/>
            </a:ext>
          </a:extLst>
        </xdr:cNvPr>
        <xdr:cNvPicPr>
          <a:picLocks noChangeAspect="1"/>
        </xdr:cNvPicPr>
      </xdr:nvPicPr>
      <xdr:blipFill>
        <a:blip xmlns:r="http://schemas.openxmlformats.org/officeDocument/2006/relationships" r:embed="rId2"/>
        <a:stretch>
          <a:fillRect/>
        </a:stretch>
      </xdr:blipFill>
      <xdr:spPr>
        <a:xfrm>
          <a:off x="476250" y="8390659"/>
          <a:ext cx="4458322" cy="1590897"/>
        </a:xfrm>
        <a:prstGeom prst="rect">
          <a:avLst/>
        </a:prstGeom>
      </xdr:spPr>
    </xdr:pic>
    <xdr:clientData/>
  </xdr:twoCellAnchor>
  <xdr:twoCellAnchor editAs="oneCell">
    <xdr:from>
      <xdr:col>1</xdr:col>
      <xdr:colOff>8659</xdr:colOff>
      <xdr:row>51</xdr:row>
      <xdr:rowOff>121228</xdr:rowOff>
    </xdr:from>
    <xdr:to>
      <xdr:col>3</xdr:col>
      <xdr:colOff>47442</xdr:colOff>
      <xdr:row>61</xdr:row>
      <xdr:rowOff>102441</xdr:rowOff>
    </xdr:to>
    <xdr:pic>
      <xdr:nvPicPr>
        <xdr:cNvPr id="4" name="Imagen 3">
          <a:extLst>
            <a:ext uri="{FF2B5EF4-FFF2-40B4-BE49-F238E27FC236}">
              <a16:creationId xmlns:a16="http://schemas.microsoft.com/office/drawing/2014/main" id="{098004BE-D6A6-F201-ACAC-AC22E7AAF69A}"/>
            </a:ext>
          </a:extLst>
        </xdr:cNvPr>
        <xdr:cNvPicPr>
          <a:picLocks noChangeAspect="1"/>
        </xdr:cNvPicPr>
      </xdr:nvPicPr>
      <xdr:blipFill>
        <a:blip xmlns:r="http://schemas.openxmlformats.org/officeDocument/2006/relationships" r:embed="rId3"/>
        <a:stretch>
          <a:fillRect/>
        </a:stretch>
      </xdr:blipFill>
      <xdr:spPr>
        <a:xfrm>
          <a:off x="484909" y="10226387"/>
          <a:ext cx="4896533" cy="1886213"/>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v>facebook</v>
  </rv>
  <rv s="1">
    <v>1</v>
    <v>5</v>
  </rv>
</rvData>
</file>

<file path=xl/richData/rdrichvaluestructure.xml><?xml version="1.0" encoding="utf-8"?>
<rvStructures xmlns="http://schemas.microsoft.com/office/spreadsheetml/2017/richdata" count="2">
  <s t="_localImage">
    <k n="_rvRel:LocalImageIdentifier" t="i"/>
    <k n="CalcOrigin" t="i"/>
    <k n="Text" t="s"/>
  </s>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facebook.com/AsesoriaCFMSC"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5E75A-32A6-465A-9C8D-D9E407A507D6}">
  <sheetPr codeName="Hoja2"/>
  <dimension ref="C14:H23"/>
  <sheetViews>
    <sheetView showGridLines="0" showRowColHeaders="0" tabSelected="1" workbookViewId="0">
      <selection activeCell="J31" sqref="J31"/>
    </sheetView>
  </sheetViews>
  <sheetFormatPr baseColWidth="10" defaultRowHeight="15" x14ac:dyDescent="0.25"/>
  <sheetData>
    <row r="14" spans="3:3" x14ac:dyDescent="0.25">
      <c r="C14" s="22">
        <v>5412365</v>
      </c>
    </row>
    <row r="23" spans="8:8" x14ac:dyDescent="0.25">
      <c r="H23" t="e" vm="1">
        <v>#VALUE!</v>
      </c>
    </row>
  </sheetData>
  <sheetProtection algorithmName="SHA-512" hashValue="Bb069OOHLDHmFOPWitLdc8itUOcrf/kCDuMGePPsqz7yK3rw6gvYkNMC+g5dM2xJaWhmAzpvw05FLguTZFslWw==" saltValue="J0bdnzwhB+kIf/Namm8bDA==" spinCount="100000" sheet="1" objects="1" scenarios="1" selectLockedCells="1"/>
  <hyperlinks>
    <hyperlink ref="H23" r:id="rId1" display="https://www.facebook.com/AsesoriaCFMSC" xr:uid="{D73F9BAC-147E-4929-A6AB-20DAE84F377B}"/>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4E178-DB55-48ED-8590-DC1E2E6CFFAB}">
  <sheetPr codeName="Hoja1"/>
  <dimension ref="B2:G24"/>
  <sheetViews>
    <sheetView showGridLines="0" zoomScale="110" zoomScaleNormal="110" workbookViewId="0">
      <selection activeCell="B5" sqref="B5:D5"/>
    </sheetView>
  </sheetViews>
  <sheetFormatPr baseColWidth="10" defaultRowHeight="15" x14ac:dyDescent="0.25"/>
  <cols>
    <col min="1" max="1" width="11.42578125" style="26"/>
    <col min="2" max="2" width="96" style="26" customWidth="1"/>
    <col min="3" max="3" width="15.7109375" style="26" customWidth="1"/>
    <col min="4" max="4" width="16.42578125" style="26" customWidth="1"/>
    <col min="5" max="5" width="23" style="26" customWidth="1"/>
    <col min="6" max="6" width="11.42578125" style="26"/>
    <col min="7" max="7" width="11.85546875" style="26" bestFit="1" customWidth="1"/>
    <col min="8" max="16384" width="11.42578125" style="26"/>
  </cols>
  <sheetData>
    <row r="2" spans="2:7" ht="19.5" x14ac:dyDescent="0.25">
      <c r="D2" s="59" t="str">
        <f>IF(PORTADA!$C$14=5412365,HYPERLINK("#MENU!C13","Menú"),"")</f>
        <v>Menú</v>
      </c>
    </row>
    <row r="3" spans="2:7" ht="18.75" x14ac:dyDescent="0.3">
      <c r="B3" s="128" t="s">
        <v>44</v>
      </c>
    </row>
    <row r="5" spans="2:7" ht="175.5" customHeight="1" x14ac:dyDescent="0.25">
      <c r="B5" s="326" t="s">
        <v>27</v>
      </c>
      <c r="C5" s="326"/>
      <c r="D5" s="326"/>
    </row>
    <row r="7" spans="2:7" ht="18.75" x14ac:dyDescent="0.3">
      <c r="D7" s="129"/>
      <c r="G7" s="116"/>
    </row>
    <row r="8" spans="2:7" ht="18.75" x14ac:dyDescent="0.3">
      <c r="B8" s="130" t="s">
        <v>0</v>
      </c>
      <c r="C8" s="130"/>
      <c r="D8" s="131">
        <v>859129.68</v>
      </c>
      <c r="G8" s="116"/>
    </row>
    <row r="9" spans="2:7" ht="18.75" x14ac:dyDescent="0.3">
      <c r="B9" s="328" t="s">
        <v>1</v>
      </c>
      <c r="C9" s="329"/>
      <c r="D9" s="131">
        <v>350000</v>
      </c>
    </row>
    <row r="10" spans="2:7" ht="23.25" customHeight="1" x14ac:dyDescent="0.3">
      <c r="B10" s="328" t="s">
        <v>2</v>
      </c>
      <c r="C10" s="329"/>
      <c r="D10" s="131"/>
    </row>
    <row r="11" spans="2:7" ht="18.75" x14ac:dyDescent="0.3">
      <c r="B11" s="330" t="s">
        <v>3</v>
      </c>
      <c r="C11" s="329"/>
      <c r="D11" s="131"/>
      <c r="E11" s="132" t="s">
        <v>45</v>
      </c>
    </row>
    <row r="12" spans="2:7" ht="18.75" x14ac:dyDescent="0.3">
      <c r="B12" s="331" t="s">
        <v>4</v>
      </c>
      <c r="C12" s="331"/>
      <c r="D12" s="134">
        <f>IFERROR(D8+D9+D10-D11,0)</f>
        <v>1209129.6800000002</v>
      </c>
      <c r="E12" s="135">
        <v>45463</v>
      </c>
    </row>
    <row r="13" spans="2:7" ht="18.75" x14ac:dyDescent="0.3">
      <c r="B13" s="133"/>
      <c r="C13" s="133"/>
      <c r="D13" s="134"/>
    </row>
    <row r="14" spans="2:7" ht="18.75" x14ac:dyDescent="0.3">
      <c r="B14" s="136" t="s">
        <v>40</v>
      </c>
      <c r="C14" s="137">
        <v>45400</v>
      </c>
    </row>
    <row r="15" spans="2:7" ht="18.75" x14ac:dyDescent="0.3">
      <c r="B15" s="133"/>
      <c r="C15" s="133"/>
      <c r="D15" s="134"/>
    </row>
    <row r="16" spans="2:7" ht="18.75" x14ac:dyDescent="0.3">
      <c r="B16" s="138" t="s">
        <v>41</v>
      </c>
      <c r="C16" s="138"/>
      <c r="D16" s="139"/>
    </row>
    <row r="17" spans="2:4" ht="18.75" x14ac:dyDescent="0.3">
      <c r="B17" s="140" t="str">
        <f>IFERROR("INPC "&amp;TEXT(IF(DAY(E12)&lt;=9,EOMONTH(E12,-1),EOMONTH(E12,0)),"MMMM")&amp;" "&amp;IF(DAY(E12)&lt;=9,YEAR(EOMONTH(E12,-1)),YEAR(EOMONTH(E12,0))),"INPC ")</f>
        <v>INPC junio 2024</v>
      </c>
      <c r="C17" s="141">
        <f>IFERROR(INDEX(TINPC,MATCH(IF(DAY(E12)&lt;=9,YEAR(EOMONTH(E12,-1)),YEAR(EOMONTH(E12,0))),INPCA,0),MATCH(TEXT(IF(DAY(E12)&lt;=9,EOMONTH(E12,-1),EOMONTH(E12,0)),"MMMM"),INPCM,0)),"")</f>
        <v>134.59399999999999</v>
      </c>
      <c r="D17" s="54"/>
    </row>
    <row r="18" spans="2:4" ht="18.75" x14ac:dyDescent="0.3">
      <c r="B18" s="140" t="str">
        <f>"(/) INPC "&amp;IF(C14&gt;0,TEXT(C14,"MMMM")&amp;" "&amp;YEAR(C14),"")</f>
        <v>(/) INPC abril 2024</v>
      </c>
      <c r="C18" s="142">
        <f>IFERROR(INDEX(TINPC,MATCH(YEAR(C14),INPCA,0),MATCH(TEXT(C14,"MMMM"),INPCM,0)),"")</f>
        <v>134.33600000000001</v>
      </c>
      <c r="D18" s="54"/>
    </row>
    <row r="19" spans="2:4" ht="18.75" x14ac:dyDescent="0.3">
      <c r="B19" s="140" t="s">
        <v>42</v>
      </c>
      <c r="C19" s="143"/>
      <c r="D19" s="144">
        <f>IFERROR(IF((C17/C18)&lt;1,1,ROUND(C17/C18,4)),"")</f>
        <v>1.0019</v>
      </c>
    </row>
    <row r="20" spans="2:4" ht="18.75" x14ac:dyDescent="0.3">
      <c r="B20" s="145" t="s">
        <v>43</v>
      </c>
      <c r="C20" s="145"/>
      <c r="D20" s="139">
        <f>IFERROR(ROUND(D12*D19,2),"")</f>
        <v>1211427.03</v>
      </c>
    </row>
    <row r="21" spans="2:4" ht="18.75" x14ac:dyDescent="0.3">
      <c r="B21" s="133"/>
      <c r="C21" s="133"/>
      <c r="D21" s="134"/>
    </row>
    <row r="22" spans="2:4" ht="18.75" x14ac:dyDescent="0.3">
      <c r="B22" s="133"/>
      <c r="C22" s="133"/>
      <c r="D22" s="134"/>
    </row>
    <row r="24" spans="2:4" ht="111" customHeight="1" x14ac:dyDescent="0.25">
      <c r="B24" s="327" t="s">
        <v>311</v>
      </c>
      <c r="C24" s="327"/>
      <c r="D24" s="327"/>
    </row>
  </sheetData>
  <sheetProtection algorithmName="SHA-512" hashValue="1tdS0MYY2rFMg3PrUaZGPDL7MilFRraD1BI1Ym1KO5v2hWXhKECmeHzTfKI3ScavOqSX5i2zFLpW7BMf3WuB8g==" saltValue="NoUoAC/6ZuMqFj7vZYXuYg==" spinCount="100000" sheet="1" objects="1" scenarios="1" formatCells="0" formatColumns="0" formatRows="0" insertColumns="0" insertRows="0" insertHyperlinks="0" deleteColumns="0" deleteRows="0" selectLockedCells="1" sort="0" autoFilter="0"/>
  <mergeCells count="6">
    <mergeCell ref="B5:D5"/>
    <mergeCell ref="B24:D24"/>
    <mergeCell ref="B9:C9"/>
    <mergeCell ref="B10:C10"/>
    <mergeCell ref="B11:C11"/>
    <mergeCell ref="B12:C12"/>
  </mergeCells>
  <hyperlinks>
    <hyperlink ref="B9" location="FUNDAMENTO!B10" display="(+) Aportaciones de capital" xr:uid="{D20B870D-F6BB-4AA9-83CE-E9E803F94612}"/>
    <hyperlink ref="B10" location="FUNDAMENTO!B7" display="(+) Primas netas por suscripción de acciones efectuadas por los socios o accionistas" xr:uid="{23D32B91-E092-4E34-AC25-40460032BACD}"/>
    <hyperlink ref="B11" location="FUNDAMENTO!B13" display="(-) Reducciones de capital que se efectúen" xr:uid="{5C1B73EA-CE8B-45DC-BA59-A965CAF8F42E}"/>
    <hyperlink ref="B11:C11" location="REDUCCIONC!B3" display="(-) Reducciones de capital que se efectúen" xr:uid="{FFE8006A-0556-4157-B4C4-C0DE2E0C250B}"/>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409A896A-7296-4901-9CD8-AF42E93B7EB4}">
            <xm:f>IF(PORTADA!$C$14=5412365,1,0)</xm:f>
            <x14:dxf>
              <font>
                <color theme="1"/>
              </font>
            </x14:dxf>
          </x14:cfRule>
          <xm:sqref>B16:D20</xm:sqref>
        </x14:conditionalFormatting>
        <x14:conditionalFormatting xmlns:xm="http://schemas.microsoft.com/office/excel/2006/main">
          <x14:cfRule type="expression" priority="2" id="{4C44700A-87F3-43E8-B23B-8FAE34130672}">
            <xm:f>IF(PORTADA!$C$14=5412365,1,0)</xm:f>
            <x14:dxf>
              <font>
                <color theme="1"/>
              </font>
            </x14:dxf>
          </x14:cfRule>
          <xm:sqref>B24:D24</xm:sqref>
        </x14:conditionalFormatting>
        <x14:conditionalFormatting xmlns:xm="http://schemas.microsoft.com/office/excel/2006/main">
          <x14:cfRule type="expression" priority="1" id="{0ADE7244-9369-4A9D-A2BC-5F01057556F8}">
            <xm:f>IF(PORTADA!$C$14=5412365,1,0)</xm:f>
            <x14:dxf>
              <font>
                <b/>
                <i/>
                <color theme="1"/>
              </font>
              <fill>
                <gradientFill degree="270">
                  <stop position="0">
                    <color rgb="FFC00000"/>
                  </stop>
                  <stop position="1">
                    <color rgb="FFFFFF00"/>
                  </stop>
                </gradientFill>
              </fill>
            </x14:dxf>
          </x14:cfRule>
          <xm:sqref>D2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E2E2F-8CAC-4BF3-9E8E-F2D031833ADC}">
  <sheetPr codeName="Hoja11"/>
  <dimension ref="B2:D17"/>
  <sheetViews>
    <sheetView showGridLines="0" topLeftCell="A11" zoomScale="110" zoomScaleNormal="110" workbookViewId="0">
      <selection activeCell="D14" sqref="D14"/>
    </sheetView>
  </sheetViews>
  <sheetFormatPr baseColWidth="10" defaultRowHeight="15" x14ac:dyDescent="0.25"/>
  <cols>
    <col min="1" max="1" width="5.5703125" style="26" customWidth="1"/>
    <col min="2" max="2" width="25.5703125" style="26" customWidth="1"/>
    <col min="3" max="3" width="104.42578125" style="26" customWidth="1"/>
    <col min="4" max="4" width="36.7109375" style="26" customWidth="1"/>
    <col min="5" max="16384" width="11.42578125" style="26"/>
  </cols>
  <sheetData>
    <row r="2" spans="2:4" ht="19.5" x14ac:dyDescent="0.25">
      <c r="D2" s="59" t="str">
        <f>IF(PORTADA!$C$14=5412365,HYPERLINK("#MENU!C14","Menú"),"")</f>
        <v>Menú</v>
      </c>
    </row>
    <row r="4" spans="2:4" x14ac:dyDescent="0.25">
      <c r="B4" s="146" t="s">
        <v>9</v>
      </c>
      <c r="C4" s="146" t="s">
        <v>10</v>
      </c>
      <c r="D4" s="146" t="s">
        <v>7</v>
      </c>
    </row>
    <row r="5" spans="2:4" x14ac:dyDescent="0.25">
      <c r="B5" s="54" t="s">
        <v>13</v>
      </c>
      <c r="C5" s="54" t="s">
        <v>14</v>
      </c>
      <c r="D5" s="54" t="s">
        <v>8</v>
      </c>
    </row>
    <row r="6" spans="2:4" ht="45" x14ac:dyDescent="0.25">
      <c r="B6" s="147" t="s">
        <v>62</v>
      </c>
      <c r="C6" s="148" t="s">
        <v>65</v>
      </c>
      <c r="D6" s="149" t="s">
        <v>66</v>
      </c>
    </row>
    <row r="7" spans="2:4" ht="60" x14ac:dyDescent="0.25">
      <c r="B7" s="150" t="s">
        <v>15</v>
      </c>
      <c r="C7" s="148" t="s">
        <v>16</v>
      </c>
      <c r="D7" s="150" t="s">
        <v>8</v>
      </c>
    </row>
    <row r="8" spans="2:4" ht="193.5" customHeight="1" x14ac:dyDescent="0.25">
      <c r="B8" s="149" t="s">
        <v>17</v>
      </c>
      <c r="C8" s="118" t="s">
        <v>336</v>
      </c>
      <c r="D8" s="149" t="s">
        <v>18</v>
      </c>
    </row>
    <row r="9" spans="2:4" ht="30" x14ac:dyDescent="0.25">
      <c r="B9" s="332" t="s">
        <v>5</v>
      </c>
      <c r="C9" s="148" t="s">
        <v>6</v>
      </c>
      <c r="D9" s="150" t="s">
        <v>8</v>
      </c>
    </row>
    <row r="10" spans="2:4" ht="30" x14ac:dyDescent="0.25">
      <c r="B10" s="332"/>
      <c r="C10" s="148" t="s">
        <v>11</v>
      </c>
      <c r="D10" s="148" t="s">
        <v>12</v>
      </c>
    </row>
    <row r="11" spans="2:4" ht="165" x14ac:dyDescent="0.25">
      <c r="B11" s="332"/>
      <c r="C11" s="151" t="s">
        <v>337</v>
      </c>
      <c r="D11" s="149" t="s">
        <v>25</v>
      </c>
    </row>
    <row r="12" spans="2:4" ht="30" x14ac:dyDescent="0.25">
      <c r="B12" s="150" t="s">
        <v>19</v>
      </c>
      <c r="C12" s="148" t="s">
        <v>20</v>
      </c>
      <c r="D12" s="150" t="s">
        <v>8</v>
      </c>
    </row>
    <row r="13" spans="2:4" ht="60" x14ac:dyDescent="0.25">
      <c r="B13" s="149" t="s">
        <v>21</v>
      </c>
      <c r="C13" s="148" t="s">
        <v>22</v>
      </c>
      <c r="D13" s="150" t="s">
        <v>8</v>
      </c>
    </row>
    <row r="14" spans="2:4" ht="180" x14ac:dyDescent="0.25">
      <c r="B14" s="152" t="s">
        <v>23</v>
      </c>
      <c r="C14" s="151" t="s">
        <v>24</v>
      </c>
      <c r="D14" s="149" t="s">
        <v>26</v>
      </c>
    </row>
    <row r="15" spans="2:4" ht="45" x14ac:dyDescent="0.25">
      <c r="B15" s="153" t="s">
        <v>71</v>
      </c>
      <c r="C15" s="148" t="s">
        <v>72</v>
      </c>
      <c r="D15" s="150" t="s">
        <v>8</v>
      </c>
    </row>
    <row r="16" spans="2:4" ht="60" x14ac:dyDescent="0.25">
      <c r="B16" s="154" t="s">
        <v>73</v>
      </c>
      <c r="C16" s="148" t="s">
        <v>317</v>
      </c>
      <c r="D16" s="150" t="s">
        <v>8</v>
      </c>
    </row>
    <row r="17" spans="2:4" ht="125.25" customHeight="1" x14ac:dyDescent="0.25">
      <c r="B17" s="154" t="s">
        <v>85</v>
      </c>
      <c r="C17" s="151" t="s">
        <v>312</v>
      </c>
      <c r="D17" s="150" t="s">
        <v>102</v>
      </c>
    </row>
  </sheetData>
  <sheetProtection algorithmName="SHA-512" hashValue="A990ySofmmzvXiV2C0hg0cFCqpZK2nBfSHiKcgwnGZ3ZB+dNXb6YKb/cp+IrnMG5ymjlxk65YZAYy6FUl8JBhQ==" saltValue="uywUEanTlwmOTFsNTOZC5A==" spinCount="100000" sheet="1" objects="1" scenarios="1" formatCells="0" formatColumns="0" formatRows="0" insertColumns="0" insertRows="0" insertHyperlinks="0" deleteColumns="0" deleteRows="0" selectLockedCells="1" sort="0" autoFilter="0"/>
  <mergeCells count="1">
    <mergeCell ref="B9:B11"/>
  </mergeCells>
  <phoneticPr fontId="4" type="noConversion"/>
  <hyperlinks>
    <hyperlink ref="B16" location="UTILIDAD!B13" display="Utilidad o pérdida neta" xr:uid="{B40B4DF2-8282-4077-B503-21CD47BB9A68}"/>
    <hyperlink ref="B6" location="DIVIDENDOS!B6" display="Capital social" xr:uid="{6179A8D1-84B4-4AE3-ABFF-4914506E3E5A}"/>
    <hyperlink ref="B17" location="CUFIN!B7" display="Resultado fiscal del ejercicio" xr:uid="{8A372B02-7D8E-465E-9C97-31D1CF3E2FAC}"/>
    <hyperlink ref="B15" location="DIVIDENDOS!B9" display="Dividendo" xr:uid="{ED33421F-6911-4FD7-BEB9-79B0D377C243}"/>
    <hyperlink ref="B14" location="REDUCCIONC!B3" display="Reembolso de capital y amortización de acciones" xr:uid="{82F64136-257F-40F3-810D-B036194E68D9}"/>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ECF5B262-179F-4DFD-ADE0-0D929D356BA2}">
            <xm:f>IF(PORTADA!$C$14=5412365,1,0)</xm:f>
            <x14:dxf>
              <font>
                <color theme="1"/>
              </font>
              <border>
                <left style="thin">
                  <color auto="1"/>
                </left>
                <right style="thin">
                  <color auto="1"/>
                </right>
                <top style="thin">
                  <color auto="1"/>
                </top>
                <bottom style="thin">
                  <color auto="1"/>
                </bottom>
                <vertical/>
                <horizontal/>
              </border>
            </x14:dxf>
          </x14:cfRule>
          <xm:sqref>B5:D17</xm:sqref>
        </x14:conditionalFormatting>
        <x14:conditionalFormatting xmlns:xm="http://schemas.microsoft.com/office/excel/2006/main">
          <x14:cfRule type="expression" priority="1" id="{1875BE79-FB60-4EFD-A6EF-08B807180449}">
            <xm:f>IF(PORTADA!$C$14=5412365,1,0)</xm:f>
            <x14:dxf>
              <font>
                <b/>
                <i/>
                <color theme="1"/>
              </font>
              <fill>
                <gradientFill degree="270">
                  <stop position="0">
                    <color rgb="FFC00000"/>
                  </stop>
                  <stop position="1">
                    <color rgb="FFFFFF00"/>
                  </stop>
                </gradientFill>
              </fill>
            </x14:dxf>
          </x14:cfRule>
          <xm:sqref>D2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0ACF-6835-4D68-A06D-AC862E5F5FA7}">
  <sheetPr codeName="Hoja13"/>
  <dimension ref="B2:I32"/>
  <sheetViews>
    <sheetView showGridLines="0" zoomScale="110" zoomScaleNormal="110" workbookViewId="0">
      <selection activeCell="F2" sqref="F2"/>
    </sheetView>
  </sheetViews>
  <sheetFormatPr baseColWidth="10" defaultRowHeight="15" x14ac:dyDescent="0.25"/>
  <cols>
    <col min="1" max="1" width="7.140625" style="26" customWidth="1"/>
    <col min="2" max="2" width="57.28515625" style="26" bestFit="1" customWidth="1"/>
    <col min="3" max="3" width="15.5703125" style="26" customWidth="1"/>
    <col min="4" max="4" width="20.42578125" style="26" customWidth="1"/>
    <col min="5" max="5" width="3.5703125" style="26" customWidth="1"/>
    <col min="6" max="6" width="17.85546875" style="26" customWidth="1"/>
    <col min="7" max="16384" width="11.42578125" style="26"/>
  </cols>
  <sheetData>
    <row r="2" spans="2:6" ht="19.5" x14ac:dyDescent="0.25">
      <c r="F2" s="59" t="str">
        <f>IF(PORTADA!$C$14=5412365,HYPERLINK("#MENU!C15","Menú"),"")</f>
        <v>Menú</v>
      </c>
    </row>
    <row r="4" spans="2:6" x14ac:dyDescent="0.25">
      <c r="B4" s="80" t="s">
        <v>353</v>
      </c>
    </row>
    <row r="5" spans="2:6" ht="30" x14ac:dyDescent="0.25">
      <c r="D5" s="168" t="s">
        <v>374</v>
      </c>
      <c r="F5" s="169" t="s">
        <v>375</v>
      </c>
    </row>
    <row r="6" spans="2:6" ht="15.75" x14ac:dyDescent="0.25">
      <c r="B6" s="170" t="s">
        <v>354</v>
      </c>
      <c r="C6" s="159"/>
      <c r="D6" s="48">
        <f>SUM(C7:C12)</f>
        <v>2933603</v>
      </c>
      <c r="F6" s="48">
        <f>D6</f>
        <v>2933603</v>
      </c>
    </row>
    <row r="7" spans="2:6" ht="15.75" x14ac:dyDescent="0.25">
      <c r="B7" s="171" t="s">
        <v>355</v>
      </c>
      <c r="C7" s="101">
        <f>928571+1427382</f>
        <v>2355953</v>
      </c>
      <c r="D7" s="159"/>
      <c r="F7" s="28"/>
    </row>
    <row r="8" spans="2:6" ht="15.75" x14ac:dyDescent="0.25">
      <c r="B8" s="171" t="s">
        <v>356</v>
      </c>
      <c r="C8" s="101">
        <f>388500+189150</f>
        <v>577650</v>
      </c>
      <c r="D8" s="159"/>
      <c r="F8" s="28"/>
    </row>
    <row r="9" spans="2:6" ht="15.75" x14ac:dyDescent="0.25">
      <c r="B9" s="171" t="s">
        <v>357</v>
      </c>
      <c r="C9" s="101"/>
      <c r="D9" s="159"/>
      <c r="F9" s="28"/>
    </row>
    <row r="10" spans="2:6" ht="15.75" x14ac:dyDescent="0.25">
      <c r="B10" s="171" t="s">
        <v>358</v>
      </c>
      <c r="C10" s="101"/>
      <c r="D10" s="159"/>
      <c r="F10" s="28"/>
    </row>
    <row r="11" spans="2:6" ht="15.75" x14ac:dyDescent="0.25">
      <c r="B11" s="171" t="s">
        <v>359</v>
      </c>
      <c r="C11" s="101"/>
      <c r="D11" s="159"/>
      <c r="F11" s="28"/>
    </row>
    <row r="12" spans="2:6" ht="15.75" x14ac:dyDescent="0.25">
      <c r="B12" s="171" t="s">
        <v>360</v>
      </c>
      <c r="C12" s="101"/>
      <c r="D12" s="159"/>
      <c r="F12" s="28"/>
    </row>
    <row r="13" spans="2:6" ht="15.75" x14ac:dyDescent="0.25">
      <c r="B13" s="170" t="s">
        <v>361</v>
      </c>
      <c r="C13" s="159"/>
      <c r="D13" s="101">
        <f>152671-6556</f>
        <v>146115</v>
      </c>
      <c r="F13" s="48">
        <f>D13</f>
        <v>146115</v>
      </c>
    </row>
    <row r="14" spans="2:6" ht="15.75" x14ac:dyDescent="0.25">
      <c r="B14" s="170" t="s">
        <v>362</v>
      </c>
      <c r="C14" s="159"/>
      <c r="D14" s="101"/>
      <c r="F14" s="48">
        <f t="shared" ref="F14:F17" si="0">D14</f>
        <v>0</v>
      </c>
    </row>
    <row r="15" spans="2:6" ht="15.75" x14ac:dyDescent="0.25">
      <c r="B15" s="170" t="s">
        <v>363</v>
      </c>
      <c r="C15" s="159"/>
      <c r="D15" s="101"/>
      <c r="F15" s="48">
        <f t="shared" si="0"/>
        <v>0</v>
      </c>
    </row>
    <row r="16" spans="2:6" ht="15.75" x14ac:dyDescent="0.25">
      <c r="B16" s="170" t="s">
        <v>364</v>
      </c>
      <c r="C16" s="159"/>
      <c r="D16" s="101"/>
      <c r="F16" s="48">
        <f t="shared" si="0"/>
        <v>0</v>
      </c>
    </row>
    <row r="17" spans="2:9" ht="15.75" x14ac:dyDescent="0.25">
      <c r="B17" s="170" t="s">
        <v>365</v>
      </c>
      <c r="C17" s="159"/>
      <c r="D17" s="101">
        <v>81058</v>
      </c>
      <c r="F17" s="48">
        <f t="shared" si="0"/>
        <v>81058</v>
      </c>
    </row>
    <row r="18" spans="2:9" ht="15.75" x14ac:dyDescent="0.25">
      <c r="B18" s="170" t="s">
        <v>371</v>
      </c>
      <c r="C18" s="159"/>
      <c r="D18" s="48">
        <f>C21</f>
        <v>0</v>
      </c>
      <c r="F18" s="48">
        <f>C19</f>
        <v>0</v>
      </c>
    </row>
    <row r="19" spans="2:9" ht="15.75" x14ac:dyDescent="0.25">
      <c r="B19" s="172" t="s">
        <v>366</v>
      </c>
      <c r="C19" s="101"/>
      <c r="D19" s="159"/>
      <c r="F19" s="28"/>
    </row>
    <row r="20" spans="2:9" ht="15.75" x14ac:dyDescent="0.25">
      <c r="B20" s="172" t="s">
        <v>367</v>
      </c>
      <c r="C20" s="173">
        <v>1.4286000000000001</v>
      </c>
      <c r="D20" s="159"/>
      <c r="F20" s="28"/>
    </row>
    <row r="21" spans="2:9" ht="15.75" x14ac:dyDescent="0.25">
      <c r="B21" s="172" t="s">
        <v>368</v>
      </c>
      <c r="C21" s="159">
        <f>IFERROR(ROUND(C19*C20,0),0)</f>
        <v>0</v>
      </c>
      <c r="D21" s="159"/>
      <c r="F21" s="28"/>
    </row>
    <row r="22" spans="2:9" ht="15.75" x14ac:dyDescent="0.25">
      <c r="B22" s="170" t="s">
        <v>369</v>
      </c>
      <c r="C22" s="116"/>
      <c r="D22" s="101"/>
      <c r="F22" s="48">
        <f>D22</f>
        <v>0</v>
      </c>
    </row>
    <row r="23" spans="2:9" ht="18.75" x14ac:dyDescent="0.3">
      <c r="B23" s="174" t="s">
        <v>370</v>
      </c>
      <c r="C23" s="116"/>
      <c r="D23" s="175">
        <f>SUM(D6,D13:D18,D22)</f>
        <v>3160776</v>
      </c>
      <c r="F23" s="175">
        <f>SUM(F6,F13:F18,F22)</f>
        <v>3160776</v>
      </c>
    </row>
    <row r="24" spans="2:9" ht="15.75" x14ac:dyDescent="0.25">
      <c r="F24" s="28"/>
    </row>
    <row r="25" spans="2:9" ht="18.75" x14ac:dyDescent="0.3">
      <c r="B25" s="128" t="s">
        <v>372</v>
      </c>
      <c r="C25" s="128"/>
      <c r="D25" s="134">
        <f>IFERROR(ROUND(((D23-VLOOKUP(D23,TARIFAA,1))*VLOOKUP(D23,TARIFAA,4)%)+VLOOKUP(D23,TARIFAA,3),0),0)</f>
        <v>955631</v>
      </c>
      <c r="F25" s="134">
        <f>IFERROR(ROUND(((F23-VLOOKUP(F23,TARIFAA,1))*VLOOKUP(F23,TARIFAA,4)%)+VLOOKUP(F23,TARIFAA,3),0),0)</f>
        <v>955631</v>
      </c>
    </row>
    <row r="26" spans="2:9" ht="18.75" x14ac:dyDescent="0.3">
      <c r="B26" s="129" t="s">
        <v>381</v>
      </c>
      <c r="C26" s="128"/>
      <c r="D26" s="134">
        <v>744302</v>
      </c>
      <c r="F26" s="134">
        <v>744302</v>
      </c>
    </row>
    <row r="27" spans="2:9" ht="18.75" x14ac:dyDescent="0.3">
      <c r="B27" s="129" t="s">
        <v>326</v>
      </c>
      <c r="C27" s="128"/>
      <c r="D27" s="134">
        <v>870</v>
      </c>
      <c r="F27" s="134">
        <v>870</v>
      </c>
    </row>
    <row r="28" spans="2:9" ht="18.75" x14ac:dyDescent="0.3">
      <c r="B28" s="129" t="s">
        <v>373</v>
      </c>
      <c r="C28" s="129"/>
      <c r="D28" s="176" t="str">
        <f>IFERROR(IF(D18&gt;0,ROUND(D18*0.3,0),""),"")</f>
        <v/>
      </c>
      <c r="F28" s="177"/>
    </row>
    <row r="29" spans="2:9" ht="18.75" x14ac:dyDescent="0.3">
      <c r="B29" s="128" t="str">
        <f>IF(D25&gt;=D28,"(=) ISR por pagar","(=) ISR a favor")</f>
        <v>(=) ISR a favor</v>
      </c>
      <c r="C29" s="128"/>
      <c r="D29" s="134" t="str">
        <f>IFERROR(IF(D25&gt;=(D26+D27+D28),"",D26+D27+D28-D25),"")</f>
        <v/>
      </c>
      <c r="F29" s="134" t="str">
        <f>IFERROR(IF(F25&gt;=(F26+F27+F28),"",F26+F27+F28-F25),0)</f>
        <v/>
      </c>
      <c r="I29" s="116"/>
    </row>
    <row r="30" spans="2:9" ht="18.75" x14ac:dyDescent="0.3">
      <c r="B30" s="178" t="str">
        <f>IF(F25&gt;=F28,"(=) ISR por pagar","(=) ISR a favor")</f>
        <v>(=) ISR por pagar</v>
      </c>
      <c r="C30" s="178"/>
      <c r="D30" s="180">
        <f>IFERROR(IF(D25&gt;=SUM(D26:D28),D25-SUM(D26:D28),""),"")</f>
        <v>210459</v>
      </c>
      <c r="E30" s="179"/>
      <c r="F30" s="180">
        <f>IFERROR(IF(F25&gt;=SUM(F26:F28),F25-SUM(F26:F28),""),"")</f>
        <v>210459</v>
      </c>
    </row>
    <row r="31" spans="2:9" ht="18.75" x14ac:dyDescent="0.3">
      <c r="B31" s="129"/>
      <c r="C31" s="129"/>
      <c r="D31" s="129"/>
    </row>
    <row r="32" spans="2:9" ht="18.75" x14ac:dyDescent="0.3">
      <c r="B32" s="129"/>
      <c r="C32" s="129"/>
      <c r="D32" s="176"/>
      <c r="F32" s="116"/>
    </row>
  </sheetData>
  <sheetProtection formatCells="0" formatColumns="0" formatRows="0" insertColumns="0" insertRows="0" insertHyperlinks="0" deleteColumns="0" deleteRows="0" selectLockedCells="1" sort="0" autoFilter="0"/>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1" id="{554E5F72-7DC0-4C79-8123-7EA72F32581F}">
            <xm:f>IF(PORTADA!$C$14=5412365,1,0)</xm:f>
            <x14:dxf>
              <font>
                <b/>
                <i/>
                <color theme="1"/>
              </font>
              <fill>
                <gradientFill degree="270">
                  <stop position="0">
                    <color rgb="FFC00000"/>
                  </stop>
                  <stop position="1">
                    <color rgb="FFFFFF00"/>
                  </stop>
                </gradientFill>
              </fill>
            </x14:dxf>
          </x14:cfRule>
          <xm:sqref>F2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FD06C-F74F-4920-98D4-DC6A0B02569E}">
  <sheetPr codeName="Hoja14"/>
  <dimension ref="B2:I28"/>
  <sheetViews>
    <sheetView workbookViewId="0">
      <selection activeCell="E10" sqref="E10"/>
    </sheetView>
  </sheetViews>
  <sheetFormatPr baseColWidth="10" defaultColWidth="9.140625" defaultRowHeight="15" x14ac:dyDescent="0.25"/>
  <cols>
    <col min="1" max="1" width="6.5703125" customWidth="1"/>
    <col min="2" max="2" width="41.28515625" bestFit="1" customWidth="1"/>
    <col min="3" max="3" width="42.7109375" customWidth="1"/>
    <col min="4" max="4" width="45.7109375" customWidth="1"/>
    <col min="5" max="6" width="14" customWidth="1"/>
    <col min="7" max="7" width="55.42578125" customWidth="1"/>
  </cols>
  <sheetData>
    <row r="2" spans="2:9" ht="18.75" x14ac:dyDescent="0.25">
      <c r="E2" s="223" t="s">
        <v>417</v>
      </c>
    </row>
    <row r="3" spans="2:9" ht="18.75" x14ac:dyDescent="0.3">
      <c r="B3" s="333" t="s">
        <v>407</v>
      </c>
      <c r="C3" s="334"/>
      <c r="D3" s="334"/>
      <c r="E3" s="334"/>
      <c r="F3" s="334"/>
      <c r="G3" s="334"/>
      <c r="H3" s="334"/>
      <c r="I3" s="334"/>
    </row>
    <row r="5" spans="2:9" ht="42" customHeight="1" x14ac:dyDescent="0.25">
      <c r="B5" s="194" t="s">
        <v>384</v>
      </c>
      <c r="C5" s="195">
        <f>DIVIDENDOS!C13</f>
        <v>502550</v>
      </c>
      <c r="D5" s="13" t="s">
        <v>398</v>
      </c>
      <c r="E5" s="196" t="s">
        <v>401</v>
      </c>
      <c r="F5" s="335" t="s">
        <v>400</v>
      </c>
      <c r="G5" s="336"/>
    </row>
    <row r="6" spans="2:9" ht="15" customHeight="1" x14ac:dyDescent="0.25">
      <c r="B6" s="192" t="s">
        <v>402</v>
      </c>
      <c r="C6" s="196" t="s">
        <v>399</v>
      </c>
    </row>
    <row r="8" spans="2:9" x14ac:dyDescent="0.25">
      <c r="B8" s="192" t="s">
        <v>385</v>
      </c>
    </row>
    <row r="9" spans="2:9" x14ac:dyDescent="0.25">
      <c r="B9" t="s">
        <v>386</v>
      </c>
      <c r="C9" s="193">
        <f>IFERROR(IF(E5="No",ROUND(C5*1.452,2),0),0)</f>
        <v>729702.6</v>
      </c>
    </row>
    <row r="10" spans="2:9" x14ac:dyDescent="0.25">
      <c r="B10" t="s">
        <v>387</v>
      </c>
      <c r="C10" s="193">
        <f>IFERROR(ROUND(C9*0.3,2),0)</f>
        <v>218910.78</v>
      </c>
    </row>
    <row r="11" spans="2:9" x14ac:dyDescent="0.25">
      <c r="B11" t="s">
        <v>388</v>
      </c>
      <c r="C11" s="193">
        <f>IFERROR(IF(C6="Sí",ROUND(C5*0.1,2),0),0)</f>
        <v>50255</v>
      </c>
    </row>
    <row r="12" spans="2:9" x14ac:dyDescent="0.25">
      <c r="B12" t="s">
        <v>389</v>
      </c>
      <c r="C12" s="193">
        <f>C5-C11</f>
        <v>452295</v>
      </c>
    </row>
    <row r="13" spans="2:9" x14ac:dyDescent="0.25">
      <c r="B13" t="s">
        <v>390</v>
      </c>
      <c r="C13" s="193">
        <f>C10+C11</f>
        <v>269165.78000000003</v>
      </c>
    </row>
    <row r="15" spans="2:9" x14ac:dyDescent="0.25">
      <c r="B15" s="192" t="s">
        <v>391</v>
      </c>
    </row>
    <row r="16" spans="2:9" x14ac:dyDescent="0.25">
      <c r="B16" s="197" t="s">
        <v>242</v>
      </c>
      <c r="C16" s="197" t="s">
        <v>9</v>
      </c>
      <c r="D16" s="197" t="s">
        <v>392</v>
      </c>
      <c r="E16" s="197" t="s">
        <v>393</v>
      </c>
      <c r="F16" s="197" t="s">
        <v>394</v>
      </c>
    </row>
    <row r="17" spans="2:6" x14ac:dyDescent="0.25">
      <c r="B17" s="337">
        <v>1</v>
      </c>
      <c r="C17" s="337" t="s">
        <v>395</v>
      </c>
      <c r="D17" s="198" t="s">
        <v>404</v>
      </c>
      <c r="E17" s="199">
        <f>C5</f>
        <v>502550</v>
      </c>
      <c r="F17" s="199"/>
    </row>
    <row r="18" spans="2:6" x14ac:dyDescent="0.25">
      <c r="B18" s="337"/>
      <c r="C18" s="337"/>
      <c r="D18" s="198" t="s">
        <v>403</v>
      </c>
      <c r="E18" s="199"/>
      <c r="F18" s="199">
        <f>E17</f>
        <v>502550</v>
      </c>
    </row>
    <row r="19" spans="2:6" x14ac:dyDescent="0.25">
      <c r="B19" s="338">
        <v>2</v>
      </c>
      <c r="C19" s="339" t="s">
        <v>405</v>
      </c>
      <c r="D19" s="200" t="s">
        <v>408</v>
      </c>
      <c r="E19" s="201">
        <f>C10</f>
        <v>218910.78</v>
      </c>
      <c r="F19" s="201"/>
    </row>
    <row r="20" spans="2:6" x14ac:dyDescent="0.25">
      <c r="B20" s="338"/>
      <c r="C20" s="339"/>
      <c r="D20" s="200" t="s">
        <v>406</v>
      </c>
      <c r="E20" s="201"/>
      <c r="F20" s="201">
        <f>E19</f>
        <v>218910.78</v>
      </c>
    </row>
    <row r="21" spans="2:6" x14ac:dyDescent="0.25">
      <c r="B21" s="342">
        <v>3</v>
      </c>
      <c r="C21" s="342" t="s">
        <v>409</v>
      </c>
      <c r="D21" s="202" t="s">
        <v>403</v>
      </c>
      <c r="E21" s="203">
        <f>C11</f>
        <v>50255</v>
      </c>
      <c r="F21" s="203"/>
    </row>
    <row r="22" spans="2:6" x14ac:dyDescent="0.25">
      <c r="B22" s="342"/>
      <c r="C22" s="342"/>
      <c r="D22" s="202" t="s">
        <v>410</v>
      </c>
      <c r="E22" s="203"/>
      <c r="F22" s="203">
        <f>E21</f>
        <v>50255</v>
      </c>
    </row>
    <row r="23" spans="2:6" x14ac:dyDescent="0.25">
      <c r="B23" s="343">
        <v>4</v>
      </c>
      <c r="C23" s="343" t="s">
        <v>396</v>
      </c>
      <c r="D23" s="204" t="s">
        <v>411</v>
      </c>
      <c r="E23" s="205">
        <f>C5-C11</f>
        <v>452295</v>
      </c>
      <c r="F23" s="205"/>
    </row>
    <row r="24" spans="2:6" x14ac:dyDescent="0.25">
      <c r="B24" s="343"/>
      <c r="C24" s="343"/>
      <c r="D24" s="204" t="s">
        <v>412</v>
      </c>
      <c r="E24" s="205"/>
      <c r="F24" s="205">
        <f>E23</f>
        <v>452295</v>
      </c>
    </row>
    <row r="25" spans="2:6" x14ac:dyDescent="0.25">
      <c r="B25" s="344">
        <v>5</v>
      </c>
      <c r="C25" s="345" t="s">
        <v>413</v>
      </c>
      <c r="D25" s="206" t="str">
        <f>D20</f>
        <v>ISR por pagar por dividendos</v>
      </c>
      <c r="E25" s="207">
        <f>F20</f>
        <v>218910.78</v>
      </c>
      <c r="F25" s="207"/>
    </row>
    <row r="26" spans="2:6" x14ac:dyDescent="0.25">
      <c r="B26" s="344"/>
      <c r="C26" s="345"/>
      <c r="D26" s="206" t="s">
        <v>412</v>
      </c>
      <c r="E26" s="207"/>
      <c r="F26" s="207">
        <f>E25</f>
        <v>218910.78</v>
      </c>
    </row>
    <row r="27" spans="2:6" x14ac:dyDescent="0.25">
      <c r="B27" s="340">
        <v>6</v>
      </c>
      <c r="C27" s="341" t="s">
        <v>397</v>
      </c>
      <c r="D27" s="208" t="str">
        <f>D22</f>
        <v>ISR 10% por dividendos</v>
      </c>
      <c r="E27" s="209">
        <f>C11</f>
        <v>50255</v>
      </c>
      <c r="F27" s="209"/>
    </row>
    <row r="28" spans="2:6" x14ac:dyDescent="0.25">
      <c r="B28" s="340"/>
      <c r="C28" s="341"/>
      <c r="D28" s="208" t="s">
        <v>412</v>
      </c>
      <c r="E28" s="208"/>
      <c r="F28" s="209">
        <f>E27</f>
        <v>50255</v>
      </c>
    </row>
  </sheetData>
  <mergeCells count="14">
    <mergeCell ref="B27:B28"/>
    <mergeCell ref="C27:C28"/>
    <mergeCell ref="B21:B22"/>
    <mergeCell ref="C21:C22"/>
    <mergeCell ref="B23:B24"/>
    <mergeCell ref="C23:C24"/>
    <mergeCell ref="B25:B26"/>
    <mergeCell ref="C25:C26"/>
    <mergeCell ref="B3:I3"/>
    <mergeCell ref="F5:G5"/>
    <mergeCell ref="B17:B18"/>
    <mergeCell ref="C17:C18"/>
    <mergeCell ref="B19:B20"/>
    <mergeCell ref="C19:C20"/>
  </mergeCells>
  <conditionalFormatting sqref="F5:G5">
    <cfRule type="expression" dxfId="2" priority="3">
      <formula>IF($E$5="No",1,0)</formula>
    </cfRule>
  </conditionalFormatting>
  <dataValidations count="1">
    <dataValidation type="list" allowBlank="1" showInputMessage="1" showErrorMessage="1" sqref="E5 C6" xr:uid="{15799DAB-0ED9-4C2D-A5E7-767379AB9E82}">
      <formula1>"Sí,No"</formula1>
    </dataValidation>
  </dataValidations>
  <hyperlinks>
    <hyperlink ref="E2" location="MENU!C16" display="MENU" xr:uid="{5DCBF17F-9FF4-4EC4-884E-2C56B1011F31}"/>
  </hyperlinks>
  <pageMargins left="0.75" right="0.75" top="1" bottom="1" header="0.5" footer="0.5"/>
  <legacyDrawing r:id="rId1"/>
  <extLst>
    <ext xmlns:x14="http://schemas.microsoft.com/office/spreadsheetml/2009/9/main" uri="{78C0D931-6437-407d-A8EE-F0AAD7539E65}">
      <x14:conditionalFormattings>
        <x14:conditionalFormatting xmlns:xm="http://schemas.microsoft.com/office/excel/2006/main">
          <x14:cfRule type="expression" priority="1" id="{89DC39AE-97C9-49F7-82AF-F2D811D8ADE1}">
            <xm:f>IF(PORTADA!$C$14=5412365,1,0)</xm:f>
            <x14:dxf>
              <font>
                <b/>
                <i/>
                <color theme="1"/>
              </font>
              <fill>
                <gradientFill degree="270">
                  <stop position="0">
                    <color rgb="FFC00000"/>
                  </stop>
                  <stop position="1">
                    <color rgb="FFFFFF00"/>
                  </stop>
                </gradientFill>
              </fill>
            </x14:dxf>
          </x14:cfRule>
          <xm:sqref>E2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9FAC-BD22-4DD9-A7C6-AEED2B7E720D}">
  <sheetPr codeName="Hoja12"/>
  <dimension ref="B2:N61"/>
  <sheetViews>
    <sheetView showGridLines="0" workbookViewId="0">
      <selection activeCell="G11" sqref="G11"/>
    </sheetView>
  </sheetViews>
  <sheetFormatPr baseColWidth="10" defaultRowHeight="15" x14ac:dyDescent="0.25"/>
  <cols>
    <col min="1" max="16384" width="11.42578125" style="26"/>
  </cols>
  <sheetData>
    <row r="2" spans="2:14" ht="19.5" x14ac:dyDescent="0.25">
      <c r="N2" s="59" t="str">
        <f>IF(PORTADA!$C$14=5412365,HYPERLINK("#MENU!C15","Menú"),"")</f>
        <v>Menú</v>
      </c>
    </row>
    <row r="3" spans="2:14" ht="15.75" thickBot="1" x14ac:dyDescent="0.3"/>
    <row r="4" spans="2:14" ht="15.75" thickBot="1" x14ac:dyDescent="0.3">
      <c r="C4" s="190" t="s">
        <v>28</v>
      </c>
      <c r="D4" s="191" t="s">
        <v>29</v>
      </c>
      <c r="E4" s="191" t="s">
        <v>30</v>
      </c>
      <c r="F4" s="191" t="s">
        <v>31</v>
      </c>
      <c r="G4" s="191" t="s">
        <v>32</v>
      </c>
      <c r="H4" s="191" t="s">
        <v>33</v>
      </c>
      <c r="I4" s="191" t="s">
        <v>34</v>
      </c>
      <c r="J4" s="191" t="s">
        <v>35</v>
      </c>
      <c r="K4" s="191" t="s">
        <v>36</v>
      </c>
      <c r="L4" s="191" t="s">
        <v>37</v>
      </c>
      <c r="M4" s="191" t="s">
        <v>38</v>
      </c>
      <c r="N4" s="191" t="s">
        <v>39</v>
      </c>
    </row>
    <row r="5" spans="2:14" ht="15.75" thickBot="1" x14ac:dyDescent="0.3">
      <c r="B5" s="155">
        <v>2025</v>
      </c>
      <c r="C5" s="156">
        <v>138.34299999999999</v>
      </c>
      <c r="D5" s="156">
        <v>138.726</v>
      </c>
      <c r="E5" s="156">
        <v>139.161</v>
      </c>
      <c r="F5" s="156">
        <v>139.62</v>
      </c>
      <c r="G5" s="156">
        <v>140.012</v>
      </c>
      <c r="H5" s="157">
        <v>140.405</v>
      </c>
      <c r="I5" s="157">
        <v>140.78</v>
      </c>
      <c r="J5" s="157">
        <v>140.86699999999999</v>
      </c>
      <c r="K5" s="157"/>
      <c r="L5" s="157"/>
      <c r="M5" s="157"/>
      <c r="N5" s="157"/>
    </row>
    <row r="6" spans="2:14" ht="15.75" thickBot="1" x14ac:dyDescent="0.3">
      <c r="B6" s="155">
        <v>2024</v>
      </c>
      <c r="C6" s="156">
        <v>133.55500000000001</v>
      </c>
      <c r="D6" s="156">
        <v>133.68100000000001</v>
      </c>
      <c r="E6" s="156">
        <v>134.065</v>
      </c>
      <c r="F6" s="156">
        <v>134.33600000000001</v>
      </c>
      <c r="G6" s="156">
        <v>134.08699999999999</v>
      </c>
      <c r="H6" s="157">
        <v>134.59399999999999</v>
      </c>
      <c r="I6" s="157">
        <v>136.00299999999999</v>
      </c>
      <c r="J6" s="157">
        <v>136.01300000000001</v>
      </c>
      <c r="K6" s="157">
        <v>136.08000000000001</v>
      </c>
      <c r="L6" s="157">
        <v>136.828</v>
      </c>
      <c r="M6" s="157">
        <v>137.42400000000001</v>
      </c>
      <c r="N6" s="157">
        <v>137.94900000000001</v>
      </c>
    </row>
    <row r="7" spans="2:14" ht="15.75" thickBot="1" x14ac:dyDescent="0.3">
      <c r="B7" s="155">
        <v>2023</v>
      </c>
      <c r="C7" s="158">
        <v>127.336</v>
      </c>
      <c r="D7" s="158">
        <v>128.04599999999999</v>
      </c>
      <c r="E7" s="158">
        <v>128.38900000000001</v>
      </c>
      <c r="F7" s="158">
        <v>128.363</v>
      </c>
      <c r="G7" s="158">
        <v>128.084</v>
      </c>
      <c r="H7" s="158">
        <v>128.214</v>
      </c>
      <c r="I7" s="158">
        <v>128.83199999999999</v>
      </c>
      <c r="J7" s="158">
        <v>129.54499999999999</v>
      </c>
      <c r="K7" s="158">
        <v>130.12</v>
      </c>
      <c r="L7" s="158">
        <v>130.60900000000001</v>
      </c>
      <c r="M7" s="158">
        <v>131.44499999999999</v>
      </c>
      <c r="N7" s="158">
        <v>132.37299999999999</v>
      </c>
    </row>
    <row r="8" spans="2:14" ht="15.75" thickBot="1" x14ac:dyDescent="0.3">
      <c r="B8" s="155">
        <v>2022</v>
      </c>
      <c r="C8" s="156">
        <v>118.002</v>
      </c>
      <c r="D8" s="156">
        <v>118.98099999999999</v>
      </c>
      <c r="E8" s="156">
        <v>120.15900000000001</v>
      </c>
      <c r="F8" s="156">
        <v>120.809</v>
      </c>
      <c r="G8" s="156">
        <v>121.02200000000001</v>
      </c>
      <c r="H8" s="156">
        <v>122.044</v>
      </c>
      <c r="I8" s="156">
        <v>122.94799999999999</v>
      </c>
      <c r="J8" s="156">
        <v>123.803</v>
      </c>
      <c r="K8" s="156">
        <v>124.571</v>
      </c>
      <c r="L8" s="156">
        <v>125.276</v>
      </c>
      <c r="M8" s="156">
        <v>125.997</v>
      </c>
      <c r="N8" s="156">
        <v>126.47799999999999</v>
      </c>
    </row>
    <row r="9" spans="2:14" ht="15.75" thickBot="1" x14ac:dyDescent="0.3">
      <c r="B9" s="155">
        <v>2021</v>
      </c>
      <c r="C9" s="158">
        <v>110.21</v>
      </c>
      <c r="D9" s="158">
        <v>110.907</v>
      </c>
      <c r="E9" s="158">
        <v>111.824</v>
      </c>
      <c r="F9" s="158">
        <v>112.19</v>
      </c>
      <c r="G9" s="158">
        <v>112.419</v>
      </c>
      <c r="H9" s="158">
        <v>113.018</v>
      </c>
      <c r="I9" s="158">
        <v>113.682</v>
      </c>
      <c r="J9" s="158">
        <v>113.899</v>
      </c>
      <c r="K9" s="158">
        <v>114.601</v>
      </c>
      <c r="L9" s="158">
        <v>115.56100000000001</v>
      </c>
      <c r="M9" s="158">
        <v>116.884</v>
      </c>
      <c r="N9" s="158">
        <v>117.30800000000001</v>
      </c>
    </row>
    <row r="10" spans="2:14" ht="15.75" thickBot="1" x14ac:dyDescent="0.3">
      <c r="B10" s="155">
        <v>2020</v>
      </c>
      <c r="C10" s="156">
        <v>106.447</v>
      </c>
      <c r="D10" s="156">
        <v>106.889</v>
      </c>
      <c r="E10" s="156">
        <v>106.83799999999999</v>
      </c>
      <c r="F10" s="156">
        <v>105.755</v>
      </c>
      <c r="G10" s="156">
        <v>106.16200000000001</v>
      </c>
      <c r="H10" s="156">
        <v>106.74299999999999</v>
      </c>
      <c r="I10" s="156">
        <v>107.444</v>
      </c>
      <c r="J10" s="156">
        <v>107.867</v>
      </c>
      <c r="K10" s="156">
        <v>108.114</v>
      </c>
      <c r="L10" s="156">
        <v>108.774</v>
      </c>
      <c r="M10" s="156">
        <v>108.85599999999999</v>
      </c>
      <c r="N10" s="156">
        <v>109.271</v>
      </c>
    </row>
    <row r="11" spans="2:14" ht="15.75" thickBot="1" x14ac:dyDescent="0.3">
      <c r="B11" s="155">
        <v>2019</v>
      </c>
      <c r="C11" s="158">
        <v>103.108</v>
      </c>
      <c r="D11" s="158">
        <v>103.07899999999999</v>
      </c>
      <c r="E11" s="158">
        <v>103.476</v>
      </c>
      <c r="F11" s="158">
        <v>103.53100000000001</v>
      </c>
      <c r="G11" s="158">
        <v>103.233</v>
      </c>
      <c r="H11" s="158">
        <v>103.29900000000001</v>
      </c>
      <c r="I11" s="158">
        <v>103.687</v>
      </c>
      <c r="J11" s="158">
        <v>103.67</v>
      </c>
      <c r="K11" s="158">
        <v>103.94199999999999</v>
      </c>
      <c r="L11" s="158">
        <v>104.503</v>
      </c>
      <c r="M11" s="158">
        <v>105.346</v>
      </c>
      <c r="N11" s="158">
        <v>105.934</v>
      </c>
    </row>
    <row r="12" spans="2:14" ht="15.75" thickBot="1" x14ac:dyDescent="0.3">
      <c r="B12" s="155">
        <v>2018</v>
      </c>
      <c r="C12" s="156">
        <v>98.794999699501005</v>
      </c>
      <c r="D12" s="156">
        <v>99.171374481640001</v>
      </c>
      <c r="E12" s="156">
        <v>99.492156980588007</v>
      </c>
      <c r="F12" s="156">
        <v>99.154847046097004</v>
      </c>
      <c r="G12" s="156">
        <v>98.994080173086999</v>
      </c>
      <c r="H12" s="156">
        <v>99.376464931786998</v>
      </c>
      <c r="I12" s="156">
        <v>99.909099104513999</v>
      </c>
      <c r="J12" s="156">
        <v>100.492</v>
      </c>
      <c r="K12" s="156">
        <v>100.917</v>
      </c>
      <c r="L12" s="156">
        <v>101.44</v>
      </c>
      <c r="M12" s="156">
        <v>102.303</v>
      </c>
      <c r="N12" s="156">
        <v>103.02</v>
      </c>
    </row>
    <row r="13" spans="2:14" ht="15.75" thickBot="1" x14ac:dyDescent="0.3">
      <c r="B13" s="155">
        <v>2017</v>
      </c>
      <c r="C13" s="158">
        <v>93.603882444858996</v>
      </c>
      <c r="D13" s="158">
        <v>94.144780335356998</v>
      </c>
      <c r="E13" s="158">
        <v>94.722489332292</v>
      </c>
      <c r="F13" s="158">
        <v>94.838932628162993</v>
      </c>
      <c r="G13" s="158">
        <v>94.725494320571997</v>
      </c>
      <c r="H13" s="158">
        <v>94.963639641805003</v>
      </c>
      <c r="I13" s="158">
        <v>95.322735741331002</v>
      </c>
      <c r="J13" s="158">
        <v>95.793767654305995</v>
      </c>
      <c r="K13" s="158">
        <v>96.093515235290994</v>
      </c>
      <c r="L13" s="158">
        <v>96.698269126750006</v>
      </c>
      <c r="M13" s="158">
        <v>97.695173988822006</v>
      </c>
      <c r="N13" s="158">
        <v>98.272882985755999</v>
      </c>
    </row>
    <row r="14" spans="2:14" ht="15.75" thickBot="1" x14ac:dyDescent="0.3">
      <c r="B14" s="155">
        <v>2016</v>
      </c>
      <c r="C14" s="156">
        <v>89.386381393112998</v>
      </c>
      <c r="D14" s="156">
        <v>89.777781116653998</v>
      </c>
      <c r="E14" s="156">
        <v>89.910000600998004</v>
      </c>
      <c r="F14" s="156">
        <v>89.625277961416003</v>
      </c>
      <c r="G14" s="156">
        <v>89.225614520102994</v>
      </c>
      <c r="H14" s="156">
        <v>89.324027886291006</v>
      </c>
      <c r="I14" s="156">
        <v>89.556914478034003</v>
      </c>
      <c r="J14" s="156">
        <v>89.809333493598999</v>
      </c>
      <c r="K14" s="156">
        <v>90.357743854798997</v>
      </c>
      <c r="L14" s="156">
        <v>90.906154215998995</v>
      </c>
      <c r="M14" s="156">
        <v>91.616833944348002</v>
      </c>
      <c r="N14" s="156">
        <v>92.039034797764003</v>
      </c>
    </row>
    <row r="15" spans="2:14" ht="15.75" thickBot="1" x14ac:dyDescent="0.3">
      <c r="B15" s="155">
        <v>2015</v>
      </c>
      <c r="C15" s="158">
        <v>87.110102770598999</v>
      </c>
      <c r="D15" s="158">
        <v>87.275377126028999</v>
      </c>
      <c r="E15" s="158">
        <v>87.630716990203993</v>
      </c>
      <c r="F15" s="158">
        <v>87.403840375022995</v>
      </c>
      <c r="G15" s="158">
        <v>86.967365827272999</v>
      </c>
      <c r="H15" s="158">
        <v>87.113107758880005</v>
      </c>
      <c r="I15" s="158">
        <v>87.240819760803006</v>
      </c>
      <c r="J15" s="158">
        <v>87.424875292986002</v>
      </c>
      <c r="K15" s="158">
        <v>87.752419015566005</v>
      </c>
      <c r="L15" s="158">
        <v>88.203918504718004</v>
      </c>
      <c r="M15" s="158">
        <v>88.685467876675006</v>
      </c>
      <c r="N15" s="158">
        <v>89.046817717411002</v>
      </c>
    </row>
    <row r="16" spans="2:14" ht="15.75" thickBot="1" x14ac:dyDescent="0.3">
      <c r="B16" s="155">
        <v>2014</v>
      </c>
      <c r="C16" s="156">
        <v>84.519051625699007</v>
      </c>
      <c r="D16" s="156">
        <v>84.733157040687999</v>
      </c>
      <c r="E16" s="156">
        <v>84.965292385360002</v>
      </c>
      <c r="F16" s="156">
        <v>84.806779253561004</v>
      </c>
      <c r="G16" s="156">
        <v>84.535579061242004</v>
      </c>
      <c r="H16" s="156">
        <v>84.682072239918</v>
      </c>
      <c r="I16" s="156">
        <v>84.914958831660996</v>
      </c>
      <c r="J16" s="156">
        <v>85.219965142136004</v>
      </c>
      <c r="K16" s="156">
        <v>85.596339924274005</v>
      </c>
      <c r="L16" s="156">
        <v>86.069625578460005</v>
      </c>
      <c r="M16" s="156">
        <v>86.763777871266001</v>
      </c>
      <c r="N16" s="156">
        <v>87.188983712964003</v>
      </c>
    </row>
    <row r="17" spans="2:14" ht="15.75" thickBot="1" x14ac:dyDescent="0.3">
      <c r="B17" s="155">
        <v>2013</v>
      </c>
      <c r="C17" s="158">
        <v>80.892782018150001</v>
      </c>
      <c r="D17" s="158">
        <v>81.290942965322003</v>
      </c>
      <c r="E17" s="158">
        <v>81.887433139010994</v>
      </c>
      <c r="F17" s="158">
        <v>81.941522928061005</v>
      </c>
      <c r="G17" s="158">
        <v>81.668820241600997</v>
      </c>
      <c r="H17" s="158">
        <v>81.619237934972006</v>
      </c>
      <c r="I17" s="158">
        <v>81.592193040447</v>
      </c>
      <c r="J17" s="158">
        <v>81.824328385119003</v>
      </c>
      <c r="K17" s="158">
        <v>82.132339683875003</v>
      </c>
      <c r="L17" s="158">
        <v>82.522988160346003</v>
      </c>
      <c r="M17" s="158">
        <v>83.292265160165996</v>
      </c>
      <c r="N17" s="158">
        <v>83.770058296773001</v>
      </c>
    </row>
    <row r="18" spans="2:14" ht="15.75" thickBot="1" x14ac:dyDescent="0.3">
      <c r="B18" s="155">
        <v>2012</v>
      </c>
      <c r="C18" s="156">
        <v>78.343049462107004</v>
      </c>
      <c r="D18" s="156">
        <v>78.502313840976001</v>
      </c>
      <c r="E18" s="156">
        <v>78.547388665184002</v>
      </c>
      <c r="F18" s="156">
        <v>78.300979626179995</v>
      </c>
      <c r="G18" s="156">
        <v>78.053819340104994</v>
      </c>
      <c r="H18" s="156">
        <v>78.413666686699997</v>
      </c>
      <c r="I18" s="156">
        <v>78.853897469800003</v>
      </c>
      <c r="J18" s="156">
        <v>79.090540296892996</v>
      </c>
      <c r="K18" s="156">
        <v>79.439118937436007</v>
      </c>
      <c r="L18" s="156">
        <v>79.841036119959</v>
      </c>
      <c r="M18" s="156">
        <v>80.383436504597995</v>
      </c>
      <c r="N18" s="156">
        <v>80.568243283851004</v>
      </c>
    </row>
    <row r="19" spans="2:14" ht="15.75" thickBot="1" x14ac:dyDescent="0.3">
      <c r="B19" s="155">
        <v>2011</v>
      </c>
      <c r="C19" s="158">
        <v>75.295991345633993</v>
      </c>
      <c r="D19" s="158">
        <v>75.578460244005001</v>
      </c>
      <c r="E19" s="158">
        <v>75.723450928540998</v>
      </c>
      <c r="F19" s="158">
        <v>75.717440951979995</v>
      </c>
      <c r="G19" s="158">
        <v>75.159264378868997</v>
      </c>
      <c r="H19" s="158">
        <v>75.155508143518006</v>
      </c>
      <c r="I19" s="158">
        <v>75.516106737184003</v>
      </c>
      <c r="J19" s="158">
        <v>75.635555021334994</v>
      </c>
      <c r="K19" s="158">
        <v>75.821113047658997</v>
      </c>
      <c r="L19" s="158">
        <v>76.332712302421996</v>
      </c>
      <c r="M19" s="158">
        <v>77.158332832501998</v>
      </c>
      <c r="N19" s="158">
        <v>77.792385359696993</v>
      </c>
    </row>
    <row r="20" spans="2:14" ht="15.75" thickBot="1" x14ac:dyDescent="0.3">
      <c r="B20" s="155">
        <v>2010</v>
      </c>
      <c r="C20" s="156">
        <v>72.552045976151007</v>
      </c>
      <c r="D20" s="156">
        <v>72.971670511062001</v>
      </c>
      <c r="E20" s="156">
        <v>73.489725492434005</v>
      </c>
      <c r="F20" s="156">
        <v>73.255564640854004</v>
      </c>
      <c r="G20" s="156">
        <v>72.793977652452</v>
      </c>
      <c r="H20" s="156">
        <v>72.771183233271003</v>
      </c>
      <c r="I20" s="156">
        <v>72.929190002590005</v>
      </c>
      <c r="J20" s="156">
        <v>73.131749500306</v>
      </c>
      <c r="K20" s="156">
        <v>73.515110186520999</v>
      </c>
      <c r="L20" s="156">
        <v>73.968926350203006</v>
      </c>
      <c r="M20" s="156">
        <v>74.561581248891997</v>
      </c>
      <c r="N20" s="156">
        <v>74.930954450610002</v>
      </c>
    </row>
    <row r="21" spans="2:14" ht="15.75" thickBot="1" x14ac:dyDescent="0.3">
      <c r="B21" s="155">
        <v>2009</v>
      </c>
      <c r="C21" s="158">
        <v>69.456149407474001</v>
      </c>
      <c r="D21" s="158">
        <v>69.609493681960004</v>
      </c>
      <c r="E21" s="158">
        <v>70.009950182560999</v>
      </c>
      <c r="F21" s="158">
        <v>70.254990188749005</v>
      </c>
      <c r="G21" s="158">
        <v>70.050358471107998</v>
      </c>
      <c r="H21" s="158">
        <v>70.179354161469007</v>
      </c>
      <c r="I21" s="158">
        <v>70.370516449595002</v>
      </c>
      <c r="J21" s="158">
        <v>70.538884318540994</v>
      </c>
      <c r="K21" s="158">
        <v>70.892715870817995</v>
      </c>
      <c r="L21" s="158">
        <v>71.107190633106001</v>
      </c>
      <c r="M21" s="158">
        <v>71.476045779843005</v>
      </c>
      <c r="N21" s="158">
        <v>71.771855174205001</v>
      </c>
    </row>
    <row r="22" spans="2:14" ht="15.75" thickBot="1" x14ac:dyDescent="0.3">
      <c r="B22" s="155">
        <v>2008</v>
      </c>
      <c r="C22" s="156">
        <v>65.350563680104003</v>
      </c>
      <c r="D22" s="156">
        <v>65.544834298119</v>
      </c>
      <c r="E22" s="156">
        <v>66.019890716036002</v>
      </c>
      <c r="F22" s="156">
        <v>66.170126660633997</v>
      </c>
      <c r="G22" s="156">
        <v>66.098635073205003</v>
      </c>
      <c r="H22" s="156">
        <v>66.372168103369006</v>
      </c>
      <c r="I22" s="156">
        <v>66.742059360067998</v>
      </c>
      <c r="J22" s="156">
        <v>67.127492266209003</v>
      </c>
      <c r="K22" s="156">
        <v>67.584934814760004</v>
      </c>
      <c r="L22" s="156">
        <v>68.045485693200007</v>
      </c>
      <c r="M22" s="156">
        <v>68.818941780386993</v>
      </c>
      <c r="N22" s="156">
        <v>69.295552363249001</v>
      </c>
    </row>
    <row r="23" spans="2:14" ht="15.75" thickBot="1" x14ac:dyDescent="0.3">
      <c r="B23" s="155">
        <v>2007</v>
      </c>
      <c r="C23" s="158">
        <v>63.016207934043997</v>
      </c>
      <c r="D23" s="158">
        <v>63.192346627710997</v>
      </c>
      <c r="E23" s="158">
        <v>63.329113142792998</v>
      </c>
      <c r="F23" s="158">
        <v>63.291295129151997</v>
      </c>
      <c r="G23" s="158">
        <v>62.982534360255002</v>
      </c>
      <c r="H23" s="158">
        <v>63.058170387535</v>
      </c>
      <c r="I23" s="158">
        <v>63.326004812904003</v>
      </c>
      <c r="J23" s="158">
        <v>63.583996193627002</v>
      </c>
      <c r="K23" s="158">
        <v>64.077702590875006</v>
      </c>
      <c r="L23" s="158">
        <v>64.327405091895997</v>
      </c>
      <c r="M23" s="158">
        <v>64.781221255576995</v>
      </c>
      <c r="N23" s="158">
        <v>65.049055680945997</v>
      </c>
    </row>
    <row r="24" spans="2:14" ht="15.75" thickBot="1" x14ac:dyDescent="0.3">
      <c r="B24" s="155">
        <v>2006</v>
      </c>
      <c r="C24" s="156">
        <v>60.603625885795999</v>
      </c>
      <c r="D24" s="156">
        <v>60.696357727462001</v>
      </c>
      <c r="E24" s="156">
        <v>60.772511809722999</v>
      </c>
      <c r="F24" s="156">
        <v>60.861617266518998</v>
      </c>
      <c r="G24" s="156">
        <v>60.590674511262002</v>
      </c>
      <c r="H24" s="156">
        <v>60.642998064380002</v>
      </c>
      <c r="I24" s="156">
        <v>60.809293713400997</v>
      </c>
      <c r="J24" s="156">
        <v>61.119608647242003</v>
      </c>
      <c r="K24" s="156">
        <v>61.736612130056002</v>
      </c>
      <c r="L24" s="156">
        <v>62.006518775350997</v>
      </c>
      <c r="M24" s="156">
        <v>62.331857303652001</v>
      </c>
      <c r="N24" s="156">
        <v>62.692423570686003</v>
      </c>
    </row>
    <row r="25" spans="2:14" ht="15.75" thickBot="1" x14ac:dyDescent="0.3">
      <c r="B25" s="155">
        <v>2005</v>
      </c>
      <c r="C25" s="158">
        <v>58.309160373300998</v>
      </c>
      <c r="D25" s="158">
        <v>58.503430991316002</v>
      </c>
      <c r="E25" s="158">
        <v>58.767120976834001</v>
      </c>
      <c r="F25" s="158">
        <v>58.976415189308</v>
      </c>
      <c r="G25" s="158">
        <v>58.828251464635997</v>
      </c>
      <c r="H25" s="158">
        <v>58.771783471665998</v>
      </c>
      <c r="I25" s="158">
        <v>59.001799883395002</v>
      </c>
      <c r="J25" s="158">
        <v>59.072255360862002</v>
      </c>
      <c r="K25" s="158">
        <v>59.309006487348</v>
      </c>
      <c r="L25" s="158">
        <v>59.454579937113998</v>
      </c>
      <c r="M25" s="158">
        <v>59.882493351727</v>
      </c>
      <c r="N25" s="158">
        <v>60.250312388501001</v>
      </c>
    </row>
    <row r="26" spans="2:14" ht="15.75" thickBot="1" x14ac:dyDescent="0.3">
      <c r="B26" s="155">
        <v>2004</v>
      </c>
      <c r="C26" s="156">
        <v>55.774317349450001</v>
      </c>
      <c r="D26" s="156">
        <v>56.107944757452998</v>
      </c>
      <c r="E26" s="156">
        <v>56.298070935616998</v>
      </c>
      <c r="F26" s="156">
        <v>56.383031952562</v>
      </c>
      <c r="G26" s="156">
        <v>56.241602942646999</v>
      </c>
      <c r="H26" s="156">
        <v>56.331744509406001</v>
      </c>
      <c r="I26" s="156">
        <v>56.479390179097003</v>
      </c>
      <c r="J26" s="156">
        <v>56.828041181560003</v>
      </c>
      <c r="K26" s="156">
        <v>57.297917049664001</v>
      </c>
      <c r="L26" s="156">
        <v>57.694747165395</v>
      </c>
      <c r="M26" s="156">
        <v>58.186899397696997</v>
      </c>
      <c r="N26" s="156">
        <v>58.307088153376</v>
      </c>
    </row>
    <row r="27" spans="2:14" ht="15.75" thickBot="1" x14ac:dyDescent="0.3">
      <c r="B27" s="155">
        <v>2003</v>
      </c>
      <c r="C27" s="158">
        <v>53.525440675315998</v>
      </c>
      <c r="D27" s="158">
        <v>53.674122454969996</v>
      </c>
      <c r="E27" s="158">
        <v>54.012930412785998</v>
      </c>
      <c r="F27" s="158">
        <v>54.105144199469997</v>
      </c>
      <c r="G27" s="158">
        <v>53.930559670748998</v>
      </c>
      <c r="H27" s="158">
        <v>53.975112399147001</v>
      </c>
      <c r="I27" s="158">
        <v>54.053338701333999</v>
      </c>
      <c r="J27" s="158">
        <v>54.215489910502001</v>
      </c>
      <c r="K27" s="158">
        <v>54.538238163896999</v>
      </c>
      <c r="L27" s="158">
        <v>54.738207386707003</v>
      </c>
      <c r="M27" s="158">
        <v>55.192541605370003</v>
      </c>
      <c r="N27" s="158">
        <v>55.429810786837997</v>
      </c>
    </row>
    <row r="28" spans="2:14" ht="15.75" thickBot="1" x14ac:dyDescent="0.3">
      <c r="B28" s="155">
        <v>2002</v>
      </c>
      <c r="C28" s="156">
        <v>50.900472009715998</v>
      </c>
      <c r="D28" s="156">
        <v>50.867749849081001</v>
      </c>
      <c r="E28" s="156">
        <v>51.127948444495999</v>
      </c>
      <c r="F28" s="156">
        <v>51.407234972562001</v>
      </c>
      <c r="G28" s="156">
        <v>51.511429231397997</v>
      </c>
      <c r="H28" s="156">
        <v>51.762586176958997</v>
      </c>
      <c r="I28" s="156">
        <v>51.911181353361997</v>
      </c>
      <c r="J28" s="156">
        <v>52.108560301263999</v>
      </c>
      <c r="K28" s="156">
        <v>52.421983564994001</v>
      </c>
      <c r="L28" s="156">
        <v>52.653036086686001</v>
      </c>
      <c r="M28" s="156">
        <v>53.078877281373998</v>
      </c>
      <c r="N28" s="156">
        <v>53.309929803065003</v>
      </c>
    </row>
    <row r="29" spans="2:14" ht="15.75" thickBot="1" x14ac:dyDescent="0.3">
      <c r="B29" s="155">
        <v>2001</v>
      </c>
      <c r="C29" s="158">
        <v>48.575476247933999</v>
      </c>
      <c r="D29" s="158">
        <v>48.543328159565</v>
      </c>
      <c r="E29" s="158">
        <v>48.850887781723998</v>
      </c>
      <c r="F29" s="158">
        <v>49.097308632382997</v>
      </c>
      <c r="G29" s="158">
        <v>49.209970463624998</v>
      </c>
      <c r="H29" s="158">
        <v>49.326363767191999</v>
      </c>
      <c r="I29" s="158">
        <v>49.198201964029998</v>
      </c>
      <c r="J29" s="158">
        <v>49.489687547186001</v>
      </c>
      <c r="K29" s="158">
        <v>49.950381149771999</v>
      </c>
      <c r="L29" s="158">
        <v>50.176135367754</v>
      </c>
      <c r="M29" s="158">
        <v>50.365148908872001</v>
      </c>
      <c r="N29" s="158">
        <v>50.434898785092997</v>
      </c>
    </row>
    <row r="30" spans="2:14" ht="15.75" thickBot="1" x14ac:dyDescent="0.3">
      <c r="B30" s="155">
        <v>2000</v>
      </c>
      <c r="C30" s="156">
        <v>44.930830116377997</v>
      </c>
      <c r="D30" s="156">
        <v>45.329380314521998</v>
      </c>
      <c r="E30" s="156">
        <v>45.580680782035003</v>
      </c>
      <c r="F30" s="156">
        <v>45.840018271642002</v>
      </c>
      <c r="G30" s="156">
        <v>46.011379073729003</v>
      </c>
      <c r="H30" s="156">
        <v>46.283920241006001</v>
      </c>
      <c r="I30" s="156">
        <v>46.464466209717997</v>
      </c>
      <c r="J30" s="156">
        <v>46.719785188278003</v>
      </c>
      <c r="K30" s="156">
        <v>47.061071604014998</v>
      </c>
      <c r="L30" s="156">
        <v>47.385135825852998</v>
      </c>
      <c r="M30" s="156">
        <v>47.790287862832997</v>
      </c>
      <c r="N30" s="156">
        <v>48.307671180741004</v>
      </c>
    </row>
    <row r="31" spans="2:14" ht="15.75" thickBot="1" x14ac:dyDescent="0.3">
      <c r="B31" s="155">
        <v>1999</v>
      </c>
      <c r="C31" s="158">
        <v>40.469770280539997</v>
      </c>
      <c r="D31" s="158">
        <v>41.013642812363997</v>
      </c>
      <c r="E31" s="158">
        <v>41.394683783067002</v>
      </c>
      <c r="F31" s="158">
        <v>41.774576609237002</v>
      </c>
      <c r="G31" s="158">
        <v>42.02587707675</v>
      </c>
      <c r="H31" s="158">
        <v>42.302006204759003</v>
      </c>
      <c r="I31" s="158">
        <v>42.581579771548</v>
      </c>
      <c r="J31" s="158">
        <v>42.821255256237997</v>
      </c>
      <c r="K31" s="158">
        <v>43.235018392756999</v>
      </c>
      <c r="L31" s="158">
        <v>43.508851226518999</v>
      </c>
      <c r="M31" s="158">
        <v>43.895776447019998</v>
      </c>
      <c r="N31" s="158">
        <v>44.335516388565999</v>
      </c>
    </row>
    <row r="32" spans="2:14" ht="15.75" thickBot="1" x14ac:dyDescent="0.3">
      <c r="B32" s="155">
        <v>1998</v>
      </c>
      <c r="C32" s="156">
        <v>34.003924110859998</v>
      </c>
      <c r="D32" s="156">
        <v>34.599237843852997</v>
      </c>
      <c r="E32" s="156">
        <v>35.004533397604</v>
      </c>
      <c r="F32" s="156">
        <v>35.332042063402</v>
      </c>
      <c r="G32" s="156">
        <v>35.613481363761998</v>
      </c>
      <c r="H32" s="156">
        <v>36.034420411382001</v>
      </c>
      <c r="I32" s="156">
        <v>36.381878110460001</v>
      </c>
      <c r="J32" s="156">
        <v>36.731632103784001</v>
      </c>
      <c r="K32" s="156">
        <v>37.327376387091</v>
      </c>
      <c r="L32" s="156">
        <v>37.862268927258</v>
      </c>
      <c r="M32" s="156">
        <v>38.532786225594002</v>
      </c>
      <c r="N32" s="156">
        <v>39.472974324694</v>
      </c>
    </row>
    <row r="33" spans="2:14" ht="15.75" thickBot="1" x14ac:dyDescent="0.3">
      <c r="B33" s="155">
        <v>1997</v>
      </c>
      <c r="C33" s="158">
        <v>29.498886028859999</v>
      </c>
      <c r="D33" s="158">
        <v>29.994598091509001</v>
      </c>
      <c r="E33" s="158">
        <v>30.367889073663001</v>
      </c>
      <c r="F33" s="158">
        <v>30.695971811728999</v>
      </c>
      <c r="G33" s="158">
        <v>30.976119445603</v>
      </c>
      <c r="H33" s="158">
        <v>31.250956912307998</v>
      </c>
      <c r="I33" s="158">
        <v>31.523211040861</v>
      </c>
      <c r="J33" s="158">
        <v>31.803502196688001</v>
      </c>
      <c r="K33" s="158">
        <v>32.199612588994</v>
      </c>
      <c r="L33" s="158">
        <v>32.456940823078</v>
      </c>
      <c r="M33" s="158">
        <v>32.820042010843999</v>
      </c>
      <c r="N33" s="158">
        <v>33.279874507621003</v>
      </c>
    </row>
    <row r="34" spans="2:14" ht="15.75" thickBot="1" x14ac:dyDescent="0.3">
      <c r="B34" s="155">
        <v>1996</v>
      </c>
      <c r="C34" s="156">
        <v>23.329753761294</v>
      </c>
      <c r="D34" s="156">
        <v>23.874262028762001</v>
      </c>
      <c r="E34" s="156">
        <v>24.399825880352999</v>
      </c>
      <c r="F34" s="156">
        <v>25.093449617204001</v>
      </c>
      <c r="G34" s="156">
        <v>25.550842302962</v>
      </c>
      <c r="H34" s="156">
        <v>25.966901728547001</v>
      </c>
      <c r="I34" s="156">
        <v>26.336030688063001</v>
      </c>
      <c r="J34" s="156">
        <v>26.686071714930002</v>
      </c>
      <c r="K34" s="156">
        <v>27.112751490396999</v>
      </c>
      <c r="L34" s="156">
        <v>27.451167539621</v>
      </c>
      <c r="M34" s="156">
        <v>27.867083448433998</v>
      </c>
      <c r="N34" s="156">
        <v>28.759336453704002</v>
      </c>
    </row>
    <row r="35" spans="2:14" ht="15.75" thickBot="1" x14ac:dyDescent="0.3">
      <c r="B35" s="155">
        <v>1995</v>
      </c>
      <c r="C35" s="158">
        <v>15.376990944299999</v>
      </c>
      <c r="D35" s="158">
        <v>16.028707348708998</v>
      </c>
      <c r="E35" s="158">
        <v>16.973617202949999</v>
      </c>
      <c r="F35" s="158">
        <v>18.326133255310999</v>
      </c>
      <c r="G35" s="158">
        <v>19.092090190992</v>
      </c>
      <c r="H35" s="158">
        <v>19.698024268685</v>
      </c>
      <c r="I35" s="158">
        <v>20.099588355293999</v>
      </c>
      <c r="J35" s="158">
        <v>20.432981265710001</v>
      </c>
      <c r="K35" s="158">
        <v>20.855642530130002</v>
      </c>
      <c r="L35" s="158">
        <v>21.284762116614999</v>
      </c>
      <c r="M35" s="158">
        <v>21.809608384348</v>
      </c>
      <c r="N35" s="158">
        <v>22.520167271192001</v>
      </c>
    </row>
    <row r="36" spans="2:14" ht="15.75" thickBot="1" x14ac:dyDescent="0.3">
      <c r="B36" s="155">
        <v>1994</v>
      </c>
      <c r="C36" s="156">
        <v>13.950374980567</v>
      </c>
      <c r="D36" s="156">
        <v>14.022124062044</v>
      </c>
      <c r="E36" s="156">
        <v>14.094224762979</v>
      </c>
      <c r="F36" s="156">
        <v>14.163251304932</v>
      </c>
      <c r="G36" s="156">
        <v>14.231682244252999</v>
      </c>
      <c r="H36" s="156">
        <v>14.302894568965</v>
      </c>
      <c r="I36" s="156">
        <v>14.366326769868</v>
      </c>
      <c r="J36" s="156">
        <v>14.433286645443999</v>
      </c>
      <c r="K36" s="156">
        <v>14.535936644548</v>
      </c>
      <c r="L36" s="156">
        <v>14.612245304055</v>
      </c>
      <c r="M36" s="156">
        <v>14.690360856448001</v>
      </c>
      <c r="N36" s="156">
        <v>14.819204368158999</v>
      </c>
    </row>
    <row r="37" spans="2:14" ht="15.75" thickBot="1" x14ac:dyDescent="0.3">
      <c r="B37" s="155">
        <v>1993</v>
      </c>
      <c r="C37" s="158">
        <v>12.977319763866999</v>
      </c>
      <c r="D37" s="158">
        <v>13.083345310799</v>
      </c>
      <c r="E37" s="158">
        <v>13.159593689429</v>
      </c>
      <c r="F37" s="158">
        <v>13.235480403514</v>
      </c>
      <c r="G37" s="158">
        <v>13.311137489729999</v>
      </c>
      <c r="H37" s="158">
        <v>13.385797123244</v>
      </c>
      <c r="I37" s="158">
        <v>13.450123440421001</v>
      </c>
      <c r="J37" s="158">
        <v>13.522112194855</v>
      </c>
      <c r="K37" s="158">
        <v>13.622260672231</v>
      </c>
      <c r="L37" s="158">
        <v>13.677973025024</v>
      </c>
      <c r="M37" s="158">
        <v>13.738302356338</v>
      </c>
      <c r="N37" s="158">
        <v>13.843054897126001</v>
      </c>
    </row>
    <row r="38" spans="2:14" ht="15.75" thickBot="1" x14ac:dyDescent="0.3">
      <c r="B38" s="155">
        <v>1992</v>
      </c>
      <c r="C38" s="156">
        <v>11.657778465389001</v>
      </c>
      <c r="D38" s="156">
        <v>11.795900435066001</v>
      </c>
      <c r="E38" s="156">
        <v>11.915947720289999</v>
      </c>
      <c r="F38" s="156">
        <v>12.022171319641</v>
      </c>
      <c r="G38" s="156">
        <v>12.101437891771999</v>
      </c>
      <c r="H38" s="156">
        <v>12.183345192186</v>
      </c>
      <c r="I38" s="156">
        <v>12.260272414519999</v>
      </c>
      <c r="J38" s="156">
        <v>12.335592231401</v>
      </c>
      <c r="K38" s="156">
        <v>12.442896524527001</v>
      </c>
      <c r="L38" s="156">
        <v>12.532493537792</v>
      </c>
      <c r="M38" s="156">
        <v>12.636620340687999</v>
      </c>
      <c r="N38" s="156">
        <v>12.816553481441</v>
      </c>
    </row>
    <row r="39" spans="2:14" ht="15.75" thickBot="1" x14ac:dyDescent="0.3">
      <c r="B39" s="155">
        <v>1991</v>
      </c>
      <c r="C39" s="158">
        <v>9.8838798948009998</v>
      </c>
      <c r="D39" s="158">
        <v>10.056424721909</v>
      </c>
      <c r="E39" s="158">
        <v>10.199839643789</v>
      </c>
      <c r="F39" s="158">
        <v>10.306687551197999</v>
      </c>
      <c r="G39" s="158">
        <v>10.407441671111</v>
      </c>
      <c r="H39" s="158">
        <v>10.516647583476001</v>
      </c>
      <c r="I39" s="158">
        <v>10.609584269261999</v>
      </c>
      <c r="J39" s="158">
        <v>10.683422977312</v>
      </c>
      <c r="K39" s="158">
        <v>10.789850374312</v>
      </c>
      <c r="L39" s="158">
        <v>10.915342738584</v>
      </c>
      <c r="M39" s="158">
        <v>11.186374096785</v>
      </c>
      <c r="N39" s="158">
        <v>11.449679866825999</v>
      </c>
    </row>
    <row r="40" spans="2:14" ht="15.75" thickBot="1" x14ac:dyDescent="0.3">
      <c r="B40" s="155">
        <v>1990</v>
      </c>
      <c r="C40" s="156">
        <v>7.7760373017279996</v>
      </c>
      <c r="D40" s="156">
        <v>7.9521198537759998</v>
      </c>
      <c r="E40" s="156">
        <v>8.0923099196599999</v>
      </c>
      <c r="F40" s="156">
        <v>8.2154715493909993</v>
      </c>
      <c r="G40" s="156">
        <v>8.3588376756719995</v>
      </c>
      <c r="H40" s="156">
        <v>8.5429385894719996</v>
      </c>
      <c r="I40" s="156">
        <v>8.6987348337260002</v>
      </c>
      <c r="J40" s="156">
        <v>8.8469504416049993</v>
      </c>
      <c r="K40" s="156">
        <v>8.9730613687050003</v>
      </c>
      <c r="L40" s="156">
        <v>9.102059887647</v>
      </c>
      <c r="M40" s="156">
        <v>9.3437231026759999</v>
      </c>
      <c r="N40" s="156">
        <v>9.6382139538609994</v>
      </c>
    </row>
    <row r="41" spans="2:14" ht="15.75" thickBot="1" x14ac:dyDescent="0.3">
      <c r="B41" s="155">
        <v>1989</v>
      </c>
      <c r="C41" s="158">
        <v>6.349023792963</v>
      </c>
      <c r="D41" s="158">
        <v>6.4351835425089998</v>
      </c>
      <c r="E41" s="158">
        <v>6.5049448988289997</v>
      </c>
      <c r="F41" s="158">
        <v>6.6022244447040004</v>
      </c>
      <c r="G41" s="158">
        <v>6.6930987691499997</v>
      </c>
      <c r="H41" s="158">
        <v>6.7743846367099998</v>
      </c>
      <c r="I41" s="158">
        <v>6.8421482176049997</v>
      </c>
      <c r="J41" s="158">
        <v>6.9073327757470002</v>
      </c>
      <c r="K41" s="158">
        <v>6.9733927950019998</v>
      </c>
      <c r="L41" s="158">
        <v>7.0765250152229999</v>
      </c>
      <c r="M41" s="158">
        <v>7.175855437159</v>
      </c>
      <c r="N41" s="158">
        <v>7.4180295787319999</v>
      </c>
    </row>
    <row r="42" spans="2:14" ht="15.75" thickBot="1" x14ac:dyDescent="0.3">
      <c r="B42" s="155">
        <v>1988</v>
      </c>
      <c r="C42" s="156">
        <v>4.7182459356499997</v>
      </c>
      <c r="D42" s="156">
        <v>5.1117830400719999</v>
      </c>
      <c r="E42" s="156">
        <v>5.3735474255859996</v>
      </c>
      <c r="F42" s="156">
        <v>5.538940736801</v>
      </c>
      <c r="G42" s="156">
        <v>5.6461086882159996</v>
      </c>
      <c r="H42" s="156">
        <v>5.7612921365389997</v>
      </c>
      <c r="I42" s="156">
        <v>5.857456543164</v>
      </c>
      <c r="J42" s="156">
        <v>5.9113433427300004</v>
      </c>
      <c r="K42" s="156">
        <v>5.9451390220790001</v>
      </c>
      <c r="L42" s="156">
        <v>5.9904864830819999</v>
      </c>
      <c r="M42" s="156">
        <v>6.0706543465480003</v>
      </c>
      <c r="N42" s="156">
        <v>6.1973163857179996</v>
      </c>
    </row>
    <row r="43" spans="2:14" ht="15.75" thickBot="1" x14ac:dyDescent="0.3">
      <c r="B43" s="155">
        <v>1987</v>
      </c>
      <c r="C43" s="158">
        <v>1.7044012927959999</v>
      </c>
      <c r="D43" s="158">
        <v>1.8273863901109999</v>
      </c>
      <c r="E43" s="158">
        <v>1.948152699385</v>
      </c>
      <c r="F43" s="158">
        <v>2.1186064597269998</v>
      </c>
      <c r="G43" s="158">
        <v>2.2783250588419999</v>
      </c>
      <c r="H43" s="158">
        <v>2.443145732803</v>
      </c>
      <c r="I43" s="158">
        <v>2.641021526516</v>
      </c>
      <c r="J43" s="158">
        <v>2.8568715486410001</v>
      </c>
      <c r="K43" s="158">
        <v>3.0450813948030002</v>
      </c>
      <c r="L43" s="158">
        <v>3.2988446335320001</v>
      </c>
      <c r="M43" s="158">
        <v>3.560511422667</v>
      </c>
      <c r="N43" s="158">
        <v>4.0863924586009999</v>
      </c>
    </row>
    <row r="44" spans="2:14" ht="15.75" thickBot="1" x14ac:dyDescent="0.3">
      <c r="B44" s="155">
        <v>1986</v>
      </c>
      <c r="C44" s="156">
        <v>0.83409223138499999</v>
      </c>
      <c r="D44" s="156">
        <v>0.87117447743800003</v>
      </c>
      <c r="E44" s="156">
        <v>0.91166671679400002</v>
      </c>
      <c r="F44" s="156">
        <v>0.95926311145800003</v>
      </c>
      <c r="G44" s="156">
        <v>1.0125700987090001</v>
      </c>
      <c r="H44" s="156">
        <v>1.0775666443359999</v>
      </c>
      <c r="I44" s="156">
        <v>1.131332892509</v>
      </c>
      <c r="J44" s="156">
        <v>1.221531243274</v>
      </c>
      <c r="K44" s="156">
        <v>1.2948116693730001</v>
      </c>
      <c r="L44" s="156">
        <v>1.3688240294530001</v>
      </c>
      <c r="M44" s="156">
        <v>1.4613043243420001</v>
      </c>
      <c r="N44" s="156">
        <v>1.576734625864</v>
      </c>
    </row>
    <row r="45" spans="2:14" ht="15.75" thickBot="1" x14ac:dyDescent="0.3">
      <c r="B45" s="155">
        <v>1985</v>
      </c>
      <c r="C45" s="158">
        <v>0.50271144651599997</v>
      </c>
      <c r="D45" s="158">
        <v>0.52359622178499998</v>
      </c>
      <c r="E45" s="158">
        <v>0.54388539960299997</v>
      </c>
      <c r="F45" s="158">
        <v>0.56062106216600005</v>
      </c>
      <c r="G45" s="158">
        <v>0.57390224086300001</v>
      </c>
      <c r="H45" s="158">
        <v>0.58827559343199998</v>
      </c>
      <c r="I45" s="158">
        <v>0.60876282367000001</v>
      </c>
      <c r="J45" s="158">
        <v>0.63537685186600001</v>
      </c>
      <c r="K45" s="158">
        <v>0.66075231421400005</v>
      </c>
      <c r="L45" s="158">
        <v>0.685852223117</v>
      </c>
      <c r="M45" s="158">
        <v>0.71749512498900003</v>
      </c>
      <c r="N45" s="158">
        <v>0.76634013058899997</v>
      </c>
    </row>
    <row r="46" spans="2:14" ht="15.75" thickBot="1" x14ac:dyDescent="0.3">
      <c r="B46" s="155">
        <v>1984</v>
      </c>
      <c r="C46" s="156">
        <v>0.31272771793199999</v>
      </c>
      <c r="D46" s="156">
        <v>0.32923231761100002</v>
      </c>
      <c r="E46" s="156">
        <v>0.34330428133399998</v>
      </c>
      <c r="F46" s="156">
        <v>0.35815554998400001</v>
      </c>
      <c r="G46" s="156">
        <v>0.370031685863</v>
      </c>
      <c r="H46" s="156">
        <v>0.38342337604799998</v>
      </c>
      <c r="I46" s="156">
        <v>0.39599270575599999</v>
      </c>
      <c r="J46" s="156">
        <v>0.40724883861299999</v>
      </c>
      <c r="K46" s="156">
        <v>0.419380437765</v>
      </c>
      <c r="L46" s="156">
        <v>0.434033653997</v>
      </c>
      <c r="M46" s="156">
        <v>0.44892941320899998</v>
      </c>
      <c r="N46" s="156">
        <v>0.46799581549399999</v>
      </c>
    </row>
    <row r="47" spans="2:14" ht="15.75" thickBot="1" x14ac:dyDescent="0.3">
      <c r="B47" s="155">
        <v>1983</v>
      </c>
      <c r="C47" s="158">
        <v>0.18035508617400001</v>
      </c>
      <c r="D47" s="158">
        <v>0.190033959196</v>
      </c>
      <c r="E47" s="158">
        <v>0.19923204611199999</v>
      </c>
      <c r="F47" s="158">
        <v>0.211845861202</v>
      </c>
      <c r="G47" s="158">
        <v>0.22103390303199999</v>
      </c>
      <c r="H47" s="158">
        <v>0.22940388942199999</v>
      </c>
      <c r="I47" s="158">
        <v>0.240746133379</v>
      </c>
      <c r="J47" s="158">
        <v>0.25009060709100001</v>
      </c>
      <c r="K47" s="158">
        <v>0.25778749500499998</v>
      </c>
      <c r="L47" s="158">
        <v>0.26634117851099998</v>
      </c>
      <c r="M47" s="158">
        <v>0.28198323736800002</v>
      </c>
      <c r="N47" s="158">
        <v>0.29404738058000002</v>
      </c>
    </row>
    <row r="48" spans="2:14" ht="15.75" thickBot="1" x14ac:dyDescent="0.3">
      <c r="B48" s="155">
        <v>1982</v>
      </c>
      <c r="C48" s="156">
        <v>8.5865535761999998E-2</v>
      </c>
      <c r="D48" s="156">
        <v>8.9239653757999998E-2</v>
      </c>
      <c r="E48" s="156">
        <v>9.2498950048999995E-2</v>
      </c>
      <c r="F48" s="156">
        <v>9.7512043770000001E-2</v>
      </c>
      <c r="G48" s="156">
        <v>0.10299300848700001</v>
      </c>
      <c r="H48" s="156">
        <v>0.107954431404</v>
      </c>
      <c r="I48" s="156">
        <v>0.11351720218399999</v>
      </c>
      <c r="J48" s="156">
        <v>0.126255878884</v>
      </c>
      <c r="K48" s="156">
        <v>0.132995499623</v>
      </c>
      <c r="L48" s="156">
        <v>0.13989011723100001</v>
      </c>
      <c r="M48" s="156">
        <v>0.14696269708699999</v>
      </c>
      <c r="N48" s="156">
        <v>0.16265641638700001</v>
      </c>
    </row>
    <row r="49" spans="2:14" ht="15.75" thickBot="1" x14ac:dyDescent="0.3">
      <c r="B49" s="155">
        <v>1981</v>
      </c>
      <c r="C49" s="158">
        <v>6.5615113636999997E-2</v>
      </c>
      <c r="D49" s="158">
        <v>6.7226824128999996E-2</v>
      </c>
      <c r="E49" s="158">
        <v>6.8664872229000001E-2</v>
      </c>
      <c r="F49" s="158">
        <v>7.0213436998999998E-2</v>
      </c>
      <c r="G49" s="158">
        <v>7.1275470431999999E-2</v>
      </c>
      <c r="H49" s="158">
        <v>7.2271488120999997E-2</v>
      </c>
      <c r="I49" s="158">
        <v>7.3544494264999996E-2</v>
      </c>
      <c r="J49" s="158">
        <v>7.5060048571000001E-2</v>
      </c>
      <c r="K49" s="158">
        <v>7.6456481315000005E-2</v>
      </c>
      <c r="L49" s="158">
        <v>7.8152867892999994E-2</v>
      </c>
      <c r="M49" s="158">
        <v>7.9656936920999996E-2</v>
      </c>
      <c r="N49" s="158">
        <v>8.1801099141000005E-2</v>
      </c>
    </row>
    <row r="50" spans="2:14" ht="15.75" thickBot="1" x14ac:dyDescent="0.3">
      <c r="B50" s="155">
        <v>1980</v>
      </c>
      <c r="C50" s="156">
        <v>5.1342222290000003E-2</v>
      </c>
      <c r="D50" s="156">
        <v>5.2529117335E-2</v>
      </c>
      <c r="E50" s="156">
        <v>5.3609811108999997E-2</v>
      </c>
      <c r="F50" s="156">
        <v>5.4546982931999999E-2</v>
      </c>
      <c r="G50" s="156">
        <v>5.5436799348999997E-2</v>
      </c>
      <c r="H50" s="156">
        <v>5.6536148283E-2</v>
      </c>
      <c r="I50" s="156">
        <v>5.8114848311E-2</v>
      </c>
      <c r="J50" s="156">
        <v>5.9318963503999997E-2</v>
      </c>
      <c r="K50" s="156">
        <v>5.9977717037999999E-2</v>
      </c>
      <c r="L50" s="156">
        <v>6.0886183433999999E-2</v>
      </c>
      <c r="M50" s="156">
        <v>6.1942481999000001E-2</v>
      </c>
      <c r="N50" s="156">
        <v>6.3567107600999997E-2</v>
      </c>
    </row>
    <row r="51" spans="2:14" ht="15.75" thickBot="1" x14ac:dyDescent="0.3">
      <c r="B51" s="155">
        <v>1979</v>
      </c>
      <c r="C51" s="158">
        <v>4.2237421534000001E-2</v>
      </c>
      <c r="D51" s="158">
        <v>4.2844504263000002E-2</v>
      </c>
      <c r="E51" s="158">
        <v>4.3425751590999997E-2</v>
      </c>
      <c r="F51" s="158">
        <v>4.3814686550000002E-2</v>
      </c>
      <c r="G51" s="158">
        <v>4.4388763996000002E-2</v>
      </c>
      <c r="H51" s="158">
        <v>4.4881030200999997E-2</v>
      </c>
      <c r="I51" s="158">
        <v>4.5424962027999997E-2</v>
      </c>
      <c r="J51" s="158">
        <v>4.6112415807999997E-2</v>
      </c>
      <c r="K51" s="158">
        <v>4.6677878000999998E-2</v>
      </c>
      <c r="L51" s="158">
        <v>4.7493063416999999E-2</v>
      </c>
      <c r="M51" s="158">
        <v>4.8104451184000002E-2</v>
      </c>
      <c r="N51" s="158">
        <v>4.8955511907000003E-2</v>
      </c>
    </row>
    <row r="52" spans="2:14" ht="15.75" thickBot="1" x14ac:dyDescent="0.3">
      <c r="B52" s="155">
        <v>1978</v>
      </c>
      <c r="C52" s="156">
        <v>3.5892480982999998E-2</v>
      </c>
      <c r="D52" s="156">
        <v>3.6407712565E-2</v>
      </c>
      <c r="E52" s="156">
        <v>3.6786597256000003E-2</v>
      </c>
      <c r="F52" s="156">
        <v>3.7195627565999999E-2</v>
      </c>
      <c r="G52" s="156">
        <v>3.7560162134E-2</v>
      </c>
      <c r="H52" s="156">
        <v>3.8076828728000001E-2</v>
      </c>
      <c r="I52" s="156">
        <v>3.8722661971000001E-2</v>
      </c>
      <c r="J52" s="156">
        <v>3.9108726904000003E-2</v>
      </c>
      <c r="K52" s="156">
        <v>3.9555067534000003E-2</v>
      </c>
      <c r="L52" s="156">
        <v>4.0034418628000001E-2</v>
      </c>
      <c r="M52" s="156">
        <v>4.0446313781999997E-2</v>
      </c>
      <c r="N52" s="156">
        <v>4.0789323166000001E-2</v>
      </c>
    </row>
    <row r="53" spans="2:14" ht="15.75" thickBot="1" x14ac:dyDescent="0.3">
      <c r="B53" s="155">
        <v>1977</v>
      </c>
      <c r="C53" s="158">
        <v>3.0026891524999998E-2</v>
      </c>
      <c r="D53" s="158">
        <v>3.0689944915999998E-2</v>
      </c>
      <c r="E53" s="158">
        <v>3.1225266668999999E-2</v>
      </c>
      <c r="F53" s="158">
        <v>3.1697442701999999E-2</v>
      </c>
      <c r="G53" s="158">
        <v>3.1975866170999998E-2</v>
      </c>
      <c r="H53" s="158">
        <v>3.2367671153000002E-2</v>
      </c>
      <c r="I53" s="158">
        <v>3.2733645913999999E-2</v>
      </c>
      <c r="J53" s="158">
        <v>3.3405309378E-2</v>
      </c>
      <c r="K53" s="158">
        <v>3.3998041984999998E-2</v>
      </c>
      <c r="L53" s="158">
        <v>3.4257810293999998E-2</v>
      </c>
      <c r="M53" s="158">
        <v>3.4632389947999997E-2</v>
      </c>
      <c r="N53" s="158">
        <v>3.5111741042000003E-2</v>
      </c>
    </row>
    <row r="54" spans="2:14" ht="15.75" thickBot="1" x14ac:dyDescent="0.3">
      <c r="B54" s="155">
        <v>1976</v>
      </c>
      <c r="C54" s="156">
        <v>2.3318846237999999E-2</v>
      </c>
      <c r="D54" s="156">
        <v>2.3755141782E-2</v>
      </c>
      <c r="E54" s="156">
        <v>2.3987639676999999E-2</v>
      </c>
      <c r="F54" s="156">
        <v>2.4155556839E-2</v>
      </c>
      <c r="G54" s="156">
        <v>2.4324909012E-2</v>
      </c>
      <c r="H54" s="156">
        <v>2.4422500209000001E-2</v>
      </c>
      <c r="I54" s="156">
        <v>2.4629167883E-2</v>
      </c>
      <c r="J54" s="156">
        <v>2.4864535803E-2</v>
      </c>
      <c r="K54" s="156">
        <v>2.5712731682000001E-2</v>
      </c>
      <c r="L54" s="156">
        <v>2.7160830048999999E-2</v>
      </c>
      <c r="M54" s="156">
        <v>2.8387910620000002E-2</v>
      </c>
      <c r="N54" s="156">
        <v>2.9099759608E-2</v>
      </c>
    </row>
    <row r="55" spans="2:14" ht="15.75" thickBot="1" x14ac:dyDescent="0.3">
      <c r="B55" s="155">
        <v>1975</v>
      </c>
      <c r="C55" s="158">
        <v>2.0815889497999999E-2</v>
      </c>
      <c r="D55" s="158">
        <v>2.0930700843E-2</v>
      </c>
      <c r="E55" s="158">
        <v>2.1062737517E-2</v>
      </c>
      <c r="F55" s="158">
        <v>2.1240699762999998E-2</v>
      </c>
      <c r="G55" s="158">
        <v>2.1524868462999999E-2</v>
      </c>
      <c r="H55" s="158">
        <v>2.1890838042999999E-2</v>
      </c>
      <c r="I55" s="158">
        <v>2.2065930264999999E-2</v>
      </c>
      <c r="J55" s="158">
        <v>2.2256812803999999E-2</v>
      </c>
      <c r="K55" s="158">
        <v>2.2418984735000001E-2</v>
      </c>
      <c r="L55" s="158">
        <v>2.2533801260999999E-2</v>
      </c>
      <c r="M55" s="158">
        <v>2.2691673336000001E-2</v>
      </c>
      <c r="N55" s="158">
        <v>2.2876810644E-2</v>
      </c>
    </row>
    <row r="56" spans="2:14" ht="15.75" thickBot="1" x14ac:dyDescent="0.3">
      <c r="B56" s="155">
        <v>1974</v>
      </c>
      <c r="C56" s="156">
        <v>1.7652744211999999E-2</v>
      </c>
      <c r="D56" s="156">
        <v>1.8051724256000001E-2</v>
      </c>
      <c r="E56" s="156">
        <v>1.8190941171000001E-2</v>
      </c>
      <c r="F56" s="156">
        <v>1.8437789190000001E-2</v>
      </c>
      <c r="G56" s="156">
        <v>1.8582746154000001E-2</v>
      </c>
      <c r="H56" s="156">
        <v>1.8766448450000001E-2</v>
      </c>
      <c r="I56" s="156">
        <v>1.9037696858000001E-2</v>
      </c>
      <c r="J56" s="156">
        <v>1.9238624482000002E-2</v>
      </c>
      <c r="K56" s="156">
        <v>1.9456772255000001E-2</v>
      </c>
      <c r="L56" s="156">
        <v>1.9842832008000001E-2</v>
      </c>
      <c r="M56" s="156">
        <v>2.0393944077000001E-2</v>
      </c>
      <c r="N56" s="156">
        <v>2.0553251163999999E-2</v>
      </c>
    </row>
    <row r="57" spans="2:14" ht="15.75" thickBot="1" x14ac:dyDescent="0.3">
      <c r="B57" s="155">
        <v>1973</v>
      </c>
      <c r="C57" s="158">
        <v>1.4245620933999999E-2</v>
      </c>
      <c r="D57" s="158">
        <v>1.4363307483E-2</v>
      </c>
      <c r="E57" s="158">
        <v>1.4489604107000001E-2</v>
      </c>
      <c r="F57" s="158">
        <v>1.4719231978E-2</v>
      </c>
      <c r="G57" s="158">
        <v>1.4875669039999999E-2</v>
      </c>
      <c r="H57" s="158">
        <v>1.4997655447E-2</v>
      </c>
      <c r="I57" s="158">
        <v>1.5382285367999999E-2</v>
      </c>
      <c r="J57" s="158">
        <v>1.5629138567E-2</v>
      </c>
      <c r="K57" s="158">
        <v>1.6000848195999999E-2</v>
      </c>
      <c r="L57" s="158">
        <v>1.6206080857E-2</v>
      </c>
      <c r="M57" s="158">
        <v>1.640557347E-2</v>
      </c>
      <c r="N57" s="158">
        <v>1.7042791458000001E-2</v>
      </c>
    </row>
    <row r="58" spans="2:14" ht="15.75" thickBot="1" x14ac:dyDescent="0.3">
      <c r="B58" s="155">
        <v>1972</v>
      </c>
      <c r="C58" s="156">
        <v>1.3361549746E-2</v>
      </c>
      <c r="D58" s="156">
        <v>1.3403170284E-2</v>
      </c>
      <c r="E58" s="156">
        <v>1.3476366272000001E-2</v>
      </c>
      <c r="F58" s="156">
        <v>1.3561042358E-2</v>
      </c>
      <c r="G58" s="156">
        <v>1.3588307592E-2</v>
      </c>
      <c r="H58" s="156">
        <v>1.3688768814E-2</v>
      </c>
      <c r="I58" s="156">
        <v>1.3740439618E-2</v>
      </c>
      <c r="J58" s="156">
        <v>1.3830855754000001E-2</v>
      </c>
      <c r="K58" s="156">
        <v>1.3894001475000001E-2</v>
      </c>
      <c r="L58" s="156">
        <v>1.3904046562E-2</v>
      </c>
      <c r="M58" s="156">
        <v>1.3994462698000001E-2</v>
      </c>
      <c r="N58" s="156">
        <v>1.4041828465E-2</v>
      </c>
    </row>
    <row r="59" spans="2:14" ht="15.75" thickBot="1" x14ac:dyDescent="0.3">
      <c r="B59" s="155">
        <v>1971</v>
      </c>
      <c r="C59" s="158">
        <v>1.2798957579E-2</v>
      </c>
      <c r="D59" s="158">
        <v>1.2852058214E-2</v>
      </c>
      <c r="E59" s="158">
        <v>1.2900853812999999E-2</v>
      </c>
      <c r="F59" s="158">
        <v>1.2966874739E-2</v>
      </c>
      <c r="G59" s="158">
        <v>1.2994145154000001E-2</v>
      </c>
      <c r="H59" s="158">
        <v>1.3052985838000001E-2</v>
      </c>
      <c r="I59" s="158">
        <v>1.3042940752E-2</v>
      </c>
      <c r="J59" s="158">
        <v>1.3162057134E-2</v>
      </c>
      <c r="K59" s="158">
        <v>1.3205112683E-2</v>
      </c>
      <c r="L59" s="158">
        <v>1.3218032974E-2</v>
      </c>
      <c r="M59" s="158">
        <v>1.3239558158999999E-2</v>
      </c>
      <c r="N59" s="158">
        <v>1.3302709062E-2</v>
      </c>
    </row>
    <row r="60" spans="2:14" ht="15.75" thickBot="1" x14ac:dyDescent="0.3">
      <c r="B60" s="155">
        <v>1970</v>
      </c>
      <c r="C60" s="156">
        <v>1.2197614896999999E-2</v>
      </c>
      <c r="D60" s="156">
        <v>1.2196179885E-2</v>
      </c>
      <c r="E60" s="156">
        <v>1.2232060373E-2</v>
      </c>
      <c r="F60" s="156">
        <v>1.2247845508E-2</v>
      </c>
      <c r="G60" s="156">
        <v>1.2273680909999999E-2</v>
      </c>
      <c r="H60" s="156">
        <v>1.2348311911E-2</v>
      </c>
      <c r="I60" s="156">
        <v>1.2408587608E-2</v>
      </c>
      <c r="J60" s="156">
        <v>1.2465993280999999E-2</v>
      </c>
      <c r="K60" s="156">
        <v>1.249613372E-2</v>
      </c>
      <c r="L60" s="156">
        <v>1.2500438756E-2</v>
      </c>
      <c r="M60" s="156">
        <v>1.2567894695E-2</v>
      </c>
      <c r="N60" s="156">
        <v>1.2674095967000001E-2</v>
      </c>
    </row>
    <row r="61" spans="2:14" ht="15.75" thickBot="1" x14ac:dyDescent="0.3">
      <c r="B61" s="155">
        <v>1969</v>
      </c>
      <c r="C61" s="158">
        <v>1.1594842385E-2</v>
      </c>
      <c r="D61" s="158">
        <v>1.1636457742000001E-2</v>
      </c>
      <c r="E61" s="158">
        <v>1.1647943020999999E-2</v>
      </c>
      <c r="F61" s="158">
        <v>1.1679513290999999E-2</v>
      </c>
      <c r="G61" s="158">
        <v>1.1679513290999999E-2</v>
      </c>
      <c r="H61" s="158">
        <v>1.1721133829E-2</v>
      </c>
      <c r="I61" s="158">
        <v>1.176562439E-2</v>
      </c>
      <c r="J61" s="158">
        <v>1.1778544681E-2</v>
      </c>
      <c r="K61" s="158">
        <v>1.1889050989E-2</v>
      </c>
      <c r="L61" s="158">
        <v>1.2013912601E-2</v>
      </c>
      <c r="M61" s="158">
        <v>1.2015347613000001E-2</v>
      </c>
      <c r="N61" s="158">
        <v>1.2105763748999999E-2</v>
      </c>
    </row>
  </sheetData>
  <sheetProtection algorithmName="SHA-512" hashValue="aoXWfcvGt37An2K908ak2xNuSWd+6lsEh1ToU80PrkonCw9bVrtH2gJnT2FJ18uCrLGrX1o6w9ZdOATUKqiApQ==" saltValue="+y845lGob/CRp2ZFgY5/KA==" spinCount="100000" sheet="1" objects="1" scenarios="1" formatCells="0" formatColumns="0" formatRows="0" insertColumns="0" insertRows="0" insertHyperlinks="0" deleteColumns="0" deleteRows="0" selectLockedCells="1" sort="0" autoFilter="0"/>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C8F5F2B4-3598-4A7A-970D-115A7DFABDC7}">
            <xm:f>IF(PORTADA!$C$14=5412365,1,0)</xm:f>
            <x14:dxf>
              <font>
                <b/>
                <i/>
                <color theme="1"/>
              </font>
              <fill>
                <gradientFill degree="270">
                  <stop position="0">
                    <color rgb="FFC00000"/>
                  </stop>
                  <stop position="1">
                    <color rgb="FFFFFF00"/>
                  </stop>
                </gradientFill>
              </fill>
            </x14:dxf>
          </x14:cfRule>
          <xm:sqref>N2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EF821-64E2-4073-9257-F938941EDDE0}">
  <sheetPr codeName="Hoja15"/>
  <dimension ref="B2:E19"/>
  <sheetViews>
    <sheetView showGridLines="0" workbookViewId="0">
      <selection activeCell="E2" sqref="E2"/>
    </sheetView>
  </sheetViews>
  <sheetFormatPr baseColWidth="10" defaultRowHeight="15" x14ac:dyDescent="0.25"/>
  <cols>
    <col min="1" max="1" width="11.42578125" style="26"/>
    <col min="2" max="5" width="17.140625" style="26" customWidth="1"/>
    <col min="6" max="16384" width="11.42578125" style="26"/>
  </cols>
  <sheetData>
    <row r="2" spans="2:5" ht="19.5" x14ac:dyDescent="0.25">
      <c r="E2" s="59" t="str">
        <f>IF(PORTADA!$C$14=5412365,HYPERLINK("#MENU!C17","Menú"),"")</f>
        <v>Menú</v>
      </c>
    </row>
    <row r="5" spans="2:5" ht="45" customHeight="1" thickBot="1" x14ac:dyDescent="0.3">
      <c r="B5" s="346" t="s">
        <v>414</v>
      </c>
      <c r="C5" s="346"/>
      <c r="D5" s="346"/>
      <c r="E5" s="346"/>
    </row>
    <row r="6" spans="2:5" ht="75.75" thickTop="1" x14ac:dyDescent="0.25">
      <c r="B6" s="181" t="s">
        <v>346</v>
      </c>
      <c r="C6" s="181" t="s">
        <v>347</v>
      </c>
      <c r="D6" s="181" t="s">
        <v>348</v>
      </c>
      <c r="E6" s="181" t="s">
        <v>349</v>
      </c>
    </row>
    <row r="7" spans="2:5" ht="15.75" thickBot="1" x14ac:dyDescent="0.3">
      <c r="B7" s="182" t="s">
        <v>350</v>
      </c>
      <c r="C7" s="182" t="s">
        <v>350</v>
      </c>
      <c r="D7" s="182" t="s">
        <v>350</v>
      </c>
      <c r="E7" s="182" t="s">
        <v>351</v>
      </c>
    </row>
    <row r="8" spans="2:5" ht="15.75" thickTop="1" x14ac:dyDescent="0.25">
      <c r="B8" s="210">
        <v>0.01</v>
      </c>
      <c r="C8" s="211">
        <v>8952.49</v>
      </c>
      <c r="D8" s="210">
        <v>0</v>
      </c>
      <c r="E8" s="210">
        <v>1.92</v>
      </c>
    </row>
    <row r="9" spans="2:5" x14ac:dyDescent="0.25">
      <c r="B9" s="212">
        <v>8952.5</v>
      </c>
      <c r="C9" s="212">
        <v>75984.55</v>
      </c>
      <c r="D9" s="213">
        <v>171.88</v>
      </c>
      <c r="E9" s="213">
        <v>6.4</v>
      </c>
    </row>
    <row r="10" spans="2:5" x14ac:dyDescent="0.25">
      <c r="B10" s="212">
        <v>75984.56</v>
      </c>
      <c r="C10" s="212">
        <v>133536.07</v>
      </c>
      <c r="D10" s="212">
        <v>4461.9399999999996</v>
      </c>
      <c r="E10" s="213">
        <v>10.88</v>
      </c>
    </row>
    <row r="11" spans="2:5" x14ac:dyDescent="0.25">
      <c r="B11" s="212">
        <v>133536.07999999999</v>
      </c>
      <c r="C11" s="212">
        <v>155229.79999999999</v>
      </c>
      <c r="D11" s="212">
        <v>10723.55</v>
      </c>
      <c r="E11" s="213">
        <v>16</v>
      </c>
    </row>
    <row r="12" spans="2:5" x14ac:dyDescent="0.25">
      <c r="B12" s="212">
        <v>155229.81</v>
      </c>
      <c r="C12" s="212">
        <v>185852.57</v>
      </c>
      <c r="D12" s="212">
        <v>14194.54</v>
      </c>
      <c r="E12" s="213">
        <v>17.920000000000002</v>
      </c>
    </row>
    <row r="13" spans="2:5" x14ac:dyDescent="0.25">
      <c r="B13" s="212">
        <v>185852.58</v>
      </c>
      <c r="C13" s="212">
        <v>374837.88</v>
      </c>
      <c r="D13" s="212">
        <v>19682.13</v>
      </c>
      <c r="E13" s="213">
        <v>21.36</v>
      </c>
    </row>
    <row r="14" spans="2:5" x14ac:dyDescent="0.25">
      <c r="B14" s="212">
        <v>374837.89</v>
      </c>
      <c r="C14" s="212">
        <v>590795.99</v>
      </c>
      <c r="D14" s="212">
        <v>60049.4</v>
      </c>
      <c r="E14" s="213">
        <v>23.52</v>
      </c>
    </row>
    <row r="15" spans="2:5" x14ac:dyDescent="0.25">
      <c r="B15" s="212">
        <v>590796</v>
      </c>
      <c r="C15" s="212">
        <v>1127926.8400000001</v>
      </c>
      <c r="D15" s="212">
        <v>110842.74</v>
      </c>
      <c r="E15" s="213">
        <v>30</v>
      </c>
    </row>
    <row r="16" spans="2:5" x14ac:dyDescent="0.25">
      <c r="B16" s="212">
        <v>1127926.8500000001</v>
      </c>
      <c r="C16" s="212">
        <v>1503902.46</v>
      </c>
      <c r="D16" s="212">
        <v>271981.99</v>
      </c>
      <c r="E16" s="213">
        <v>32</v>
      </c>
    </row>
    <row r="17" spans="2:5" x14ac:dyDescent="0.25">
      <c r="B17" s="212">
        <v>1503902.47</v>
      </c>
      <c r="C17" s="212">
        <v>4511707.37</v>
      </c>
      <c r="D17" s="212">
        <v>392294.17</v>
      </c>
      <c r="E17" s="213">
        <v>34</v>
      </c>
    </row>
    <row r="18" spans="2:5" ht="20.25" customHeight="1" thickBot="1" x14ac:dyDescent="0.3">
      <c r="B18" s="214">
        <v>4511707.38</v>
      </c>
      <c r="C18" s="215" t="s">
        <v>352</v>
      </c>
      <c r="D18" s="214">
        <v>1414947.85</v>
      </c>
      <c r="E18" s="215">
        <v>35</v>
      </c>
    </row>
    <row r="19" spans="2:5" ht="15.75" thickTop="1" x14ac:dyDescent="0.25"/>
  </sheetData>
  <sheetProtection algorithmName="SHA-512" hashValue="Q3utfptnULSdfyRmpfbWPqX0hdZChA8bbHpRJw8G3vvOUwwRtnh+mAp/pPO+eQUlJyRWVYGB7z0nb+JXRXGDuQ==" saltValue="/nJQ1opV6tjWOXn7gg7BTw==" spinCount="100000" sheet="1" objects="1" scenarios="1" formatCells="0" formatColumns="0" formatRows="0" insertColumns="0" insertRows="0" insertHyperlinks="0" deleteColumns="0" deleteRows="0" selectLockedCells="1" sort="0" autoFilter="0"/>
  <mergeCells count="1">
    <mergeCell ref="B5:E5"/>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2EB4F33C-5049-4011-A554-D6F032CDCFB0}">
            <xm:f>IF(PORTADA!$C$14=5412365,1,0)</xm:f>
            <x14:dxf>
              <font>
                <b/>
                <i/>
                <color theme="1"/>
              </font>
              <fill>
                <gradientFill degree="270">
                  <stop position="0">
                    <color rgb="FFC00000"/>
                  </stop>
                  <stop position="1">
                    <color rgb="FFFFFF00"/>
                  </stop>
                </gradientFill>
              </fill>
            </x14:dxf>
          </x14:cfRule>
          <xm:sqref>E2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228DE-B307-4AC3-A8AD-9DFF5F23CA70}">
  <sheetPr codeName="Hoja3"/>
  <dimension ref="B2:E27"/>
  <sheetViews>
    <sheetView showGridLines="0" showRowColHeaders="0" workbookViewId="0">
      <selection activeCell="C6" sqref="C6"/>
    </sheetView>
  </sheetViews>
  <sheetFormatPr baseColWidth="10" defaultRowHeight="15" x14ac:dyDescent="0.25"/>
  <cols>
    <col min="2" max="2" width="67.7109375" customWidth="1"/>
    <col min="3" max="3" width="22.5703125" customWidth="1"/>
  </cols>
  <sheetData>
    <row r="2" spans="2:5" ht="27.75" customHeight="1" x14ac:dyDescent="0.25"/>
    <row r="4" spans="2:5" ht="15.75" thickBot="1" x14ac:dyDescent="0.3"/>
    <row r="5" spans="2:5" ht="18.75" x14ac:dyDescent="0.3">
      <c r="B5" s="216" t="s">
        <v>313</v>
      </c>
      <c r="C5" s="216" t="s">
        <v>316</v>
      </c>
      <c r="D5" s="1"/>
      <c r="E5" s="1"/>
    </row>
    <row r="6" spans="2:5" ht="18.75" x14ac:dyDescent="0.3">
      <c r="B6" s="217" t="str">
        <f>IF(PORTADA!$C$14=5412365,"Ficha anexo 1-A inscripción socios","")</f>
        <v>Ficha anexo 1-A inscripción socios</v>
      </c>
      <c r="C6" s="220" t="str">
        <f>IF(PORTADA!$C$14=5412365,HYPERLINK("#RFCS!B5","RFCS"),"")</f>
        <v>RFCS</v>
      </c>
      <c r="D6" s="1"/>
      <c r="E6" s="1"/>
    </row>
    <row r="7" spans="2:5" ht="18.75" x14ac:dyDescent="0.3">
      <c r="B7" s="218" t="str">
        <f>IF(PORTADA!$C$14=5412365,"Determinación de la utilidad neta del ejercicio","")</f>
        <v>Determinación de la utilidad neta del ejercicio</v>
      </c>
      <c r="C7" s="221" t="str">
        <f>IF(PORTADA!$C$14=5412365,HYPERLINK("#UTILIDAD!B7","UTILIDAD"),"")</f>
        <v>UTILIDAD</v>
      </c>
      <c r="D7" s="1"/>
      <c r="E7" s="1"/>
    </row>
    <row r="8" spans="2:5" ht="18.75" x14ac:dyDescent="0.3">
      <c r="B8" s="217" t="str">
        <f>IF(PORTADA!$C$14=5412365,"ISR por distribución de dividendos","")</f>
        <v>ISR por distribución de dividendos</v>
      </c>
      <c r="C8" s="220" t="str">
        <f>IF(PORTADA!$C$14=5412365,HYPERLINK("#DIVIDENDOS!B6","DIVIDENDOS"),"")</f>
        <v>DIVIDENDOS</v>
      </c>
      <c r="D8" s="1"/>
      <c r="E8" s="1"/>
    </row>
    <row r="9" spans="2:5" ht="18.75" x14ac:dyDescent="0.3">
      <c r="B9" s="218" t="str">
        <f>IF(PORTADA!$C$14=5412365,"Determinación de la CUFIN","")</f>
        <v>Determinación de la CUFIN</v>
      </c>
      <c r="C9" s="221" t="str">
        <f>IF(PORTADA!$C$14=5412365,HYPERLINK("#CUFIN!C7","CUFIN"),"")</f>
        <v>CUFIN</v>
      </c>
      <c r="D9" s="1"/>
      <c r="E9" s="1"/>
    </row>
    <row r="10" spans="2:5" ht="18.75" x14ac:dyDescent="0.3">
      <c r="B10" s="217" t="str">
        <f>IF(PORTADA!$C$14=5412365,"Cálculos adiconales de la CUFIN","")</f>
        <v>Cálculos adiconales de la CUFIN</v>
      </c>
      <c r="C10" s="220" t="str">
        <f>IF(PORTADA!$C$14=5412365,HYPERLINK("#CALCULOS!D6","CALCULOS"),"")</f>
        <v>CALCULOS</v>
      </c>
      <c r="D10" s="1"/>
      <c r="E10" s="1"/>
    </row>
    <row r="11" spans="2:5" ht="18.75" x14ac:dyDescent="0.3">
      <c r="B11" s="218" t="str">
        <f>IF(PORTADA!$C$14=5412365,"No deducibles artículo 28 LISR","")</f>
        <v>No deducibles artículo 28 LISR</v>
      </c>
      <c r="C11" s="221" t="str">
        <f>IF(PORTADA!$C$14=5412365,HYPERLINK("#NODEDUCE!B8","NODEDUCE"),"")</f>
        <v>NODEDUCE</v>
      </c>
      <c r="D11" s="1"/>
      <c r="E11" s="1"/>
    </row>
    <row r="12" spans="2:5" ht="18.75" x14ac:dyDescent="0.3">
      <c r="B12" s="217" t="str">
        <f>IF(PORTADA!$C$14=5412365,"Reducción de capital","")</f>
        <v>Reducción de capital</v>
      </c>
      <c r="C12" s="220" t="str">
        <f>IF(PORTADA!$C$14=5412365,HYPERLINK("#REDUCCIONC!B2","REDUCCIONC"),"")</f>
        <v>REDUCCIONC</v>
      </c>
      <c r="D12" s="1"/>
      <c r="E12" s="1"/>
    </row>
    <row r="13" spans="2:5" ht="18.75" x14ac:dyDescent="0.3">
      <c r="B13" s="218" t="str">
        <f>IF(PORTADA!$C$14=5412365,"Determinación de la CUCA","")</f>
        <v>Determinación de la CUCA</v>
      </c>
      <c r="C13" s="221" t="str">
        <f>IF(PORTADA!$C$14=5412365,HYPERLINK("#CUCA!B5","CUCA"),"")</f>
        <v>CUCA</v>
      </c>
      <c r="D13" s="1"/>
      <c r="E13" s="1"/>
    </row>
    <row r="14" spans="2:5" ht="18.75" x14ac:dyDescent="0.3">
      <c r="B14" s="217" t="str">
        <f>IF(PORTADA!$C$14=5412365,"Fundamentos contables y fiscales","")</f>
        <v>Fundamentos contables y fiscales</v>
      </c>
      <c r="C14" s="220" t="str">
        <f>IF(PORTADA!$C$14=5412365,HYPERLINK("#FUNDAMENTO!B5","FUNDAMENTO"),"")</f>
        <v>FUNDAMENTO</v>
      </c>
      <c r="D14" s="1"/>
      <c r="E14" s="1"/>
    </row>
    <row r="15" spans="2:5" ht="18.75" x14ac:dyDescent="0.3">
      <c r="B15" s="218" t="str">
        <f>IF(PORTADA!$C$14=5412365,"Determinación del ISR correspondiente a la persona física","")</f>
        <v>Determinación del ISR correspondiente a la persona física</v>
      </c>
      <c r="C15" s="221" t="str">
        <f>IF(PORTADA!$C$14=5412365,HYPERLINK("#ISRDPF!C6","ISRDPF"),"")</f>
        <v>ISRDPF</v>
      </c>
      <c r="D15" s="1"/>
      <c r="E15" s="1"/>
    </row>
    <row r="16" spans="2:5" ht="18.75" x14ac:dyDescent="0.3">
      <c r="B16" s="217" t="s">
        <v>415</v>
      </c>
      <c r="C16" s="220" t="s">
        <v>416</v>
      </c>
      <c r="D16" s="1"/>
      <c r="E16" s="1"/>
    </row>
    <row r="17" spans="2:5" ht="18.75" x14ac:dyDescent="0.3">
      <c r="B17" s="218" t="str">
        <f>IF(PORTADA!$C$14=5412365,"Tabla INPC","")</f>
        <v>Tabla INPC</v>
      </c>
      <c r="C17" s="221" t="str">
        <f>IF(PORTADA!$C$14=5412365,HYPERLINK("#INPC!C5","INPC"),"")</f>
        <v>INPC</v>
      </c>
      <c r="D17" s="1"/>
      <c r="E17" s="1"/>
    </row>
    <row r="18" spans="2:5" ht="19.5" thickBot="1" x14ac:dyDescent="0.35">
      <c r="B18" s="219" t="str">
        <f>IF(PORTADA!$C$14=5412365,"Tarifa anual ejercicio 2024","")</f>
        <v>Tarifa anual ejercicio 2024</v>
      </c>
      <c r="C18" s="222" t="str">
        <f>IF(PORTADA!$C$14=5412365,HYPERLINK("#TARIFA!B8","TARIFA"),"")</f>
        <v>TARIFA</v>
      </c>
      <c r="D18" s="1"/>
      <c r="E18" s="1"/>
    </row>
    <row r="19" spans="2:5" ht="18.75" x14ac:dyDescent="0.3">
      <c r="B19" s="1"/>
      <c r="C19" s="1"/>
      <c r="D19" s="1"/>
      <c r="E19" s="1"/>
    </row>
    <row r="20" spans="2:5" ht="18.75" x14ac:dyDescent="0.3">
      <c r="B20" s="1"/>
      <c r="C20" s="1"/>
      <c r="D20" s="1"/>
      <c r="E20" s="1"/>
    </row>
    <row r="21" spans="2:5" ht="18.75" x14ac:dyDescent="0.3">
      <c r="B21" s="1"/>
      <c r="C21" s="1"/>
      <c r="D21" s="1"/>
      <c r="E21" s="1"/>
    </row>
    <row r="22" spans="2:5" ht="18.75" x14ac:dyDescent="0.3">
      <c r="B22" s="1"/>
      <c r="C22" s="1"/>
      <c r="D22" s="1"/>
      <c r="E22" s="1"/>
    </row>
    <row r="23" spans="2:5" ht="18.75" x14ac:dyDescent="0.3">
      <c r="B23" s="1"/>
      <c r="C23" s="1"/>
      <c r="D23" s="1"/>
      <c r="E23" s="1"/>
    </row>
    <row r="24" spans="2:5" ht="18.75" x14ac:dyDescent="0.3">
      <c r="C24" s="1"/>
      <c r="D24" s="1"/>
      <c r="E24" s="1"/>
    </row>
    <row r="25" spans="2:5" ht="18.75" x14ac:dyDescent="0.3">
      <c r="B25" s="1"/>
      <c r="C25" s="1"/>
      <c r="D25" s="1"/>
      <c r="E25" s="1"/>
    </row>
    <row r="26" spans="2:5" ht="18.75" x14ac:dyDescent="0.3">
      <c r="B26" s="1"/>
      <c r="C26" s="1"/>
      <c r="D26" s="1"/>
      <c r="E26" s="1"/>
    </row>
    <row r="27" spans="2:5" ht="18.75" x14ac:dyDescent="0.3">
      <c r="B27" s="1"/>
      <c r="C27" s="1"/>
      <c r="D27" s="1"/>
      <c r="E27" s="1"/>
    </row>
  </sheetData>
  <sheetProtection algorithmName="SHA-512" hashValue="OkDzdVWG2bL4VBnb9CYW5jItiJKLbBCGWlZ24H36XNHv0ORJs8QjoSZsXQDerhUZOdrDCqA84fl3FmIIxjvpWQ==" saltValue="sJp3CaLoJq5fpXhiH9VDmw==" spinCount="100000" sheet="1" objects="1" scenarios="1"/>
  <hyperlinks>
    <hyperlink ref="C16" location="ACONTABLE!B5" display="ACONTABLE" xr:uid="{2C950862-CC54-4316-9405-E35C46BBEA8F}"/>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3F3F6-3CAD-450A-91C3-74D956A1168F}">
  <sheetPr codeName="Hoja4"/>
  <dimension ref="B3:G74"/>
  <sheetViews>
    <sheetView showGridLines="0" workbookViewId="0">
      <selection activeCell="B5" sqref="B5:G5"/>
    </sheetView>
  </sheetViews>
  <sheetFormatPr baseColWidth="10" defaultRowHeight="15" x14ac:dyDescent="0.25"/>
  <cols>
    <col min="2" max="2" width="13.5703125" customWidth="1"/>
    <col min="3" max="3" width="39.85546875" customWidth="1"/>
    <col min="4" max="4" width="42.28515625" customWidth="1"/>
    <col min="7" max="7" width="31.28515625" customWidth="1"/>
  </cols>
  <sheetData>
    <row r="3" spans="2:7" ht="19.5" x14ac:dyDescent="0.3">
      <c r="G3" s="58" t="str">
        <f>IF(PORTADA!$C$14=5412365,HYPERLINK("#MENU!C6","Menú"),"")</f>
        <v>Menú</v>
      </c>
    </row>
    <row r="4" spans="2:7" ht="15.75" thickBot="1" x14ac:dyDescent="0.3"/>
    <row r="5" spans="2:7" ht="15.75" thickBot="1" x14ac:dyDescent="0.3">
      <c r="B5" s="230" t="s">
        <v>216</v>
      </c>
      <c r="C5" s="231"/>
      <c r="D5" s="231"/>
      <c r="E5" s="231"/>
      <c r="F5" s="231"/>
      <c r="G5" s="232"/>
    </row>
    <row r="6" spans="2:7" x14ac:dyDescent="0.25">
      <c r="B6" s="224" t="s">
        <v>418</v>
      </c>
      <c r="C6" s="233" t="s">
        <v>217</v>
      </c>
      <c r="D6" s="234"/>
      <c r="E6" s="234"/>
      <c r="F6" s="235"/>
      <c r="G6" s="239" t="s">
        <v>218</v>
      </c>
    </row>
    <row r="7" spans="2:7" ht="15.75" thickBot="1" x14ac:dyDescent="0.3">
      <c r="B7" s="224" t="e" vm="2">
        <v>#VALUE!</v>
      </c>
      <c r="C7" s="236"/>
      <c r="D7" s="237"/>
      <c r="E7" s="237"/>
      <c r="F7" s="238"/>
      <c r="G7" s="240"/>
    </row>
    <row r="8" spans="2:7" ht="40.5" customHeight="1" thickBot="1" x14ac:dyDescent="0.3">
      <c r="B8" s="224" t="s">
        <v>419</v>
      </c>
      <c r="C8" s="241" t="s">
        <v>219</v>
      </c>
      <c r="D8" s="242"/>
      <c r="E8" s="242"/>
      <c r="F8" s="243"/>
      <c r="G8" s="225" t="s">
        <v>420</v>
      </c>
    </row>
    <row r="9" spans="2:7" ht="75.75" customHeight="1" x14ac:dyDescent="0.25">
      <c r="B9" s="226"/>
      <c r="C9" s="244"/>
      <c r="D9" s="245"/>
      <c r="E9" s="245"/>
      <c r="F9" s="246"/>
      <c r="G9" s="227" t="s">
        <v>220</v>
      </c>
    </row>
    <row r="10" spans="2:7" ht="37.5" customHeight="1" thickBot="1" x14ac:dyDescent="0.3">
      <c r="B10" s="228"/>
      <c r="C10" s="247"/>
      <c r="D10" s="248"/>
      <c r="E10" s="248"/>
      <c r="F10" s="249"/>
      <c r="G10" s="229" t="s">
        <v>260</v>
      </c>
    </row>
    <row r="11" spans="2:7" ht="15.75" thickBot="1" x14ac:dyDescent="0.3">
      <c r="B11" s="250" t="s">
        <v>221</v>
      </c>
      <c r="C11" s="251"/>
      <c r="D11" s="252"/>
      <c r="E11" s="250" t="s">
        <v>222</v>
      </c>
      <c r="F11" s="251"/>
      <c r="G11" s="252"/>
    </row>
    <row r="12" spans="2:7" ht="112.5" customHeight="1" x14ac:dyDescent="0.25">
      <c r="B12" s="253" t="s">
        <v>428</v>
      </c>
      <c r="C12" s="254"/>
      <c r="D12" s="255"/>
      <c r="E12" s="262" t="s">
        <v>223</v>
      </c>
      <c r="F12" s="263"/>
      <c r="G12" s="264"/>
    </row>
    <row r="13" spans="2:7" ht="39.75" customHeight="1" x14ac:dyDescent="0.25">
      <c r="B13" s="256" t="s">
        <v>429</v>
      </c>
      <c r="C13" s="257"/>
      <c r="D13" s="258"/>
      <c r="E13" s="265" t="s">
        <v>224</v>
      </c>
      <c r="F13" s="266"/>
      <c r="G13" s="267"/>
    </row>
    <row r="14" spans="2:7" ht="78.75" customHeight="1" thickBot="1" x14ac:dyDescent="0.3">
      <c r="B14" s="259" t="s">
        <v>430</v>
      </c>
      <c r="C14" s="260"/>
      <c r="D14" s="261"/>
      <c r="E14" s="268" t="s">
        <v>421</v>
      </c>
      <c r="F14" s="269"/>
      <c r="G14" s="270"/>
    </row>
    <row r="15" spans="2:7" x14ac:dyDescent="0.25">
      <c r="B15" s="233" t="s">
        <v>225</v>
      </c>
      <c r="C15" s="235"/>
      <c r="D15" s="271" t="s">
        <v>431</v>
      </c>
      <c r="E15" s="272"/>
      <c r="F15" s="272"/>
      <c r="G15" s="273"/>
    </row>
    <row r="16" spans="2:7" ht="15.75" thickBot="1" x14ac:dyDescent="0.3">
      <c r="B16" s="236"/>
      <c r="C16" s="238"/>
      <c r="D16" s="274" t="s">
        <v>422</v>
      </c>
      <c r="E16" s="275"/>
      <c r="F16" s="275"/>
      <c r="G16" s="276"/>
    </row>
    <row r="17" spans="2:7" ht="15.75" thickBot="1" x14ac:dyDescent="0.3">
      <c r="B17" s="250" t="s">
        <v>226</v>
      </c>
      <c r="C17" s="251"/>
      <c r="D17" s="251"/>
      <c r="E17" s="251"/>
      <c r="F17" s="251"/>
      <c r="G17" s="252"/>
    </row>
    <row r="18" spans="2:7" ht="15.75" thickBot="1" x14ac:dyDescent="0.3">
      <c r="B18" s="250" t="s">
        <v>227</v>
      </c>
      <c r="C18" s="251"/>
      <c r="D18" s="251"/>
      <c r="E18" s="251"/>
      <c r="F18" s="251"/>
      <c r="G18" s="252"/>
    </row>
    <row r="19" spans="2:7" x14ac:dyDescent="0.25">
      <c r="B19" s="241" t="s">
        <v>432</v>
      </c>
      <c r="C19" s="242"/>
      <c r="D19" s="242"/>
      <c r="E19" s="242"/>
      <c r="F19" s="242"/>
      <c r="G19" s="243"/>
    </row>
    <row r="20" spans="2:7" x14ac:dyDescent="0.25">
      <c r="B20" s="244" t="s">
        <v>433</v>
      </c>
      <c r="C20" s="245"/>
      <c r="D20" s="245"/>
      <c r="E20" s="245"/>
      <c r="F20" s="245"/>
      <c r="G20" s="246"/>
    </row>
    <row r="21" spans="2:7" ht="22.5" customHeight="1" x14ac:dyDescent="0.25">
      <c r="B21" s="244" t="s">
        <v>228</v>
      </c>
      <c r="C21" s="245"/>
      <c r="D21" s="245"/>
      <c r="E21" s="245"/>
      <c r="F21" s="245"/>
      <c r="G21" s="246"/>
    </row>
    <row r="22" spans="2:7" x14ac:dyDescent="0.25">
      <c r="B22" s="244" t="s">
        <v>229</v>
      </c>
      <c r="C22" s="245"/>
      <c r="D22" s="245"/>
      <c r="E22" s="245"/>
      <c r="F22" s="245"/>
      <c r="G22" s="246"/>
    </row>
    <row r="23" spans="2:7" x14ac:dyDescent="0.25">
      <c r="B23" s="244" t="s">
        <v>434</v>
      </c>
      <c r="C23" s="245"/>
      <c r="D23" s="245"/>
      <c r="E23" s="245"/>
      <c r="F23" s="245"/>
      <c r="G23" s="246"/>
    </row>
    <row r="24" spans="2:7" x14ac:dyDescent="0.25">
      <c r="B24" s="244" t="s">
        <v>230</v>
      </c>
      <c r="C24" s="245"/>
      <c r="D24" s="245"/>
      <c r="E24" s="245"/>
      <c r="F24" s="245"/>
      <c r="G24" s="246"/>
    </row>
    <row r="25" spans="2:7" x14ac:dyDescent="0.25">
      <c r="B25" s="244" t="s">
        <v>423</v>
      </c>
      <c r="C25" s="245"/>
      <c r="D25" s="245"/>
      <c r="E25" s="245"/>
      <c r="F25" s="245"/>
      <c r="G25" s="246"/>
    </row>
    <row r="26" spans="2:7" ht="45" customHeight="1" x14ac:dyDescent="0.25">
      <c r="B26" s="244" t="s">
        <v>424</v>
      </c>
      <c r="C26" s="245"/>
      <c r="D26" s="245"/>
      <c r="E26" s="245"/>
      <c r="F26" s="245"/>
      <c r="G26" s="246"/>
    </row>
    <row r="27" spans="2:7" ht="45" customHeight="1" x14ac:dyDescent="0.25">
      <c r="B27" s="244" t="s">
        <v>425</v>
      </c>
      <c r="C27" s="245"/>
      <c r="D27" s="245"/>
      <c r="E27" s="245"/>
      <c r="F27" s="245"/>
      <c r="G27" s="246"/>
    </row>
    <row r="28" spans="2:7" ht="22.5" customHeight="1" x14ac:dyDescent="0.25">
      <c r="B28" s="277" t="s">
        <v>231</v>
      </c>
      <c r="C28" s="278"/>
      <c r="D28" s="278"/>
      <c r="E28" s="278"/>
      <c r="F28" s="278"/>
      <c r="G28" s="279"/>
    </row>
    <row r="29" spans="2:7" x14ac:dyDescent="0.25">
      <c r="B29" s="244" t="s">
        <v>435</v>
      </c>
      <c r="C29" s="245"/>
      <c r="D29" s="245"/>
      <c r="E29" s="245"/>
      <c r="F29" s="245"/>
      <c r="G29" s="246"/>
    </row>
    <row r="30" spans="2:7" x14ac:dyDescent="0.25">
      <c r="B30" s="244" t="s">
        <v>436</v>
      </c>
      <c r="C30" s="245"/>
      <c r="D30" s="245"/>
      <c r="E30" s="245"/>
      <c r="F30" s="245"/>
      <c r="G30" s="246"/>
    </row>
    <row r="31" spans="2:7" x14ac:dyDescent="0.25">
      <c r="B31" s="244" t="s">
        <v>232</v>
      </c>
      <c r="C31" s="245"/>
      <c r="D31" s="245"/>
      <c r="E31" s="245"/>
      <c r="F31" s="245"/>
      <c r="G31" s="246"/>
    </row>
    <row r="32" spans="2:7" ht="72.75" customHeight="1" x14ac:dyDescent="0.25">
      <c r="B32" s="244" t="s">
        <v>437</v>
      </c>
      <c r="C32" s="245"/>
      <c r="D32" s="245"/>
      <c r="E32" s="245"/>
      <c r="F32" s="245"/>
      <c r="G32" s="246"/>
    </row>
    <row r="33" spans="2:7" ht="24.75" customHeight="1" x14ac:dyDescent="0.25">
      <c r="B33" s="244" t="s">
        <v>438</v>
      </c>
      <c r="C33" s="245"/>
      <c r="D33" s="245"/>
      <c r="E33" s="245"/>
      <c r="F33" s="245"/>
      <c r="G33" s="246"/>
    </row>
    <row r="34" spans="2:7" ht="36" customHeight="1" x14ac:dyDescent="0.25">
      <c r="B34" s="244" t="s">
        <v>261</v>
      </c>
      <c r="C34" s="245"/>
      <c r="D34" s="245"/>
      <c r="E34" s="245"/>
      <c r="F34" s="245"/>
      <c r="G34" s="246"/>
    </row>
    <row r="35" spans="2:7" ht="50.25" customHeight="1" x14ac:dyDescent="0.25">
      <c r="B35" s="244" t="s">
        <v>233</v>
      </c>
      <c r="C35" s="245"/>
      <c r="D35" s="245"/>
      <c r="E35" s="245"/>
      <c r="F35" s="245"/>
      <c r="G35" s="246"/>
    </row>
    <row r="36" spans="2:7" ht="60.75" customHeight="1" thickBot="1" x14ac:dyDescent="0.3">
      <c r="B36" s="247" t="s">
        <v>439</v>
      </c>
      <c r="C36" s="248"/>
      <c r="D36" s="248"/>
      <c r="E36" s="248"/>
      <c r="F36" s="248"/>
      <c r="G36" s="249"/>
    </row>
    <row r="37" spans="2:7" ht="15.75" thickBot="1" x14ac:dyDescent="0.3">
      <c r="B37" s="250" t="s">
        <v>234</v>
      </c>
      <c r="C37" s="251"/>
      <c r="D37" s="251"/>
      <c r="E37" s="251"/>
      <c r="F37" s="251"/>
      <c r="G37" s="252"/>
    </row>
    <row r="38" spans="2:7" x14ac:dyDescent="0.25">
      <c r="B38" s="241" t="s">
        <v>235</v>
      </c>
      <c r="C38" s="242"/>
      <c r="D38" s="242"/>
      <c r="E38" s="242"/>
      <c r="F38" s="242"/>
      <c r="G38" s="243"/>
    </row>
    <row r="39" spans="2:7" x14ac:dyDescent="0.25">
      <c r="B39" s="277" t="s">
        <v>236</v>
      </c>
      <c r="C39" s="278"/>
      <c r="D39" s="278"/>
      <c r="E39" s="278"/>
      <c r="F39" s="278"/>
      <c r="G39" s="279"/>
    </row>
    <row r="40" spans="2:7" ht="60.75" customHeight="1" x14ac:dyDescent="0.25">
      <c r="B40" s="280" t="s">
        <v>440</v>
      </c>
      <c r="C40" s="281"/>
      <c r="D40" s="281"/>
      <c r="E40" s="281"/>
      <c r="F40" s="281"/>
      <c r="G40" s="282"/>
    </row>
    <row r="41" spans="2:7" ht="53.25" customHeight="1" x14ac:dyDescent="0.25">
      <c r="B41" s="280" t="s">
        <v>441</v>
      </c>
      <c r="C41" s="281"/>
      <c r="D41" s="281"/>
      <c r="E41" s="281"/>
      <c r="F41" s="281"/>
      <c r="G41" s="282"/>
    </row>
    <row r="42" spans="2:7" ht="30.75" customHeight="1" x14ac:dyDescent="0.25">
      <c r="B42" s="280" t="s">
        <v>442</v>
      </c>
      <c r="C42" s="281"/>
      <c r="D42" s="281"/>
      <c r="E42" s="281"/>
      <c r="F42" s="281"/>
      <c r="G42" s="282"/>
    </row>
    <row r="43" spans="2:7" ht="66" customHeight="1" x14ac:dyDescent="0.25">
      <c r="B43" s="244" t="s">
        <v>443</v>
      </c>
      <c r="C43" s="245"/>
      <c r="D43" s="245"/>
      <c r="E43" s="245"/>
      <c r="F43" s="245"/>
      <c r="G43" s="246"/>
    </row>
    <row r="44" spans="2:7" ht="45.75" customHeight="1" x14ac:dyDescent="0.25">
      <c r="B44" s="277" t="s">
        <v>237</v>
      </c>
      <c r="C44" s="278"/>
      <c r="D44" s="278"/>
      <c r="E44" s="278"/>
      <c r="F44" s="278"/>
      <c r="G44" s="279"/>
    </row>
    <row r="45" spans="2:7" ht="51" customHeight="1" x14ac:dyDescent="0.25">
      <c r="B45" s="280" t="s">
        <v>444</v>
      </c>
      <c r="C45" s="281"/>
      <c r="D45" s="281"/>
      <c r="E45" s="281"/>
      <c r="F45" s="281"/>
      <c r="G45" s="282"/>
    </row>
    <row r="46" spans="2:7" ht="59.25" customHeight="1" x14ac:dyDescent="0.25">
      <c r="B46" s="280" t="s">
        <v>445</v>
      </c>
      <c r="C46" s="281"/>
      <c r="D46" s="281"/>
      <c r="E46" s="281"/>
      <c r="F46" s="281"/>
      <c r="G46" s="282"/>
    </row>
    <row r="47" spans="2:7" ht="63" customHeight="1" x14ac:dyDescent="0.25">
      <c r="B47" s="280" t="s">
        <v>446</v>
      </c>
      <c r="C47" s="281"/>
      <c r="D47" s="281"/>
      <c r="E47" s="281"/>
      <c r="F47" s="281"/>
      <c r="G47" s="282"/>
    </row>
    <row r="48" spans="2:7" ht="59.25" customHeight="1" x14ac:dyDescent="0.25">
      <c r="B48" s="280" t="s">
        <v>447</v>
      </c>
      <c r="C48" s="281"/>
      <c r="D48" s="281"/>
      <c r="E48" s="281"/>
      <c r="F48" s="281"/>
      <c r="G48" s="282"/>
    </row>
    <row r="49" spans="2:7" ht="58.5" customHeight="1" x14ac:dyDescent="0.25">
      <c r="B49" s="280" t="s">
        <v>448</v>
      </c>
      <c r="C49" s="281"/>
      <c r="D49" s="281"/>
      <c r="E49" s="281"/>
      <c r="F49" s="281"/>
      <c r="G49" s="282"/>
    </row>
    <row r="50" spans="2:7" ht="56.25" customHeight="1" thickBot="1" x14ac:dyDescent="0.3">
      <c r="B50" s="283" t="s">
        <v>449</v>
      </c>
      <c r="C50" s="284"/>
      <c r="D50" s="284"/>
      <c r="E50" s="284"/>
      <c r="F50" s="284"/>
      <c r="G50" s="285"/>
    </row>
    <row r="51" spans="2:7" ht="15.75" thickBot="1" x14ac:dyDescent="0.3">
      <c r="B51" s="250" t="s">
        <v>238</v>
      </c>
      <c r="C51" s="251"/>
      <c r="D51" s="251"/>
      <c r="E51" s="251"/>
      <c r="F51" s="251"/>
      <c r="G51" s="252"/>
    </row>
    <row r="52" spans="2:7" x14ac:dyDescent="0.25">
      <c r="B52" s="286" t="s">
        <v>450</v>
      </c>
      <c r="C52" s="287"/>
      <c r="D52" s="287"/>
      <c r="E52" s="287"/>
      <c r="F52" s="287"/>
      <c r="G52" s="288"/>
    </row>
    <row r="53" spans="2:7" ht="48.75" customHeight="1" thickBot="1" x14ac:dyDescent="0.3">
      <c r="B53" s="283" t="s">
        <v>451</v>
      </c>
      <c r="C53" s="284"/>
      <c r="D53" s="284"/>
      <c r="E53" s="284"/>
      <c r="F53" s="284"/>
      <c r="G53" s="285"/>
    </row>
    <row r="54" spans="2:7" ht="15.75" thickBot="1" x14ac:dyDescent="0.3">
      <c r="B54" s="250" t="s">
        <v>239</v>
      </c>
      <c r="C54" s="251"/>
      <c r="D54" s="251"/>
      <c r="E54" s="251"/>
      <c r="F54" s="251"/>
      <c r="G54" s="252"/>
    </row>
    <row r="55" spans="2:7" ht="33.75" customHeight="1" thickBot="1" x14ac:dyDescent="0.3">
      <c r="B55" s="250" t="s">
        <v>240</v>
      </c>
      <c r="C55" s="251"/>
      <c r="D55" s="252"/>
      <c r="E55" s="250" t="s">
        <v>241</v>
      </c>
      <c r="F55" s="251"/>
      <c r="G55" s="252"/>
    </row>
    <row r="56" spans="2:7" ht="39" customHeight="1" thickBot="1" x14ac:dyDescent="0.3">
      <c r="B56" s="289" t="s">
        <v>452</v>
      </c>
      <c r="C56" s="290"/>
      <c r="D56" s="291"/>
      <c r="E56" s="292" t="s">
        <v>242</v>
      </c>
      <c r="F56" s="293"/>
      <c r="G56" s="294"/>
    </row>
    <row r="57" spans="2:7" ht="15.75" thickBot="1" x14ac:dyDescent="0.3">
      <c r="B57" s="250" t="s">
        <v>243</v>
      </c>
      <c r="C57" s="251"/>
      <c r="D57" s="251"/>
      <c r="E57" s="251"/>
      <c r="F57" s="251"/>
      <c r="G57" s="252"/>
    </row>
    <row r="58" spans="2:7" ht="44.25" customHeight="1" thickBot="1" x14ac:dyDescent="0.3">
      <c r="B58" s="292" t="s">
        <v>244</v>
      </c>
      <c r="C58" s="293"/>
      <c r="D58" s="293"/>
      <c r="E58" s="293"/>
      <c r="F58" s="293"/>
      <c r="G58" s="294"/>
    </row>
    <row r="59" spans="2:7" ht="33.75" customHeight="1" thickBot="1" x14ac:dyDescent="0.3">
      <c r="B59" s="250" t="s">
        <v>245</v>
      </c>
      <c r="C59" s="252"/>
      <c r="D59" s="250" t="s">
        <v>246</v>
      </c>
      <c r="E59" s="252"/>
      <c r="F59" s="250" t="s">
        <v>247</v>
      </c>
      <c r="G59" s="252"/>
    </row>
    <row r="60" spans="2:7" ht="15.75" thickBot="1" x14ac:dyDescent="0.3">
      <c r="B60" s="292" t="s">
        <v>248</v>
      </c>
      <c r="C60" s="294"/>
      <c r="D60" s="292" t="s">
        <v>249</v>
      </c>
      <c r="E60" s="294"/>
      <c r="F60" s="292" t="s">
        <v>249</v>
      </c>
      <c r="G60" s="294"/>
    </row>
    <row r="61" spans="2:7" ht="15.75" thickBot="1" x14ac:dyDescent="0.3">
      <c r="B61" s="250" t="s">
        <v>250</v>
      </c>
      <c r="C61" s="251"/>
      <c r="D61" s="252"/>
      <c r="E61" s="250" t="s">
        <v>251</v>
      </c>
      <c r="F61" s="251"/>
      <c r="G61" s="252"/>
    </row>
    <row r="62" spans="2:7" ht="128.25" customHeight="1" thickBot="1" x14ac:dyDescent="0.3">
      <c r="B62" s="292" t="s">
        <v>252</v>
      </c>
      <c r="C62" s="293"/>
      <c r="D62" s="294"/>
      <c r="E62" s="292" t="s">
        <v>253</v>
      </c>
      <c r="F62" s="293"/>
      <c r="G62" s="294"/>
    </row>
    <row r="63" spans="2:7" ht="15.75" thickBot="1" x14ac:dyDescent="0.3">
      <c r="B63" s="250" t="s">
        <v>254</v>
      </c>
      <c r="C63" s="251"/>
      <c r="D63" s="251"/>
      <c r="E63" s="251"/>
      <c r="F63" s="251"/>
      <c r="G63" s="252"/>
    </row>
    <row r="64" spans="2:7" ht="15.75" thickBot="1" x14ac:dyDescent="0.3">
      <c r="B64" s="250" t="s">
        <v>255</v>
      </c>
      <c r="C64" s="251"/>
      <c r="D64" s="252"/>
      <c r="E64" s="250" t="s">
        <v>256</v>
      </c>
      <c r="F64" s="251"/>
      <c r="G64" s="252"/>
    </row>
    <row r="65" spans="2:7" ht="45" customHeight="1" x14ac:dyDescent="0.25">
      <c r="B65" s="286" t="s">
        <v>453</v>
      </c>
      <c r="C65" s="287"/>
      <c r="D65" s="288"/>
      <c r="E65" s="286" t="s">
        <v>454</v>
      </c>
      <c r="F65" s="287"/>
      <c r="G65" s="288"/>
    </row>
    <row r="66" spans="2:7" ht="34.5" customHeight="1" x14ac:dyDescent="0.25">
      <c r="B66" s="244" t="s">
        <v>257</v>
      </c>
      <c r="C66" s="245"/>
      <c r="D66" s="246"/>
      <c r="E66" s="280" t="s">
        <v>455</v>
      </c>
      <c r="F66" s="281"/>
      <c r="G66" s="282"/>
    </row>
    <row r="67" spans="2:7" ht="33" customHeight="1" x14ac:dyDescent="0.25">
      <c r="B67" s="244" t="s">
        <v>456</v>
      </c>
      <c r="C67" s="245"/>
      <c r="D67" s="246"/>
      <c r="E67" s="280" t="s">
        <v>457</v>
      </c>
      <c r="F67" s="281"/>
      <c r="G67" s="282"/>
    </row>
    <row r="68" spans="2:7" ht="44.25" customHeight="1" x14ac:dyDescent="0.25">
      <c r="B68" s="280" t="s">
        <v>458</v>
      </c>
      <c r="C68" s="281"/>
      <c r="D68" s="282"/>
      <c r="E68" s="295" t="s">
        <v>427</v>
      </c>
      <c r="F68" s="296"/>
      <c r="G68" s="297"/>
    </row>
    <row r="69" spans="2:7" ht="22.5" customHeight="1" x14ac:dyDescent="0.25">
      <c r="B69" s="295" t="s">
        <v>459</v>
      </c>
      <c r="C69" s="296"/>
      <c r="D69" s="297"/>
      <c r="E69" s="280" t="s">
        <v>460</v>
      </c>
      <c r="F69" s="281"/>
      <c r="G69" s="282"/>
    </row>
    <row r="70" spans="2:7" ht="39" customHeight="1" thickBot="1" x14ac:dyDescent="0.3">
      <c r="B70" s="247" t="s">
        <v>426</v>
      </c>
      <c r="C70" s="248"/>
      <c r="D70" s="249"/>
      <c r="E70" s="283" t="s">
        <v>461</v>
      </c>
      <c r="F70" s="284"/>
      <c r="G70" s="285"/>
    </row>
    <row r="71" spans="2:7" ht="15.75" thickBot="1" x14ac:dyDescent="0.3">
      <c r="B71" s="250" t="s">
        <v>258</v>
      </c>
      <c r="C71" s="251"/>
      <c r="D71" s="251"/>
      <c r="E71" s="251"/>
      <c r="F71" s="251"/>
      <c r="G71" s="252"/>
    </row>
    <row r="72" spans="2:7" ht="15.75" thickBot="1" x14ac:dyDescent="0.3">
      <c r="B72" s="292" t="s">
        <v>249</v>
      </c>
      <c r="C72" s="293"/>
      <c r="D72" s="293"/>
      <c r="E72" s="293"/>
      <c r="F72" s="293"/>
      <c r="G72" s="294"/>
    </row>
    <row r="73" spans="2:7" ht="15.75" thickBot="1" x14ac:dyDescent="0.3">
      <c r="B73" s="250" t="s">
        <v>259</v>
      </c>
      <c r="C73" s="251"/>
      <c r="D73" s="251"/>
      <c r="E73" s="251"/>
      <c r="F73" s="251"/>
      <c r="G73" s="252"/>
    </row>
    <row r="74" spans="2:7" ht="15.75" thickBot="1" x14ac:dyDescent="0.3">
      <c r="B74" s="292" t="s">
        <v>462</v>
      </c>
      <c r="C74" s="293"/>
      <c r="D74" s="293"/>
      <c r="E74" s="293"/>
      <c r="F74" s="293"/>
      <c r="G74" s="294"/>
    </row>
  </sheetData>
  <sheetProtection algorithmName="SHA-512" hashValue="GidYyQzvDe6B5geMe9AXEdqmcX1jGYD8G2BYvoLrzDff4Gv6YqgHhtwGFYjzg2lan5MRcmc57YP+xcOHwUwDjQ==" saltValue="BU5bNB7cVNU4tu24Pa4cQQ==" spinCount="100000" sheet="1" objects="1" scenarios="1"/>
  <mergeCells count="88">
    <mergeCell ref="B74:G74"/>
    <mergeCell ref="B68:D68"/>
    <mergeCell ref="B69:D69"/>
    <mergeCell ref="B70:D70"/>
    <mergeCell ref="E70:G70"/>
    <mergeCell ref="E68:G68"/>
    <mergeCell ref="E69:G69"/>
    <mergeCell ref="B71:G71"/>
    <mergeCell ref="B72:G72"/>
    <mergeCell ref="B73:G73"/>
    <mergeCell ref="B67:D67"/>
    <mergeCell ref="B60:C60"/>
    <mergeCell ref="D60:E60"/>
    <mergeCell ref="F60:G60"/>
    <mergeCell ref="B61:D61"/>
    <mergeCell ref="E61:G61"/>
    <mergeCell ref="B62:D62"/>
    <mergeCell ref="E62:G62"/>
    <mergeCell ref="B63:G63"/>
    <mergeCell ref="B64:D64"/>
    <mergeCell ref="E64:G64"/>
    <mergeCell ref="B65:D65"/>
    <mergeCell ref="B66:D66"/>
    <mergeCell ref="E65:G65"/>
    <mergeCell ref="E66:G66"/>
    <mergeCell ref="E67:G67"/>
    <mergeCell ref="B56:D56"/>
    <mergeCell ref="E56:G56"/>
    <mergeCell ref="B57:G57"/>
    <mergeCell ref="B58:G58"/>
    <mergeCell ref="B59:C59"/>
    <mergeCell ref="D59:E59"/>
    <mergeCell ref="F59:G59"/>
    <mergeCell ref="B55:D55"/>
    <mergeCell ref="E55:G55"/>
    <mergeCell ref="B44:G44"/>
    <mergeCell ref="B45:G45"/>
    <mergeCell ref="B46:G46"/>
    <mergeCell ref="B47:G47"/>
    <mergeCell ref="B48:G48"/>
    <mergeCell ref="B49:G49"/>
    <mergeCell ref="B50:G50"/>
    <mergeCell ref="B51:G51"/>
    <mergeCell ref="B52:G52"/>
    <mergeCell ref="B53:G53"/>
    <mergeCell ref="B54:G54"/>
    <mergeCell ref="B43:G43"/>
    <mergeCell ref="B32:G32"/>
    <mergeCell ref="B33:G33"/>
    <mergeCell ref="B34:G34"/>
    <mergeCell ref="B35:G35"/>
    <mergeCell ref="B36:G36"/>
    <mergeCell ref="B37:G37"/>
    <mergeCell ref="B38:G38"/>
    <mergeCell ref="B39:G39"/>
    <mergeCell ref="B40:G40"/>
    <mergeCell ref="B41:G41"/>
    <mergeCell ref="B42:G42"/>
    <mergeCell ref="B31:G31"/>
    <mergeCell ref="B20:G20"/>
    <mergeCell ref="B21:G21"/>
    <mergeCell ref="B22:G22"/>
    <mergeCell ref="B23:G23"/>
    <mergeCell ref="B24:G24"/>
    <mergeCell ref="B25:G25"/>
    <mergeCell ref="B26:G26"/>
    <mergeCell ref="B27:G27"/>
    <mergeCell ref="B28:G28"/>
    <mergeCell ref="B29:G29"/>
    <mergeCell ref="B30:G30"/>
    <mergeCell ref="B19:G19"/>
    <mergeCell ref="B12:D12"/>
    <mergeCell ref="B13:D13"/>
    <mergeCell ref="B14:D14"/>
    <mergeCell ref="E12:G12"/>
    <mergeCell ref="E13:G13"/>
    <mergeCell ref="E14:G14"/>
    <mergeCell ref="B15:C16"/>
    <mergeCell ref="D15:G15"/>
    <mergeCell ref="D16:G16"/>
    <mergeCell ref="B17:G17"/>
    <mergeCell ref="B18:G18"/>
    <mergeCell ref="B5:G5"/>
    <mergeCell ref="C6:F7"/>
    <mergeCell ref="G6:G7"/>
    <mergeCell ref="C8:F10"/>
    <mergeCell ref="B11:D11"/>
    <mergeCell ref="E11:G11"/>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E9BCE5A8-C2D8-4189-A5A3-F54DBB02DE16}">
            <xm:f>IF(PORTADA!$C$14=5412365,1,0)</xm:f>
            <x14:dxf>
              <font>
                <b/>
                <i/>
                <color theme="1"/>
              </font>
              <fill>
                <gradientFill degree="270">
                  <stop position="0">
                    <color rgb="FFC00000"/>
                  </stop>
                  <stop position="1">
                    <color rgb="FFFFFF00"/>
                  </stop>
                </gradientFill>
              </fill>
            </x14:dxf>
          </x14:cfRule>
          <xm:sqref>G3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9F66D-798A-44D9-A9AB-2A37EF4FAB2B}">
  <sheetPr codeName="Hoja5"/>
  <dimension ref="B2:G40"/>
  <sheetViews>
    <sheetView showGridLines="0" zoomScale="120" zoomScaleNormal="120" workbookViewId="0">
      <selection activeCell="C12" sqref="C12"/>
    </sheetView>
  </sheetViews>
  <sheetFormatPr baseColWidth="10" defaultRowHeight="15" x14ac:dyDescent="0.25"/>
  <cols>
    <col min="1" max="1" width="11.42578125" style="26"/>
    <col min="2" max="2" width="39.7109375" style="26" customWidth="1"/>
    <col min="3" max="3" width="23.7109375" style="26" customWidth="1"/>
    <col min="4" max="4" width="21" style="26" customWidth="1"/>
    <col min="5" max="5" width="17.5703125" style="26" customWidth="1"/>
    <col min="6" max="16384" width="11.42578125" style="26"/>
  </cols>
  <sheetData>
    <row r="2" spans="2:4" ht="19.5" x14ac:dyDescent="0.3">
      <c r="D2" s="58" t="str">
        <f>IF(PORTADA!$C$14=5412365,HYPERLINK("#MENU!C7","Menú"),"")</f>
        <v>Menú</v>
      </c>
    </row>
    <row r="4" spans="2:4" ht="15.75" x14ac:dyDescent="0.25">
      <c r="B4" s="27" t="s">
        <v>299</v>
      </c>
      <c r="C4" s="28"/>
      <c r="D4" s="28"/>
    </row>
    <row r="5" spans="2:4" ht="15.75" x14ac:dyDescent="0.25">
      <c r="B5" s="28"/>
      <c r="C5" s="28"/>
      <c r="D5" s="28"/>
    </row>
    <row r="6" spans="2:4" ht="15.75" x14ac:dyDescent="0.25">
      <c r="B6" s="28"/>
      <c r="C6" s="29" t="s">
        <v>54</v>
      </c>
      <c r="D6" s="30" t="s">
        <v>55</v>
      </c>
    </row>
    <row r="7" spans="2:4" ht="18" customHeight="1" x14ac:dyDescent="0.25">
      <c r="B7" s="31" t="s">
        <v>46</v>
      </c>
      <c r="C7" s="32">
        <v>2500000</v>
      </c>
      <c r="D7" s="32">
        <v>2000000</v>
      </c>
    </row>
    <row r="8" spans="2:4" ht="18" customHeight="1" x14ac:dyDescent="0.25">
      <c r="B8" s="33" t="s">
        <v>52</v>
      </c>
      <c r="C8" s="32">
        <v>1750000</v>
      </c>
      <c r="D8" s="34"/>
    </row>
    <row r="9" spans="2:4" ht="18" customHeight="1" x14ac:dyDescent="0.25">
      <c r="B9" s="35" t="s">
        <v>53</v>
      </c>
      <c r="C9" s="34"/>
      <c r="D9" s="32">
        <v>1580000</v>
      </c>
    </row>
    <row r="10" spans="2:4" ht="18" customHeight="1" x14ac:dyDescent="0.25">
      <c r="B10" s="36" t="s">
        <v>48</v>
      </c>
      <c r="C10" s="37">
        <f>IFERROR(C7-C8,0)</f>
        <v>750000</v>
      </c>
      <c r="D10" s="37">
        <f>IFERROR(D7-D9,0)</f>
        <v>420000</v>
      </c>
    </row>
    <row r="11" spans="2:4" ht="18" customHeight="1" x14ac:dyDescent="0.25">
      <c r="B11" s="31" t="s">
        <v>49</v>
      </c>
      <c r="C11" s="38">
        <f>IFERROR(D10*0.3,0)</f>
        <v>126000</v>
      </c>
      <c r="D11" s="38">
        <f>IFERROR(D10*0.3,0)</f>
        <v>126000</v>
      </c>
    </row>
    <row r="12" spans="2:4" ht="18" customHeight="1" x14ac:dyDescent="0.25">
      <c r="B12" s="31" t="s">
        <v>50</v>
      </c>
      <c r="C12" s="32">
        <v>95000</v>
      </c>
      <c r="D12" s="32">
        <v>95000</v>
      </c>
    </row>
    <row r="13" spans="2:4" ht="18" customHeight="1" x14ac:dyDescent="0.25">
      <c r="B13" s="39" t="s">
        <v>51</v>
      </c>
      <c r="C13" s="40">
        <f>IFERROR(C10-C11-C12,0)</f>
        <v>529000</v>
      </c>
      <c r="D13" s="40">
        <f>IFERROR(D10-D11-D12,0)</f>
        <v>199000</v>
      </c>
    </row>
    <row r="15" spans="2:4" ht="96.75" customHeight="1" x14ac:dyDescent="0.25">
      <c r="B15" s="298" t="s">
        <v>300</v>
      </c>
      <c r="C15" s="299"/>
      <c r="D15" s="299"/>
    </row>
    <row r="17" spans="2:7" ht="15.75" x14ac:dyDescent="0.25">
      <c r="B17" s="28"/>
      <c r="C17" s="41" t="s">
        <v>54</v>
      </c>
    </row>
    <row r="18" spans="2:7" ht="15.75" x14ac:dyDescent="0.25">
      <c r="B18" s="42" t="s">
        <v>51</v>
      </c>
      <c r="C18" s="43">
        <f>C13</f>
        <v>529000</v>
      </c>
    </row>
    <row r="19" spans="2:7" ht="15.75" x14ac:dyDescent="0.25">
      <c r="B19" s="44" t="s">
        <v>56</v>
      </c>
      <c r="C19" s="45">
        <v>0.05</v>
      </c>
    </row>
    <row r="20" spans="2:7" ht="15.75" x14ac:dyDescent="0.25">
      <c r="B20" s="27" t="s">
        <v>57</v>
      </c>
      <c r="C20" s="46">
        <f>IFERROR(ROUND(C18*C19,0),0)</f>
        <v>26450</v>
      </c>
    </row>
    <row r="21" spans="2:7" ht="15.75" x14ac:dyDescent="0.25">
      <c r="B21" s="28"/>
      <c r="C21" s="28"/>
    </row>
    <row r="22" spans="2:7" ht="15.75" x14ac:dyDescent="0.25">
      <c r="B22" s="27" t="s">
        <v>58</v>
      </c>
      <c r="C22" s="28"/>
    </row>
    <row r="23" spans="2:7" ht="15.75" x14ac:dyDescent="0.25">
      <c r="B23" s="47" t="s">
        <v>47</v>
      </c>
      <c r="C23" s="48">
        <f>C13</f>
        <v>529000</v>
      </c>
    </row>
    <row r="24" spans="2:7" ht="15.75" x14ac:dyDescent="0.25">
      <c r="B24" s="47" t="s">
        <v>59</v>
      </c>
      <c r="C24" s="48">
        <f>C20</f>
        <v>26450</v>
      </c>
    </row>
    <row r="25" spans="2:7" ht="15.75" x14ac:dyDescent="0.25">
      <c r="B25" s="49" t="s">
        <v>60</v>
      </c>
      <c r="C25" s="50">
        <f>IFERROR(C23-C24,0)</f>
        <v>502550</v>
      </c>
    </row>
    <row r="26" spans="2:7" ht="15.75" x14ac:dyDescent="0.25">
      <c r="B26" s="28"/>
      <c r="C26" s="28"/>
    </row>
    <row r="27" spans="2:7" ht="118.5" customHeight="1" x14ac:dyDescent="0.25">
      <c r="B27" s="300" t="s">
        <v>301</v>
      </c>
      <c r="C27" s="300"/>
      <c r="D27" s="300"/>
      <c r="E27" s="300"/>
      <c r="F27" s="300"/>
      <c r="G27" s="300"/>
    </row>
    <row r="28" spans="2:7" ht="15.75" x14ac:dyDescent="0.25">
      <c r="B28" s="28"/>
      <c r="C28" s="28"/>
    </row>
    <row r="29" spans="2:7" ht="45" x14ac:dyDescent="0.25">
      <c r="B29" s="28"/>
      <c r="C29" s="98" t="s">
        <v>319</v>
      </c>
      <c r="D29" s="99" t="s">
        <v>376</v>
      </c>
      <c r="E29" s="100" t="s">
        <v>78</v>
      </c>
    </row>
    <row r="30" spans="2:7" ht="15.75" x14ac:dyDescent="0.25">
      <c r="B30" s="44" t="s">
        <v>62</v>
      </c>
      <c r="C30" s="95">
        <v>50000</v>
      </c>
      <c r="D30" s="96"/>
      <c r="E30" s="97">
        <f>SUM(C30:D30)</f>
        <v>50000</v>
      </c>
    </row>
    <row r="31" spans="2:7" ht="15.75" x14ac:dyDescent="0.25">
      <c r="B31" s="53" t="s">
        <v>74</v>
      </c>
      <c r="C31" s="53"/>
      <c r="D31" s="54"/>
      <c r="E31" s="55"/>
    </row>
    <row r="32" spans="2:7" ht="15.75" x14ac:dyDescent="0.25">
      <c r="B32" s="56" t="s">
        <v>47</v>
      </c>
      <c r="C32" s="51">
        <f>C13</f>
        <v>529000</v>
      </c>
      <c r="D32" s="52">
        <f>C24*-1</f>
        <v>-26450</v>
      </c>
      <c r="E32" s="52">
        <f t="shared" ref="E32:E34" si="0">SUM(C32:D32)</f>
        <v>502550</v>
      </c>
    </row>
    <row r="33" spans="2:5" ht="15.75" x14ac:dyDescent="0.25">
      <c r="B33" s="56" t="s">
        <v>318</v>
      </c>
      <c r="C33" s="51"/>
      <c r="D33" s="52">
        <f>C24</f>
        <v>26450</v>
      </c>
      <c r="E33" s="52">
        <f>C33+D33</f>
        <v>26450</v>
      </c>
    </row>
    <row r="34" spans="2:5" ht="15.75" x14ac:dyDescent="0.25">
      <c r="B34" s="44" t="s">
        <v>75</v>
      </c>
      <c r="C34" s="95">
        <v>1100000</v>
      </c>
      <c r="D34" s="97">
        <f>C35*-1</f>
        <v>-750000</v>
      </c>
      <c r="E34" s="97">
        <f t="shared" si="0"/>
        <v>350000</v>
      </c>
    </row>
    <row r="35" spans="2:5" ht="15.75" x14ac:dyDescent="0.25">
      <c r="B35" s="44" t="s">
        <v>76</v>
      </c>
      <c r="C35" s="95">
        <v>750000</v>
      </c>
      <c r="D35" s="52">
        <f>D34*-1</f>
        <v>750000</v>
      </c>
      <c r="E35" s="97">
        <f>C35-D35</f>
        <v>0</v>
      </c>
    </row>
    <row r="36" spans="2:5" ht="15.75" x14ac:dyDescent="0.25">
      <c r="B36" s="27" t="s">
        <v>77</v>
      </c>
      <c r="C36" s="46">
        <f>C30+C32+C34-C35</f>
        <v>929000</v>
      </c>
      <c r="E36" s="57">
        <f>SUM(E30:E35)</f>
        <v>929000</v>
      </c>
    </row>
    <row r="37" spans="2:5" ht="15.75" x14ac:dyDescent="0.25">
      <c r="B37" s="28"/>
      <c r="C37" s="28"/>
    </row>
    <row r="38" spans="2:5" ht="15.75" x14ac:dyDescent="0.25">
      <c r="B38" s="28"/>
      <c r="C38" s="28"/>
    </row>
    <row r="39" spans="2:5" ht="15.75" x14ac:dyDescent="0.25">
      <c r="B39" s="28"/>
      <c r="C39" s="28"/>
    </row>
    <row r="40" spans="2:5" ht="15.75" x14ac:dyDescent="0.25">
      <c r="B40" s="28"/>
      <c r="C40" s="28"/>
    </row>
  </sheetData>
  <sheetProtection algorithmName="SHA-512" hashValue="5LqjgVibv5gcVCUvNjL7q6DlylVpwfJa8oy7VPmn2q46yb0aYZYsEUhPr0CrIh6JuVmQuORJCnvvlNutK9UN8Q==" saltValue="AD2UwhRdbO409Ow6Gd55hA==" spinCount="100000" sheet="1" objects="1" scenarios="1" formatCells="0" formatColumns="0" formatRows="0" insertColumns="0" insertRows="0" insertHyperlinks="0" deleteColumns="0" deleteRows="0" selectLockedCells="1" sort="0" autoFilter="0"/>
  <mergeCells count="2">
    <mergeCell ref="B15:D15"/>
    <mergeCell ref="B27:G27"/>
  </mergeCells>
  <hyperlinks>
    <hyperlink ref="B13" location="FUNDAMENTO!B16" display="(=) Utilidad neta del ejercicio" xr:uid="{C0E7C16B-8144-4B7B-A8D7-6FE7ADDAAA3D}"/>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A1DEA61C-6274-42E0-A418-3C638207CF3D}">
            <xm:f>IF(PORTADA!$C$14=5412365,1,0)</xm:f>
            <x14:dxf>
              <font>
                <color theme="1"/>
              </font>
            </x14:dxf>
          </x14:cfRule>
          <xm:sqref>B15:D15 B18:C19 B27:G27 B30:E35</xm:sqref>
        </x14:conditionalFormatting>
        <x14:conditionalFormatting xmlns:xm="http://schemas.microsoft.com/office/excel/2006/main">
          <x14:cfRule type="expression" priority="1" id="{66C0F7DE-25E7-44A6-9545-D28EF08EFD20}">
            <xm:f>IF(PORTADA!$C$14=5412365,1,0)</xm:f>
            <x14:dxf>
              <font>
                <b/>
                <i/>
                <color theme="1"/>
              </font>
              <fill>
                <gradientFill degree="270">
                  <stop position="0">
                    <color rgb="FFC00000"/>
                  </stop>
                  <stop position="1">
                    <color rgb="FFFFFF00"/>
                  </stop>
                </gradientFill>
              </fill>
            </x14:dxf>
          </x14:cfRule>
          <xm:sqref>D2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722EE-9B80-4418-82A9-17E6AC175E67}">
  <sheetPr codeName="Hoja6"/>
  <dimension ref="B2:I70"/>
  <sheetViews>
    <sheetView showGridLines="0" zoomScale="110" zoomScaleNormal="110" workbookViewId="0">
      <selection activeCell="C14" sqref="C14"/>
    </sheetView>
  </sheetViews>
  <sheetFormatPr baseColWidth="10" defaultRowHeight="15" x14ac:dyDescent="0.25"/>
  <cols>
    <col min="1" max="1" width="11.42578125" style="26"/>
    <col min="2" max="2" width="50.28515625" style="26" customWidth="1"/>
    <col min="3" max="3" width="17.7109375" style="26" customWidth="1"/>
    <col min="4" max="4" width="17.42578125" style="26" customWidth="1"/>
    <col min="5" max="5" width="16.5703125" style="26" customWidth="1"/>
    <col min="6" max="6" width="16.140625" style="26" customWidth="1"/>
    <col min="7" max="7" width="20.140625" style="26" customWidth="1"/>
    <col min="8" max="8" width="11.42578125" style="26"/>
    <col min="9" max="9" width="18" style="26" customWidth="1"/>
    <col min="10" max="16384" width="11.42578125" style="26"/>
  </cols>
  <sheetData>
    <row r="2" spans="2:6" ht="19.5" x14ac:dyDescent="0.3">
      <c r="F2" s="58" t="str">
        <f>IF(PORTADA!$C$14=5412365,HYPERLINK("#MENU!C8","Menú"),"")</f>
        <v>Menú</v>
      </c>
    </row>
    <row r="5" spans="2:6" ht="15.75" x14ac:dyDescent="0.25">
      <c r="B5" s="60" t="s">
        <v>9</v>
      </c>
      <c r="C5" s="60" t="s">
        <v>67</v>
      </c>
      <c r="D5" s="60" t="s">
        <v>68</v>
      </c>
      <c r="E5" s="60" t="s">
        <v>69</v>
      </c>
      <c r="F5" s="61" t="s">
        <v>61</v>
      </c>
    </row>
    <row r="6" spans="2:6" ht="15.75" x14ac:dyDescent="0.25">
      <c r="B6" s="62" t="s">
        <v>62</v>
      </c>
      <c r="C6" s="63">
        <v>10000</v>
      </c>
      <c r="D6" s="63">
        <v>20000</v>
      </c>
      <c r="E6" s="63">
        <v>20000</v>
      </c>
      <c r="F6" s="64"/>
    </row>
    <row r="7" spans="2:6" ht="15.75" x14ac:dyDescent="0.25">
      <c r="B7" s="31" t="s">
        <v>63</v>
      </c>
      <c r="C7" s="65">
        <f>C6/50000</f>
        <v>0.2</v>
      </c>
      <c r="D7" s="65">
        <f t="shared" ref="D7:E7" si="0">D6/50000</f>
        <v>0.4</v>
      </c>
      <c r="E7" s="65">
        <f t="shared" si="0"/>
        <v>0.4</v>
      </c>
      <c r="F7" s="66">
        <f>SUM(C7:E7)</f>
        <v>1</v>
      </c>
    </row>
    <row r="8" spans="2:6" ht="15.75" x14ac:dyDescent="0.25">
      <c r="B8" s="31" t="s">
        <v>64</v>
      </c>
      <c r="C8" s="67">
        <f>UTILIDAD!$C$25</f>
        <v>502550</v>
      </c>
      <c r="D8" s="67">
        <f>UTILIDAD!$C$25</f>
        <v>502550</v>
      </c>
      <c r="E8" s="67">
        <f>UTILIDAD!$C$25</f>
        <v>502550</v>
      </c>
      <c r="F8" s="64"/>
    </row>
    <row r="9" spans="2:6" ht="23.25" customHeight="1" x14ac:dyDescent="0.25">
      <c r="B9" s="68" t="s">
        <v>70</v>
      </c>
      <c r="C9" s="67">
        <f>IFERROR(ROUND(C8*C7,0),0)</f>
        <v>100510</v>
      </c>
      <c r="D9" s="67">
        <f t="shared" ref="D9:E9" si="1">IFERROR(ROUND(D8*D7,0),0)</f>
        <v>201020</v>
      </c>
      <c r="E9" s="67">
        <f t="shared" si="1"/>
        <v>201020</v>
      </c>
      <c r="F9" s="69">
        <f>SUM(C9:E9)</f>
        <v>502550</v>
      </c>
    </row>
    <row r="12" spans="2:6" ht="15.75" x14ac:dyDescent="0.25">
      <c r="B12" s="27" t="s">
        <v>382</v>
      </c>
      <c r="C12" s="70"/>
    </row>
    <row r="13" spans="2:6" ht="15.75" x14ac:dyDescent="0.25">
      <c r="B13" s="53" t="s">
        <v>79</v>
      </c>
      <c r="C13" s="43">
        <f>F9</f>
        <v>502550</v>
      </c>
      <c r="D13" s="28"/>
      <c r="E13" s="28"/>
      <c r="F13" s="28"/>
    </row>
    <row r="14" spans="2:6" ht="15.75" x14ac:dyDescent="0.25">
      <c r="B14" s="53" t="s">
        <v>80</v>
      </c>
      <c r="C14" s="53">
        <v>1.4286000000000001</v>
      </c>
      <c r="D14" s="28"/>
      <c r="E14" s="28"/>
      <c r="F14" s="28"/>
    </row>
    <row r="15" spans="2:6" ht="15.75" x14ac:dyDescent="0.25">
      <c r="B15" s="53" t="s">
        <v>81</v>
      </c>
      <c r="C15" s="43">
        <f>IFERROR(ROUND(C13*C14,2),0)</f>
        <v>717942.93</v>
      </c>
      <c r="D15" s="28"/>
      <c r="E15" s="28"/>
      <c r="F15" s="28"/>
    </row>
    <row r="16" spans="2:6" ht="15.75" x14ac:dyDescent="0.25">
      <c r="B16" s="53" t="s">
        <v>82</v>
      </c>
      <c r="C16" s="71">
        <v>0.3</v>
      </c>
      <c r="D16" s="28"/>
      <c r="E16" s="28"/>
      <c r="F16" s="28"/>
    </row>
    <row r="17" spans="2:9" ht="84.75" customHeight="1" x14ac:dyDescent="0.25">
      <c r="B17" s="72" t="s">
        <v>83</v>
      </c>
      <c r="C17" s="73">
        <f>IFERROR(ROUND(C15*C16,0),0)</f>
        <v>215383</v>
      </c>
      <c r="D17" s="301" t="s">
        <v>302</v>
      </c>
      <c r="E17" s="300"/>
      <c r="F17" s="300"/>
      <c r="G17" s="300"/>
      <c r="H17" s="300"/>
    </row>
    <row r="18" spans="2:9" ht="15.75" x14ac:dyDescent="0.25">
      <c r="B18" s="28"/>
      <c r="C18" s="28"/>
      <c r="D18" s="28"/>
      <c r="E18" s="28"/>
      <c r="F18" s="28"/>
    </row>
    <row r="19" spans="2:9" ht="315.75" customHeight="1" x14ac:dyDescent="0.25">
      <c r="B19" s="298" t="s">
        <v>303</v>
      </c>
      <c r="C19" s="298"/>
      <c r="D19" s="298"/>
      <c r="E19" s="298"/>
      <c r="F19" s="298"/>
      <c r="G19" s="298"/>
      <c r="H19" s="298"/>
      <c r="I19" s="298"/>
    </row>
    <row r="20" spans="2:9" ht="15.75" x14ac:dyDescent="0.25">
      <c r="B20" s="28"/>
      <c r="C20" s="28"/>
      <c r="D20" s="28"/>
      <c r="E20" s="28"/>
      <c r="F20" s="28"/>
    </row>
    <row r="21" spans="2:9" ht="15.75" x14ac:dyDescent="0.25">
      <c r="B21" s="28"/>
      <c r="C21" s="28"/>
      <c r="D21" s="28"/>
      <c r="E21" s="28"/>
      <c r="F21" s="28"/>
    </row>
    <row r="22" spans="2:9" ht="15.75" x14ac:dyDescent="0.25">
      <c r="B22" s="27" t="s">
        <v>331</v>
      </c>
      <c r="C22" s="28"/>
      <c r="D22" s="28"/>
      <c r="E22" s="28"/>
      <c r="F22" s="28"/>
    </row>
    <row r="23" spans="2:9" ht="15.75" x14ac:dyDescent="0.25">
      <c r="B23" s="28"/>
      <c r="C23" s="161" t="s">
        <v>328</v>
      </c>
      <c r="D23" s="28"/>
      <c r="E23" s="161" t="s">
        <v>329</v>
      </c>
      <c r="F23" s="28"/>
    </row>
    <row r="24" spans="2:9" ht="15.75" x14ac:dyDescent="0.25">
      <c r="B24" s="28" t="s">
        <v>103</v>
      </c>
      <c r="C24" s="101">
        <v>7800000</v>
      </c>
      <c r="D24" s="28"/>
      <c r="E24" s="101">
        <v>7800000</v>
      </c>
      <c r="F24" s="28"/>
    </row>
    <row r="25" spans="2:9" ht="15.75" x14ac:dyDescent="0.25">
      <c r="B25" s="28" t="s">
        <v>53</v>
      </c>
      <c r="C25" s="101">
        <v>5000000</v>
      </c>
      <c r="D25" s="28"/>
      <c r="E25" s="101">
        <v>6500000</v>
      </c>
      <c r="F25" s="28"/>
    </row>
    <row r="26" spans="2:9" ht="15.75" x14ac:dyDescent="0.25">
      <c r="B26" s="28" t="s">
        <v>320</v>
      </c>
      <c r="C26" s="159">
        <f>C24-C25</f>
        <v>2800000</v>
      </c>
      <c r="D26" s="28"/>
      <c r="E26" s="159">
        <f>E24-E25</f>
        <v>1300000</v>
      </c>
      <c r="F26" s="28"/>
    </row>
    <row r="27" spans="2:9" ht="15.75" x14ac:dyDescent="0.25">
      <c r="B27" s="28" t="s">
        <v>104</v>
      </c>
      <c r="C27" s="101">
        <v>250000</v>
      </c>
      <c r="D27" s="28"/>
      <c r="E27" s="101">
        <v>250000</v>
      </c>
      <c r="F27" s="28"/>
    </row>
    <row r="28" spans="2:9" ht="15.75" x14ac:dyDescent="0.25">
      <c r="B28" s="28" t="s">
        <v>321</v>
      </c>
      <c r="C28" s="101">
        <v>650000</v>
      </c>
      <c r="D28" s="28"/>
      <c r="E28" s="101">
        <v>650000</v>
      </c>
      <c r="F28" s="28"/>
    </row>
    <row r="29" spans="2:9" ht="15.75" x14ac:dyDescent="0.25">
      <c r="B29" s="28" t="s">
        <v>322</v>
      </c>
      <c r="C29" s="159">
        <f>C26-C27-C28</f>
        <v>1900000</v>
      </c>
      <c r="D29" s="28"/>
      <c r="E29" s="159">
        <f>E26-E27-E28</f>
        <v>400000</v>
      </c>
      <c r="F29" s="28"/>
    </row>
    <row r="30" spans="2:9" ht="15.75" x14ac:dyDescent="0.25">
      <c r="B30" s="28" t="s">
        <v>323</v>
      </c>
      <c r="C30" s="160">
        <v>0.3</v>
      </c>
      <c r="D30" s="28"/>
      <c r="E30" s="160">
        <v>0.3</v>
      </c>
      <c r="F30" s="28"/>
    </row>
    <row r="31" spans="2:9" ht="15.75" x14ac:dyDescent="0.25">
      <c r="B31" s="28" t="s">
        <v>324</v>
      </c>
      <c r="C31" s="159">
        <f>IFERROR(ROUND(C29*C30,0),0)</f>
        <v>570000</v>
      </c>
      <c r="D31" s="28"/>
      <c r="E31" s="159">
        <f>IFERROR(ROUND(E29*E30,0),0)</f>
        <v>120000</v>
      </c>
      <c r="F31" s="28"/>
    </row>
    <row r="32" spans="2:9" ht="15.75" x14ac:dyDescent="0.25">
      <c r="B32" s="26" t="s">
        <v>325</v>
      </c>
      <c r="C32" s="159">
        <f>C17</f>
        <v>215383</v>
      </c>
      <c r="D32" s="28"/>
      <c r="E32" s="159">
        <f>IF(E31&gt;=C17,C17,E31)</f>
        <v>120000</v>
      </c>
    </row>
    <row r="33" spans="2:5" ht="15.75" x14ac:dyDescent="0.25">
      <c r="B33" s="26" t="s">
        <v>326</v>
      </c>
      <c r="C33" s="101">
        <v>56000</v>
      </c>
      <c r="D33" s="28"/>
      <c r="E33" s="101">
        <v>56000</v>
      </c>
    </row>
    <row r="34" spans="2:5" ht="15.75" x14ac:dyDescent="0.25">
      <c r="B34" s="26" t="s">
        <v>327</v>
      </c>
      <c r="C34" s="101">
        <v>2000</v>
      </c>
      <c r="D34" s="28"/>
      <c r="E34" s="101">
        <v>2000</v>
      </c>
    </row>
    <row r="35" spans="2:5" ht="15.75" x14ac:dyDescent="0.25">
      <c r="B35" s="26" t="s">
        <v>330</v>
      </c>
      <c r="C35" s="159">
        <f>IFERROR(C31-C32-C33-C34,0)</f>
        <v>296617</v>
      </c>
      <c r="D35" s="159"/>
      <c r="E35" s="159">
        <f>IFERROR(E31-E32-E33-E34,0)</f>
        <v>-58000</v>
      </c>
    </row>
    <row r="38" spans="2:5" ht="15.75" x14ac:dyDescent="0.25">
      <c r="C38" s="28"/>
      <c r="D38" s="28"/>
      <c r="E38" s="28"/>
    </row>
    <row r="39" spans="2:5" ht="15.75" x14ac:dyDescent="0.25">
      <c r="B39" s="186" t="s">
        <v>378</v>
      </c>
      <c r="C39" s="187">
        <v>2024</v>
      </c>
      <c r="E39" s="28"/>
    </row>
    <row r="40" spans="2:5" ht="15.75" x14ac:dyDescent="0.25">
      <c r="B40" s="186" t="s">
        <v>383</v>
      </c>
      <c r="C40" s="83">
        <f>C17</f>
        <v>215383</v>
      </c>
      <c r="E40" s="28"/>
    </row>
    <row r="41" spans="2:5" ht="15.75" x14ac:dyDescent="0.25">
      <c r="E41" s="28"/>
    </row>
    <row r="42" spans="2:5" ht="15.75" x14ac:dyDescent="0.25">
      <c r="E42" s="28"/>
    </row>
    <row r="43" spans="2:5" ht="30" x14ac:dyDescent="0.25">
      <c r="B43" s="189" t="s">
        <v>379</v>
      </c>
      <c r="C43" s="188" t="s">
        <v>380</v>
      </c>
      <c r="D43" s="188" t="s">
        <v>332</v>
      </c>
      <c r="E43" s="28"/>
    </row>
    <row r="44" spans="2:5" ht="15.75" x14ac:dyDescent="0.25">
      <c r="B44" s="26" t="str">
        <f>IF(AND(C39&lt;&gt;"",C40&lt;&gt;""),"ISR del ejercico "&amp;$C$39,"")</f>
        <v>ISR del ejercico 2024</v>
      </c>
      <c r="C44" s="116"/>
      <c r="D44" s="116">
        <f>IFERROR(IF(C40&lt;&gt;"",C40-C44,""),"")</f>
        <v>215383</v>
      </c>
      <c r="E44" s="28"/>
    </row>
    <row r="45" spans="2:5" ht="15.75" x14ac:dyDescent="0.25">
      <c r="B45" s="26" t="str">
        <f>IF(AND($C$39&lt;&gt;"",D44&gt;0,D44&lt;&gt;""),"Pago provisional de "&amp;TEXT(DATE($C$94,ROW(A1),1),"mmmm") &amp;" " &amp;$C$39+1,"")</f>
        <v>Pago provisional de enero 2025</v>
      </c>
      <c r="C45" s="116"/>
      <c r="D45" s="116">
        <f>IFERROR(IF(AND(B45&lt;&gt;"",B44&lt;&gt;""),D44-C45,""),"")</f>
        <v>215383</v>
      </c>
      <c r="E45" s="28"/>
    </row>
    <row r="46" spans="2:5" ht="15.75" x14ac:dyDescent="0.25">
      <c r="B46" s="26" t="str">
        <f t="shared" ref="B46:B56" si="2">IF(AND($C$39&lt;&gt;"",D45&gt;0,D45&lt;&gt;""),"Pago provisional de "&amp;TEXT(DATE($C$94,ROW(A2),1),"mmmm") &amp;" " &amp;$C$39+1,"")</f>
        <v>Pago provisional de febrero 2025</v>
      </c>
      <c r="C46" s="116"/>
      <c r="D46" s="116">
        <f t="shared" ref="D46:D70" si="3">IFERROR(IF(AND(B46&lt;&gt;"",B45&lt;&gt;""),D45-C46,""),"")</f>
        <v>215383</v>
      </c>
      <c r="E46" s="28"/>
    </row>
    <row r="47" spans="2:5" ht="15.75" x14ac:dyDescent="0.25">
      <c r="B47" s="26" t="str">
        <f t="shared" si="2"/>
        <v>Pago provisional de marzo 2025</v>
      </c>
      <c r="C47" s="116"/>
      <c r="D47" s="116">
        <f t="shared" si="3"/>
        <v>215383</v>
      </c>
      <c r="E47" s="28"/>
    </row>
    <row r="48" spans="2:5" ht="15.75" x14ac:dyDescent="0.25">
      <c r="B48" s="26" t="str">
        <f t="shared" si="2"/>
        <v>Pago provisional de abril 2025</v>
      </c>
      <c r="C48" s="116"/>
      <c r="D48" s="116">
        <f t="shared" si="3"/>
        <v>215383</v>
      </c>
      <c r="E48" s="28"/>
    </row>
    <row r="49" spans="2:5" ht="15.75" x14ac:dyDescent="0.25">
      <c r="B49" s="26" t="str">
        <f t="shared" si="2"/>
        <v>Pago provisional de mayo 2025</v>
      </c>
      <c r="C49" s="116"/>
      <c r="D49" s="116">
        <f t="shared" si="3"/>
        <v>215383</v>
      </c>
      <c r="E49" s="28"/>
    </row>
    <row r="50" spans="2:5" ht="15.75" x14ac:dyDescent="0.25">
      <c r="B50" s="26" t="str">
        <f t="shared" si="2"/>
        <v>Pago provisional de junio 2025</v>
      </c>
      <c r="C50" s="116"/>
      <c r="D50" s="116">
        <f t="shared" si="3"/>
        <v>215383</v>
      </c>
      <c r="E50" s="28"/>
    </row>
    <row r="51" spans="2:5" ht="15.75" x14ac:dyDescent="0.25">
      <c r="B51" s="26" t="str">
        <f t="shared" si="2"/>
        <v>Pago provisional de julio 2025</v>
      </c>
      <c r="C51" s="116"/>
      <c r="D51" s="116">
        <f t="shared" si="3"/>
        <v>215383</v>
      </c>
      <c r="E51" s="28"/>
    </row>
    <row r="52" spans="2:5" ht="15.75" x14ac:dyDescent="0.25">
      <c r="B52" s="26" t="str">
        <f t="shared" si="2"/>
        <v>Pago provisional de agosto 2025</v>
      </c>
      <c r="C52" s="116"/>
      <c r="D52" s="116">
        <f t="shared" si="3"/>
        <v>215383</v>
      </c>
      <c r="E52" s="28"/>
    </row>
    <row r="53" spans="2:5" ht="15.75" x14ac:dyDescent="0.25">
      <c r="B53" s="26" t="str">
        <f t="shared" si="2"/>
        <v>Pago provisional de septiembre 2025</v>
      </c>
      <c r="C53" s="116"/>
      <c r="D53" s="116">
        <f t="shared" si="3"/>
        <v>215383</v>
      </c>
      <c r="E53" s="28"/>
    </row>
    <row r="54" spans="2:5" ht="15.75" x14ac:dyDescent="0.25">
      <c r="B54" s="26" t="str">
        <f t="shared" si="2"/>
        <v>Pago provisional de octubre 2025</v>
      </c>
      <c r="C54" s="116"/>
      <c r="D54" s="116">
        <f t="shared" si="3"/>
        <v>215383</v>
      </c>
      <c r="E54" s="28"/>
    </row>
    <row r="55" spans="2:5" ht="15.75" x14ac:dyDescent="0.25">
      <c r="B55" s="26" t="str">
        <f t="shared" si="2"/>
        <v>Pago provisional de noviembre 2025</v>
      </c>
      <c r="C55" s="116"/>
      <c r="D55" s="116">
        <f t="shared" si="3"/>
        <v>215383</v>
      </c>
      <c r="E55" s="28"/>
    </row>
    <row r="56" spans="2:5" ht="15.75" x14ac:dyDescent="0.25">
      <c r="B56" s="26" t="str">
        <f t="shared" si="2"/>
        <v>Pago provisional de diciembre 2025</v>
      </c>
      <c r="C56" s="116"/>
      <c r="D56" s="116">
        <f t="shared" si="3"/>
        <v>215383</v>
      </c>
      <c r="E56" s="28"/>
    </row>
    <row r="57" spans="2:5" x14ac:dyDescent="0.25">
      <c r="B57" s="26" t="str">
        <f>IF(AND($C$39&gt;0,D56&gt;0,D56&lt;&gt;""),"ISR ejercicio "&amp;$C$39+1,"")</f>
        <v>ISR ejercicio 2025</v>
      </c>
      <c r="C57" s="116"/>
      <c r="D57" s="116">
        <f t="shared" si="3"/>
        <v>215383</v>
      </c>
    </row>
    <row r="58" spans="2:5" x14ac:dyDescent="0.25">
      <c r="B58" s="26" t="str">
        <f>IF(AND($C$39&gt;0,D57&gt;0,D57&lt;&gt;""),"Pago provisional de "&amp;TEXT(DATE($C$94,ROW(A1),1),"mmmm") &amp;" " &amp;$C$39+2,"")</f>
        <v>Pago provisional de enero 2026</v>
      </c>
      <c r="C58" s="116"/>
      <c r="D58" s="116">
        <f t="shared" si="3"/>
        <v>215383</v>
      </c>
    </row>
    <row r="59" spans="2:5" x14ac:dyDescent="0.25">
      <c r="B59" s="26" t="str">
        <f t="shared" ref="B59:B69" si="4">IF(AND($C$39&gt;0,D58&gt;0,D58&lt;&gt;""),"Pago provisional de "&amp;TEXT(DATE($C$94,ROW(A2),1),"mmmm") &amp;" " &amp;$C$39+2,"")</f>
        <v>Pago provisional de febrero 2026</v>
      </c>
      <c r="C59" s="116"/>
      <c r="D59" s="116">
        <f t="shared" si="3"/>
        <v>215383</v>
      </c>
    </row>
    <row r="60" spans="2:5" x14ac:dyDescent="0.25">
      <c r="B60" s="26" t="str">
        <f t="shared" si="4"/>
        <v>Pago provisional de marzo 2026</v>
      </c>
      <c r="C60" s="116"/>
      <c r="D60" s="116">
        <f t="shared" si="3"/>
        <v>215383</v>
      </c>
    </row>
    <row r="61" spans="2:5" x14ac:dyDescent="0.25">
      <c r="B61" s="26" t="str">
        <f t="shared" si="4"/>
        <v>Pago provisional de abril 2026</v>
      </c>
      <c r="C61" s="116"/>
      <c r="D61" s="116">
        <f t="shared" si="3"/>
        <v>215383</v>
      </c>
    </row>
    <row r="62" spans="2:5" x14ac:dyDescent="0.25">
      <c r="B62" s="26" t="str">
        <f t="shared" si="4"/>
        <v>Pago provisional de mayo 2026</v>
      </c>
      <c r="C62" s="116"/>
      <c r="D62" s="116">
        <f t="shared" si="3"/>
        <v>215383</v>
      </c>
    </row>
    <row r="63" spans="2:5" x14ac:dyDescent="0.25">
      <c r="B63" s="26" t="str">
        <f t="shared" si="4"/>
        <v>Pago provisional de junio 2026</v>
      </c>
      <c r="C63" s="116"/>
      <c r="D63" s="116">
        <f t="shared" si="3"/>
        <v>215383</v>
      </c>
    </row>
    <row r="64" spans="2:5" x14ac:dyDescent="0.25">
      <c r="B64" s="26" t="str">
        <f t="shared" si="4"/>
        <v>Pago provisional de julio 2026</v>
      </c>
      <c r="C64" s="116"/>
      <c r="D64" s="116">
        <f t="shared" si="3"/>
        <v>215383</v>
      </c>
    </row>
    <row r="65" spans="2:4" x14ac:dyDescent="0.25">
      <c r="B65" s="26" t="str">
        <f t="shared" si="4"/>
        <v>Pago provisional de agosto 2026</v>
      </c>
      <c r="C65" s="116"/>
      <c r="D65" s="116">
        <f t="shared" si="3"/>
        <v>215383</v>
      </c>
    </row>
    <row r="66" spans="2:4" x14ac:dyDescent="0.25">
      <c r="B66" s="26" t="str">
        <f t="shared" si="4"/>
        <v>Pago provisional de septiembre 2026</v>
      </c>
      <c r="C66" s="116"/>
      <c r="D66" s="116">
        <f t="shared" si="3"/>
        <v>215383</v>
      </c>
    </row>
    <row r="67" spans="2:4" x14ac:dyDescent="0.25">
      <c r="B67" s="26" t="str">
        <f t="shared" si="4"/>
        <v>Pago provisional de octubre 2026</v>
      </c>
      <c r="C67" s="116"/>
      <c r="D67" s="116">
        <f t="shared" si="3"/>
        <v>215383</v>
      </c>
    </row>
    <row r="68" spans="2:4" x14ac:dyDescent="0.25">
      <c r="B68" s="26" t="str">
        <f t="shared" si="4"/>
        <v>Pago provisional de noviembre 2026</v>
      </c>
      <c r="C68" s="116"/>
      <c r="D68" s="116">
        <f t="shared" si="3"/>
        <v>215383</v>
      </c>
    </row>
    <row r="69" spans="2:4" x14ac:dyDescent="0.25">
      <c r="B69" s="26" t="str">
        <f t="shared" si="4"/>
        <v>Pago provisional de diciembre 2026</v>
      </c>
      <c r="C69" s="116"/>
      <c r="D69" s="116">
        <f t="shared" si="3"/>
        <v>215383</v>
      </c>
    </row>
    <row r="70" spans="2:4" x14ac:dyDescent="0.25">
      <c r="B70" s="26" t="str">
        <f>IF(AND($C$39&gt;0,D69&gt;0,D69&lt;&gt;""),"ISR ejercicio " &amp;$C$39+2,"")</f>
        <v>ISR ejercicio 2026</v>
      </c>
      <c r="C70" s="116"/>
      <c r="D70" s="116">
        <f t="shared" si="3"/>
        <v>215383</v>
      </c>
    </row>
  </sheetData>
  <sheetProtection algorithmName="SHA-512" hashValue="Oin08rv39ULI0ndpc/CbIc2hhL+YaDzX53NyU7ZjIVAoYLwj1ibITt9PVSWtnVgb4H4KFoJwHPUZiu2l/lVzCw==" saltValue="lXuDrAul4q5hg0VLTwBazg==" spinCount="100000" sheet="1" objects="1" scenarios="1" formatCells="0" formatColumns="0" formatRows="0" insertColumns="0" insertRows="0" insertHyperlinks="0" deleteColumns="0" deleteRows="0" selectLockedCells="1" sort="0" autoFilter="0"/>
  <mergeCells count="2">
    <mergeCell ref="D17:H17"/>
    <mergeCell ref="B19:I19"/>
  </mergeCells>
  <phoneticPr fontId="4" type="noConversion"/>
  <conditionalFormatting sqref="C44">
    <cfRule type="expression" dxfId="28" priority="2">
      <formula>IF($B$44&lt;&gt;"",1,0)</formula>
    </cfRule>
  </conditionalFormatting>
  <conditionalFormatting sqref="C45:C70">
    <cfRule type="expression" dxfId="27" priority="4">
      <formula>IF(B45&lt;&gt;"",1,0)</formula>
    </cfRule>
  </conditionalFormatting>
  <conditionalFormatting sqref="D44:D70">
    <cfRule type="expression" dxfId="25" priority="1">
      <formula>IF(B44&lt;&gt;"",1,0)</formula>
    </cfRule>
  </conditionalFormatting>
  <hyperlinks>
    <hyperlink ref="B6" location="FUNDAMENTO!B6" display="Capital social" xr:uid="{ED5D0FB9-C612-4D5C-9473-2A8E39038516}"/>
    <hyperlink ref="B9" location="FUNDAMENTO!B15" display="Dividendos a repartir" xr:uid="{310F014F-7111-47D6-ADD2-4D548308EBB8}"/>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75EAAC28-F7FA-4781-972D-9E0B469259A7}">
            <xm:f>IF(PORTADA!$C$14=5412365,1,0)</xm:f>
            <x14:dxf>
              <font>
                <color theme="1"/>
              </font>
            </x14:dxf>
          </x14:cfRule>
          <xm:sqref>C8:E9 B13:C16 D17:H17 B19:I19</xm:sqref>
        </x14:conditionalFormatting>
        <x14:conditionalFormatting xmlns:xm="http://schemas.microsoft.com/office/excel/2006/main">
          <x14:cfRule type="expression" priority="5" id="{D25EF5AC-CE47-42F5-A3D7-B0A6B4CAE768}">
            <xm:f>IF(PORTADA!$C$14=5412365,1,0)</xm:f>
            <x14:dxf>
              <font>
                <b/>
                <i/>
                <color theme="1"/>
              </font>
              <fill>
                <gradientFill degree="270">
                  <stop position="0">
                    <color rgb="FFC00000"/>
                  </stop>
                  <stop position="1">
                    <color rgb="FFFFFF00"/>
                  </stop>
                </gradientFill>
              </fill>
            </x14:dxf>
          </x14:cfRule>
          <xm:sqref>F2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2575-F8C6-4B51-9F6A-381832980DC6}">
  <sheetPr codeName="Hoja7"/>
  <dimension ref="A2:F34"/>
  <sheetViews>
    <sheetView showGridLines="0" zoomScale="130" zoomScaleNormal="130" workbookViewId="0">
      <selection activeCell="B10" sqref="B10"/>
    </sheetView>
  </sheetViews>
  <sheetFormatPr baseColWidth="10" defaultRowHeight="15" x14ac:dyDescent="0.25"/>
  <cols>
    <col min="1" max="1" width="5" style="26" customWidth="1"/>
    <col min="2" max="2" width="79.28515625" style="26" bestFit="1" customWidth="1"/>
    <col min="3" max="3" width="15.5703125" style="26" customWidth="1"/>
    <col min="4" max="4" width="16.5703125" style="26" customWidth="1"/>
    <col min="5" max="5" width="20.7109375" style="26" customWidth="1"/>
    <col min="6" max="6" width="17.85546875" style="26" customWidth="1"/>
    <col min="7" max="16384" width="11.42578125" style="26"/>
  </cols>
  <sheetData>
    <row r="2" spans="1:3" ht="19.5" x14ac:dyDescent="0.3">
      <c r="C2" s="58" t="str">
        <f>IF(PORTADA!$C$14=5412365,HYPERLINK("#MENU!C9","Menú"),"")</f>
        <v>Menú</v>
      </c>
    </row>
    <row r="6" spans="1:3" x14ac:dyDescent="0.25">
      <c r="B6" s="80" t="s">
        <v>84</v>
      </c>
    </row>
    <row r="7" spans="1:3" ht="15.75" x14ac:dyDescent="0.25">
      <c r="B7" s="81" t="s">
        <v>85</v>
      </c>
      <c r="C7" s="82">
        <f>CALCULOS!D10</f>
        <v>335000</v>
      </c>
    </row>
    <row r="8" spans="1:3" x14ac:dyDescent="0.25">
      <c r="B8" s="26" t="s">
        <v>86</v>
      </c>
      <c r="C8" s="86">
        <f>UTILIDAD!D11</f>
        <v>126000</v>
      </c>
    </row>
    <row r="9" spans="1:3" x14ac:dyDescent="0.25">
      <c r="B9" s="84" t="s">
        <v>181</v>
      </c>
      <c r="C9" s="83">
        <v>12600</v>
      </c>
    </row>
    <row r="10" spans="1:3" x14ac:dyDescent="0.25">
      <c r="A10" s="85" t="s">
        <v>208</v>
      </c>
      <c r="B10" s="84" t="s">
        <v>87</v>
      </c>
      <c r="C10" s="86">
        <f>CALCULOS!F23</f>
        <v>0</v>
      </c>
    </row>
    <row r="11" spans="1:3" x14ac:dyDescent="0.25">
      <c r="B11" s="26" t="s">
        <v>89</v>
      </c>
      <c r="C11" s="87"/>
    </row>
    <row r="12" spans="1:3" x14ac:dyDescent="0.25">
      <c r="B12" s="84" t="s">
        <v>90</v>
      </c>
      <c r="C12" s="87"/>
    </row>
    <row r="13" spans="1:3" x14ac:dyDescent="0.25">
      <c r="B13" s="26" t="str">
        <f>IF((C7-C8-C9-C10-C11)&gt;=0,"(=) UFIN del ejercicio",HYPERLINK("#CALCULOS!B52","(-) Diferencia a disminuir de saldo de CUFIN del ejercicio"))</f>
        <v>(=) UFIN del ejercicio</v>
      </c>
      <c r="C13" s="82">
        <f>IFERROR(C7-C8-C9-C10-C11-C12,0)</f>
        <v>196400</v>
      </c>
    </row>
    <row r="16" spans="1:3" x14ac:dyDescent="0.25">
      <c r="B16" s="80" t="s">
        <v>92</v>
      </c>
    </row>
    <row r="17" spans="2:6" x14ac:dyDescent="0.25">
      <c r="B17" s="54" t="s">
        <v>213</v>
      </c>
      <c r="C17" s="83">
        <v>1580000</v>
      </c>
    </row>
    <row r="18" spans="2:6" x14ac:dyDescent="0.25">
      <c r="B18" s="54" t="s">
        <v>93</v>
      </c>
      <c r="C18" s="86">
        <f>IFERROR(IF(C13&gt;0,C13,0),0)</f>
        <v>196400</v>
      </c>
    </row>
    <row r="19" spans="2:6" x14ac:dyDescent="0.25">
      <c r="B19" s="54" t="s">
        <v>94</v>
      </c>
      <c r="C19" s="83"/>
    </row>
    <row r="20" spans="2:6" x14ac:dyDescent="0.25">
      <c r="B20" s="54" t="s">
        <v>95</v>
      </c>
      <c r="C20" s="83"/>
    </row>
    <row r="21" spans="2:6" x14ac:dyDescent="0.25">
      <c r="B21" s="54" t="s">
        <v>96</v>
      </c>
      <c r="C21" s="83"/>
    </row>
    <row r="22" spans="2:6" x14ac:dyDescent="0.25">
      <c r="B22" s="54" t="s">
        <v>97</v>
      </c>
      <c r="C22" s="83"/>
    </row>
    <row r="23" spans="2:6" x14ac:dyDescent="0.25">
      <c r="B23" s="54" t="s">
        <v>91</v>
      </c>
      <c r="C23" s="86">
        <f>IFERROR(IF(C13&lt;0,C13*-1,0),0)</f>
        <v>0</v>
      </c>
    </row>
    <row r="24" spans="2:6" x14ac:dyDescent="0.25">
      <c r="B24" s="54" t="s">
        <v>98</v>
      </c>
      <c r="C24" s="82">
        <f>IFERROR(C17+C18+C19+C20-C21-C22-IF(C13&lt;0,C23,0),0)</f>
        <v>1776400</v>
      </c>
    </row>
    <row r="25" spans="2:6" x14ac:dyDescent="0.25">
      <c r="C25" s="88"/>
    </row>
    <row r="26" spans="2:6" ht="36.75" customHeight="1" x14ac:dyDescent="0.25">
      <c r="D26" s="88"/>
      <c r="E26" s="89" t="s">
        <v>215</v>
      </c>
      <c r="F26" s="90" t="s">
        <v>45</v>
      </c>
    </row>
    <row r="27" spans="2:6" x14ac:dyDescent="0.25">
      <c r="B27" s="303" t="s">
        <v>214</v>
      </c>
      <c r="C27" s="303"/>
      <c r="D27" s="88">
        <f>IFERROR(C24+C23-C18,0)</f>
        <v>1580000</v>
      </c>
      <c r="E27" s="91">
        <v>44926</v>
      </c>
      <c r="F27" s="91">
        <v>45291</v>
      </c>
    </row>
    <row r="28" spans="2:6" x14ac:dyDescent="0.25">
      <c r="B28" s="303" t="s">
        <v>99</v>
      </c>
      <c r="C28" s="303"/>
      <c r="D28" s="26">
        <f>IFERROR(IF((C29/C30)&lt;1,1,ROUND(C29/C30,4)),"")</f>
        <v>1.0466</v>
      </c>
    </row>
    <row r="29" spans="2:6" x14ac:dyDescent="0.25">
      <c r="B29" s="92" t="str">
        <f>"INPC de "&amp;IF(F27&lt;&gt;"",TEXT(F27,"mmmm"),"") &amp; " "&amp;IF(F27&lt;&gt;"",YEAR(F27),"")</f>
        <v>INPC de diciembre 2023</v>
      </c>
      <c r="C29" s="93">
        <f>IFERROR(INDEX(TINPC,MATCH(YEAR(F27),INPCA,0),MATCH(TEXT(F27,"MMMM"),INPCM,0)),"")</f>
        <v>132.37299999999999</v>
      </c>
    </row>
    <row r="30" spans="2:6" x14ac:dyDescent="0.25">
      <c r="B30" s="92" t="str">
        <f>"(/) INPC de "&amp;IF(E27&lt;&gt;"",TEXT(E27,"mmmm"),"") &amp; " "&amp;IF(E27&lt;&gt;"",YEAR(E27),"")</f>
        <v>(/) INPC de diciembre 2022</v>
      </c>
      <c r="C30" s="94">
        <f>IFERROR(INDEX(TINPC,MATCH(YEAR(E27),INPCA,0),MATCH(TEXT(E27,"MMMM"),INPCM,0)),"")</f>
        <v>126.47799999999999</v>
      </c>
    </row>
    <row r="31" spans="2:6" x14ac:dyDescent="0.25">
      <c r="B31" s="302" t="s">
        <v>100</v>
      </c>
      <c r="C31" s="302"/>
      <c r="D31" s="57">
        <f>IFERROR(ROUND(D27*D28,2),0)</f>
        <v>1653628</v>
      </c>
    </row>
    <row r="32" spans="2:6" x14ac:dyDescent="0.25">
      <c r="B32" s="26" t="s">
        <v>334</v>
      </c>
    </row>
    <row r="33" spans="2:4" x14ac:dyDescent="0.25">
      <c r="B33" s="26" t="s">
        <v>335</v>
      </c>
    </row>
    <row r="34" spans="2:4" x14ac:dyDescent="0.25">
      <c r="B34" s="162" t="s">
        <v>100</v>
      </c>
      <c r="C34" s="163"/>
      <c r="D34" s="164">
        <f>D31+C18-C23</f>
        <v>1850028</v>
      </c>
    </row>
  </sheetData>
  <sheetProtection algorithmName="SHA-512" hashValue="tBmblPE3CHnFhlNXzoDVQwnOhGKS8lRy9Q1RbB2WGZQQ6dbzPdGTDjABhXSQxrX9oWIzOpDbXTste+JtOY5k4Q==" saltValue="VFVKkbpzNH1D7h3qM/hsaA==" spinCount="100000" sheet="1" objects="1" scenarios="1" formatCells="0" formatColumns="0" formatRows="0" insertColumns="0" insertRows="0" insertHyperlinks="0" deleteColumns="0" deleteRows="0" selectLockedCells="1" sort="0" autoFilter="0"/>
  <mergeCells count="3">
    <mergeCell ref="B31:C31"/>
    <mergeCell ref="B27:C27"/>
    <mergeCell ref="B28:C28"/>
  </mergeCells>
  <conditionalFormatting sqref="B13">
    <cfRule type="cellIs" dxfId="23" priority="5" operator="equal">
      <formula>"(-) Diferencia a disminuir de saldo de CUFIN de ejercicios anteriores actualizado"</formula>
    </cfRule>
  </conditionalFormatting>
  <conditionalFormatting sqref="C18">
    <cfRule type="expression" dxfId="20" priority="3">
      <formula>IF($C$13&lt;0,1,0)</formula>
    </cfRule>
  </conditionalFormatting>
  <conditionalFormatting sqref="C23">
    <cfRule type="expression" dxfId="19" priority="4">
      <formula>IF($C$13&gt;0,1,0)</formula>
    </cfRule>
  </conditionalFormatting>
  <hyperlinks>
    <hyperlink ref="B7" location="CALCULOS!C10" display="Resultado fiscal del ejercicio" xr:uid="{0D82BA8D-FA78-4BB9-B0D9-6937996A09C6}"/>
    <hyperlink ref="B9" location="NODEDUCE!B4" display="(-) Importe de las partidas no deducibles (artículo 28 LISR excepto, fracciones VIII y IX )" xr:uid="{4AD7255E-D1B3-4E03-8038-58F6ED241E39}"/>
    <hyperlink ref="B10" location="CALCULOS!C14" display="(-) Monto a restar de la utilidad fiscal neta" xr:uid="{213A3FC2-AA29-404A-802D-4687A484F0C4}"/>
    <hyperlink ref="B12" location="CALCULOS!B52" display="(-) Diferencia a disminuir de saldo de CUFIN de ejercicios anteriores actualizado" xr:uid="{36E3D718-7D0B-477C-BA0B-35968731E1F4}"/>
    <hyperlink ref="A10" location="CALCULOS!A14" display="❸" xr:uid="{4E0E7B39-CD82-485F-90BD-63B87C40E0D7}"/>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334E69EE-23CC-478A-9D70-3D6C6AD7F9B3}">
            <xm:f>IF(PORTADA!$C$14=5412365,1,0)</xm:f>
            <x14:dxf>
              <font>
                <color theme="1"/>
              </font>
            </x14:dxf>
          </x14:cfRule>
          <xm:sqref>B17:B24 B27:C30</xm:sqref>
        </x14:conditionalFormatting>
        <x14:conditionalFormatting xmlns:xm="http://schemas.microsoft.com/office/excel/2006/main">
          <x14:cfRule type="expression" priority="1" id="{B60004EF-DAA8-4911-AFCA-39953BAA8389}">
            <xm:f>IF(PORTADA!$C$14=5412365,1,0)</xm:f>
            <x14:dxf>
              <font>
                <b/>
                <i/>
                <color theme="1"/>
              </font>
              <fill>
                <gradientFill degree="270">
                  <stop position="0">
                    <color rgb="FFC00000"/>
                  </stop>
                  <stop position="1">
                    <color rgb="FFFFFF00"/>
                  </stop>
                </gradientFill>
              </fill>
            </x14:dxf>
          </x14:cfRule>
          <xm:sqref>C2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0FAB7-45D3-4724-BA7E-70DAC4B57464}">
  <sheetPr codeName="Hoja8"/>
  <dimension ref="A2:I59"/>
  <sheetViews>
    <sheetView showGridLines="0" zoomScale="120" zoomScaleNormal="120" workbookViewId="0">
      <selection activeCell="E2" sqref="E2"/>
    </sheetView>
  </sheetViews>
  <sheetFormatPr baseColWidth="10" defaultRowHeight="15" x14ac:dyDescent="0.25"/>
  <cols>
    <col min="1" max="1" width="3.85546875" customWidth="1"/>
    <col min="2" max="2" width="7.5703125" customWidth="1"/>
    <col min="3" max="3" width="49.85546875" customWidth="1"/>
    <col min="4" max="4" width="16.5703125" customWidth="1"/>
    <col min="5" max="5" width="22.42578125" customWidth="1"/>
    <col min="6" max="6" width="16.42578125" customWidth="1"/>
    <col min="7" max="7" width="18.28515625" customWidth="1"/>
  </cols>
  <sheetData>
    <row r="2" spans="1:7" ht="18.75" x14ac:dyDescent="0.3">
      <c r="E2" s="165" t="s">
        <v>333</v>
      </c>
    </row>
    <row r="4" spans="1:7" ht="15.75" x14ac:dyDescent="0.25">
      <c r="C4" s="5" t="s">
        <v>101</v>
      </c>
    </row>
    <row r="5" spans="1:7" ht="5.25" customHeight="1" x14ac:dyDescent="0.25"/>
    <row r="6" spans="1:7" ht="15.75" x14ac:dyDescent="0.25">
      <c r="C6" s="24" t="s">
        <v>103</v>
      </c>
      <c r="D6" s="23">
        <f>UTILIDAD!D7</f>
        <v>2000000</v>
      </c>
      <c r="E6" s="4"/>
    </row>
    <row r="7" spans="1:7" ht="15.75" x14ac:dyDescent="0.25">
      <c r="C7" s="24" t="s">
        <v>53</v>
      </c>
      <c r="D7" s="23">
        <f>UTILIDAD!D9</f>
        <v>1580000</v>
      </c>
      <c r="E7" s="4"/>
    </row>
    <row r="8" spans="1:7" ht="15.75" x14ac:dyDescent="0.25">
      <c r="C8" s="4" t="s">
        <v>104</v>
      </c>
      <c r="D8" s="9">
        <v>50000</v>
      </c>
      <c r="E8" s="4"/>
    </row>
    <row r="9" spans="1:7" ht="15.75" x14ac:dyDescent="0.25">
      <c r="C9" s="4" t="s">
        <v>105</v>
      </c>
      <c r="D9" s="9">
        <v>35000</v>
      </c>
      <c r="E9" s="4"/>
    </row>
    <row r="10" spans="1:7" ht="15.75" x14ac:dyDescent="0.25">
      <c r="C10" s="8" t="s">
        <v>106</v>
      </c>
      <c r="D10" s="6">
        <f>IFERROR(IF(D6&gt;=SUM(D7:D9),D6-SUM(D7:D9),0),0)</f>
        <v>335000</v>
      </c>
      <c r="E10" s="4"/>
    </row>
    <row r="11" spans="1:7" ht="15.75" x14ac:dyDescent="0.25">
      <c r="C11" s="4"/>
      <c r="D11" s="4"/>
      <c r="E11" s="4"/>
    </row>
    <row r="12" spans="1:7" ht="15.75" x14ac:dyDescent="0.25">
      <c r="C12" s="4"/>
      <c r="D12" s="4"/>
      <c r="E12" s="4"/>
    </row>
    <row r="13" spans="1:7" ht="15.75" x14ac:dyDescent="0.25">
      <c r="C13" s="4"/>
      <c r="D13" s="4"/>
      <c r="E13" s="4"/>
    </row>
    <row r="14" spans="1:7" ht="129" customHeight="1" x14ac:dyDescent="0.25">
      <c r="A14" s="74" t="s">
        <v>208</v>
      </c>
      <c r="C14" s="305" t="s">
        <v>314</v>
      </c>
      <c r="D14" s="306"/>
      <c r="E14" s="306"/>
      <c r="F14" s="306"/>
      <c r="G14" s="306"/>
    </row>
    <row r="15" spans="1:7" ht="15.75" x14ac:dyDescent="0.25">
      <c r="C15" s="4"/>
      <c r="D15" s="4"/>
      <c r="E15" s="4"/>
    </row>
    <row r="16" spans="1:7" ht="22.5" customHeight="1" x14ac:dyDescent="0.25">
      <c r="C16" s="4" t="s">
        <v>189</v>
      </c>
      <c r="D16" s="4"/>
      <c r="E16" s="4"/>
    </row>
    <row r="17" spans="1:8" ht="15.75" x14ac:dyDescent="0.25">
      <c r="C17" s="4"/>
      <c r="D17" s="4"/>
      <c r="E17" s="4"/>
    </row>
    <row r="18" spans="1:8" ht="48" customHeight="1" x14ac:dyDescent="0.25">
      <c r="B18" s="13" t="s">
        <v>190</v>
      </c>
      <c r="C18" s="307" t="s">
        <v>182</v>
      </c>
      <c r="D18" s="307"/>
      <c r="E18" s="307"/>
      <c r="F18" s="14"/>
    </row>
    <row r="19" spans="1:8" ht="33.75" customHeight="1" x14ac:dyDescent="0.25">
      <c r="A19" s="76" t="s">
        <v>88</v>
      </c>
      <c r="B19" s="13" t="s">
        <v>191</v>
      </c>
      <c r="C19" s="307" t="s">
        <v>183</v>
      </c>
      <c r="D19" s="307"/>
      <c r="E19" s="307"/>
      <c r="F19" s="16">
        <f>F34</f>
        <v>0</v>
      </c>
    </row>
    <row r="20" spans="1:8" ht="31.5" customHeight="1" x14ac:dyDescent="0.25">
      <c r="A20" s="78" t="s">
        <v>199</v>
      </c>
      <c r="B20" s="13" t="s">
        <v>204</v>
      </c>
      <c r="C20" s="308" t="s">
        <v>184</v>
      </c>
      <c r="D20" s="308"/>
      <c r="E20" s="308"/>
      <c r="F20" s="17">
        <f>F46</f>
        <v>0</v>
      </c>
    </row>
    <row r="21" spans="1:8" ht="48" customHeight="1" x14ac:dyDescent="0.25">
      <c r="B21" s="13" t="s">
        <v>192</v>
      </c>
      <c r="C21" s="308" t="s">
        <v>185</v>
      </c>
      <c r="D21" s="308"/>
      <c r="E21" s="308"/>
      <c r="F21" s="14"/>
    </row>
    <row r="22" spans="1:8" ht="43.5" customHeight="1" x14ac:dyDescent="0.25">
      <c r="B22" s="13" t="s">
        <v>193</v>
      </c>
      <c r="C22" s="308" t="s">
        <v>186</v>
      </c>
      <c r="D22" s="308"/>
      <c r="E22" s="308"/>
      <c r="F22" s="14"/>
    </row>
    <row r="23" spans="1:8" ht="15.75" x14ac:dyDescent="0.25">
      <c r="A23" s="75" t="s">
        <v>208</v>
      </c>
      <c r="B23" s="13" t="s">
        <v>188</v>
      </c>
      <c r="C23" s="309" t="s">
        <v>187</v>
      </c>
      <c r="D23" s="310"/>
      <c r="E23" s="310"/>
      <c r="F23" s="11">
        <f>IFERROR((F18+F19+F20)-F21-F22,0)</f>
        <v>0</v>
      </c>
    </row>
    <row r="26" spans="1:8" ht="202.5" customHeight="1" x14ac:dyDescent="0.25">
      <c r="A26" s="76" t="s">
        <v>88</v>
      </c>
      <c r="B26" s="307" t="s">
        <v>304</v>
      </c>
      <c r="C26" s="308"/>
      <c r="D26" s="308"/>
      <c r="E26" s="308"/>
      <c r="F26" s="308"/>
      <c r="G26" s="308"/>
      <c r="H26" s="308"/>
    </row>
    <row r="31" spans="1:8" ht="50.25" customHeight="1" x14ac:dyDescent="0.25">
      <c r="B31" s="13" t="s">
        <v>190</v>
      </c>
      <c r="C31" s="308" t="s">
        <v>182</v>
      </c>
      <c r="D31" s="308"/>
      <c r="E31" s="308"/>
      <c r="F31" s="14"/>
    </row>
    <row r="32" spans="1:8" ht="45.75" customHeight="1" x14ac:dyDescent="0.25">
      <c r="B32" s="13" t="s">
        <v>197</v>
      </c>
      <c r="C32" s="308" t="s">
        <v>194</v>
      </c>
      <c r="D32" s="308"/>
      <c r="E32" s="308"/>
      <c r="F32" s="7"/>
    </row>
    <row r="33" spans="1:8" ht="29.25" customHeight="1" x14ac:dyDescent="0.25">
      <c r="B33" s="13" t="s">
        <v>198</v>
      </c>
      <c r="C33" s="308" t="s">
        <v>195</v>
      </c>
      <c r="D33" s="308"/>
      <c r="E33" s="308"/>
      <c r="F33" s="7"/>
    </row>
    <row r="34" spans="1:8" ht="47.25" customHeight="1" x14ac:dyDescent="0.25">
      <c r="A34" s="77" t="s">
        <v>88</v>
      </c>
      <c r="B34" s="13" t="s">
        <v>191</v>
      </c>
      <c r="C34" s="304" t="s">
        <v>196</v>
      </c>
      <c r="D34" s="304"/>
      <c r="E34" s="304"/>
      <c r="F34" s="15">
        <f>IFERROR((F31/F32)*F33,0)</f>
        <v>0</v>
      </c>
    </row>
    <row r="36" spans="1:8" ht="138" customHeight="1" x14ac:dyDescent="0.25">
      <c r="A36" s="79" t="s">
        <v>199</v>
      </c>
      <c r="B36" s="307" t="s">
        <v>305</v>
      </c>
      <c r="C36" s="308"/>
      <c r="D36" s="308"/>
      <c r="E36" s="308"/>
      <c r="F36" s="308"/>
      <c r="G36" s="308"/>
      <c r="H36" s="308"/>
    </row>
    <row r="41" spans="1:8" ht="47.25" customHeight="1" x14ac:dyDescent="0.25">
      <c r="B41" s="13" t="s">
        <v>190</v>
      </c>
      <c r="C41" s="308" t="s">
        <v>182</v>
      </c>
      <c r="D41" s="308"/>
      <c r="E41" s="308"/>
      <c r="F41" s="14"/>
    </row>
    <row r="42" spans="1:8" ht="48.75" customHeight="1" x14ac:dyDescent="0.25">
      <c r="B42" s="13" t="s">
        <v>197</v>
      </c>
      <c r="C42" s="308" t="s">
        <v>194</v>
      </c>
      <c r="D42" s="308"/>
      <c r="E42" s="308"/>
      <c r="F42" s="14"/>
    </row>
    <row r="43" spans="1:8" ht="60" customHeight="1" x14ac:dyDescent="0.25">
      <c r="B43" s="13" t="s">
        <v>205</v>
      </c>
      <c r="C43" s="308" t="s">
        <v>201</v>
      </c>
      <c r="D43" s="308"/>
      <c r="E43" s="308"/>
      <c r="F43" s="14"/>
    </row>
    <row r="44" spans="1:8" ht="63.75" customHeight="1" x14ac:dyDescent="0.25">
      <c r="B44" s="13" t="s">
        <v>206</v>
      </c>
      <c r="C44" s="312" t="s">
        <v>202</v>
      </c>
      <c r="D44" s="312"/>
      <c r="E44" s="312"/>
      <c r="F44" s="14"/>
    </row>
    <row r="45" spans="1:8" ht="47.25" customHeight="1" x14ac:dyDescent="0.25">
      <c r="B45" s="13" t="s">
        <v>207</v>
      </c>
      <c r="C45" s="308" t="s">
        <v>203</v>
      </c>
      <c r="D45" s="308"/>
      <c r="E45" s="308"/>
      <c r="F45" s="14"/>
    </row>
    <row r="46" spans="1:8" ht="62.25" customHeight="1" x14ac:dyDescent="0.25">
      <c r="A46" s="12" t="s">
        <v>199</v>
      </c>
      <c r="B46" s="13" t="s">
        <v>204</v>
      </c>
      <c r="C46" s="313" t="s">
        <v>200</v>
      </c>
      <c r="D46" s="313"/>
      <c r="E46" s="313"/>
      <c r="F46" s="18">
        <f>IFERROR(((F41/F42)*(F43/F44))*F45,0)</f>
        <v>0</v>
      </c>
    </row>
    <row r="49" spans="1:9" x14ac:dyDescent="0.25">
      <c r="A49" s="19"/>
      <c r="B49" s="19"/>
      <c r="C49" s="19"/>
      <c r="D49" s="19"/>
      <c r="E49" s="19"/>
      <c r="F49" s="19"/>
      <c r="G49" s="19"/>
      <c r="H49" s="19"/>
      <c r="I49" s="19"/>
    </row>
    <row r="51" spans="1:9" x14ac:dyDescent="0.25">
      <c r="B51" s="2" t="s">
        <v>209</v>
      </c>
    </row>
    <row r="52" spans="1:9" ht="107.25" customHeight="1" x14ac:dyDescent="0.25">
      <c r="B52" s="314" t="s">
        <v>315</v>
      </c>
      <c r="C52" s="315"/>
      <c r="D52" s="315"/>
      <c r="E52" s="315"/>
      <c r="F52" s="315"/>
      <c r="G52" s="315"/>
      <c r="H52" s="315"/>
    </row>
    <row r="54" spans="1:9" ht="30" x14ac:dyDescent="0.25">
      <c r="F54" s="20" t="s">
        <v>211</v>
      </c>
      <c r="G54" s="21" t="s">
        <v>212</v>
      </c>
    </row>
    <row r="55" spans="1:9" x14ac:dyDescent="0.25">
      <c r="B55" s="316" t="s">
        <v>210</v>
      </c>
      <c r="C55" s="316"/>
      <c r="D55" s="317"/>
      <c r="E55" s="7">
        <v>300000</v>
      </c>
      <c r="F55" s="10">
        <v>2022</v>
      </c>
      <c r="G55" s="10">
        <v>2023</v>
      </c>
    </row>
    <row r="56" spans="1:9" x14ac:dyDescent="0.25">
      <c r="B56" s="316" t="s">
        <v>99</v>
      </c>
      <c r="C56" s="316"/>
      <c r="D56" s="316"/>
      <c r="E56">
        <f>IFERROR(IF((D57/D58)&lt;1,1,ROUND(D57/D58,4)),"")</f>
        <v>1.0466</v>
      </c>
    </row>
    <row r="57" spans="1:9" x14ac:dyDescent="0.25">
      <c r="B57" s="311" t="str">
        <f>"INPC diciembre "&amp;IF(G55&lt;&gt;"",G55,"")</f>
        <v>INPC diciembre 2023</v>
      </c>
      <c r="C57" s="311"/>
      <c r="D57" s="25">
        <f>IFERROR(INDEX(TINPC,MATCH(G55,INPCA,0),MATCH("Diciembre",INPCM,0)),"")</f>
        <v>132.37299999999999</v>
      </c>
    </row>
    <row r="58" spans="1:9" x14ac:dyDescent="0.25">
      <c r="B58" s="311" t="str">
        <f>"(/) INPC diciembre "&amp;IF(F55&lt;&gt;"",F55,"")</f>
        <v>(/) INPC diciembre 2022</v>
      </c>
      <c r="C58" s="311"/>
      <c r="D58" s="25">
        <f>IFERROR(INDEX(TINPC,MATCH(F55,INPCA,0),MATCH("Diciembre",INPCM,0)),"")</f>
        <v>126.47799999999999</v>
      </c>
    </row>
    <row r="59" spans="1:9" x14ac:dyDescent="0.25">
      <c r="B59" s="2" t="s">
        <v>90</v>
      </c>
      <c r="D59" s="2"/>
      <c r="E59" s="3">
        <f>IFERROR(ROUND(E55*E56,0),"")</f>
        <v>313980</v>
      </c>
    </row>
  </sheetData>
  <sheetProtection formatCells="0" formatColumns="0" formatRows="0" insertColumns="0" insertRows="0" insertHyperlinks="0" deleteColumns="0" deleteRows="0" selectLockedCells="1" sort="0" autoFilter="0"/>
  <mergeCells count="24">
    <mergeCell ref="B58:C58"/>
    <mergeCell ref="B36:H36"/>
    <mergeCell ref="C41:E41"/>
    <mergeCell ref="C42:E42"/>
    <mergeCell ref="C43:E43"/>
    <mergeCell ref="C44:E44"/>
    <mergeCell ref="C45:E45"/>
    <mergeCell ref="C46:E46"/>
    <mergeCell ref="B52:H52"/>
    <mergeCell ref="B55:D55"/>
    <mergeCell ref="B56:D56"/>
    <mergeCell ref="B57:C57"/>
    <mergeCell ref="C34:E34"/>
    <mergeCell ref="C14:G14"/>
    <mergeCell ref="C18:E18"/>
    <mergeCell ref="C19:E19"/>
    <mergeCell ref="C20:E20"/>
    <mergeCell ref="C21:E21"/>
    <mergeCell ref="C22:E22"/>
    <mergeCell ref="C23:E23"/>
    <mergeCell ref="B26:H26"/>
    <mergeCell ref="C31:E31"/>
    <mergeCell ref="C32:E32"/>
    <mergeCell ref="C33:E33"/>
  </mergeCells>
  <dataValidations count="2">
    <dataValidation type="list" allowBlank="1" showInputMessage="1" showErrorMessage="1" errorTitle="Actualización UFIN negativa" error="Solo se permiten datos de la lista" sqref="F55" xr:uid="{14ADEFF9-BABA-4D63-84D1-27CA0879FE6D}">
      <formula1>"2024,2023,2022,2021,2020,2019,2018,2017,2016,2015"</formula1>
    </dataValidation>
    <dataValidation type="list" allowBlank="1" showInputMessage="1" showErrorMessage="1" errorTitle="Actualización UFIN negativa" error="Solo se permiten datos de la lista" sqref="G55" xr:uid="{0D5BFC83-87A4-4D56-AB7C-C7D0A3F798A1}">
      <formula1>"2028,2027,2026,2025,2024,2023"</formula1>
    </dataValidation>
  </dataValidations>
  <hyperlinks>
    <hyperlink ref="C10" location="FUNDAMENTO!B17" display="(=) Resultado fiscal del ejercicio" xr:uid="{59F90680-7F1C-4548-88BE-4C9269237E13}"/>
    <hyperlink ref="C14:G14" location="CUFIN!A10" display="CUFIN!A10" xr:uid="{61A1BDB7-4439-44C7-A7B4-A3FB670E8B9F}"/>
    <hyperlink ref="A14" location="CALCULOS!A23" display="❸" xr:uid="{D0EE60A1-0363-48B4-AB36-49586B811778}"/>
    <hyperlink ref="A23" location="CALCULOS!A14" display="❸" xr:uid="{1537D802-69E8-4B1A-8FEE-5626A2C7912F}"/>
    <hyperlink ref="A26" location="CALCULOS!A34" display="①" xr:uid="{4CFB6564-6E1B-4CEA-87DE-EB9545607F5F}"/>
    <hyperlink ref="A34" location="CALCULOS!A26" display="①" xr:uid="{C97DFE6F-5B3A-4BD2-ADA8-F8CE45AF0962}"/>
    <hyperlink ref="A19" location="CALCULOS!A26" display="①" xr:uid="{FF8657A1-3141-4A84-8718-B86F5B3DC167}"/>
    <hyperlink ref="A20" location="CALCULOS!A36" display="②" xr:uid="{5BCCF10C-6DED-423B-A8AD-F7DE8B5DABE5}"/>
    <hyperlink ref="A36" location="CALCULOS!A20" display="②" xr:uid="{7E3E2070-E80F-4F8F-926E-F9AFD4FA5CAE}"/>
    <hyperlink ref="B52:H52" location="CUFIN!B12" display="CUFIN!B12" xr:uid="{13EC2EAC-D44E-4A09-9B59-FD915383A8D2}"/>
    <hyperlink ref="E2" location="MENU!C10" display="Menú" xr:uid="{1EA1F959-F0F2-4792-9A23-2147B22818D7}"/>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id="{9E76BB20-B388-4838-B623-763CBCE6F5DE}">
            <xm:f>IF(PORTADA!$C$14=5412365,1,0)</xm:f>
            <x14:dxf>
              <font>
                <color theme="1"/>
              </font>
            </x14:dxf>
          </x14:cfRule>
          <xm:sqref>C6:D7 C14:G14 C18:E22 B26:H26 C31:E33 B36:H36 C41:E45 B52:H52 B55:D58</xm:sqref>
        </x14:conditionalFormatting>
        <x14:conditionalFormatting xmlns:xm="http://schemas.microsoft.com/office/excel/2006/main">
          <x14:cfRule type="expression" priority="1" id="{3DF15024-0BFD-4B9F-A644-E1C537D1D84F}">
            <xm:f>IF(PORTADA!$C$14=5412365,1,0)</xm:f>
            <x14:dxf>
              <font>
                <b/>
                <i/>
                <color theme="1"/>
              </font>
              <fill>
                <gradientFill degree="270">
                  <stop position="0">
                    <color rgb="FFC00000"/>
                  </stop>
                  <stop position="1">
                    <color rgb="FFFFFF00"/>
                  </stop>
                </gradientFill>
              </fill>
            </x14:dxf>
          </x14:cfRule>
          <xm:sqref>E2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D36D1-FDBC-481E-967E-B9CBE3B3BCDD}">
  <sheetPr codeName="Hoja9"/>
  <dimension ref="B3:C46"/>
  <sheetViews>
    <sheetView showGridLines="0" workbookViewId="0">
      <selection activeCell="B5" sqref="B5"/>
    </sheetView>
  </sheetViews>
  <sheetFormatPr baseColWidth="10" defaultRowHeight="15" x14ac:dyDescent="0.25"/>
  <cols>
    <col min="1" max="1" width="11.42578125" style="26"/>
    <col min="2" max="2" width="49.140625" style="26" customWidth="1"/>
    <col min="3" max="3" width="118.140625" style="26" customWidth="1"/>
    <col min="4" max="4" width="8" style="26" customWidth="1"/>
    <col min="5" max="6" width="26.140625" style="26" customWidth="1"/>
    <col min="7" max="16384" width="11.42578125" style="26"/>
  </cols>
  <sheetData>
    <row r="3" spans="2:3" ht="19.5" x14ac:dyDescent="0.3">
      <c r="B3" s="58" t="str">
        <f>IF(PORTADA!$C$14=5412365,HYPERLINK("#MENU!C11","Menú"),"")</f>
        <v>Menú</v>
      </c>
    </row>
    <row r="5" spans="2:3" ht="15.75" x14ac:dyDescent="0.25">
      <c r="B5" s="81" t="s">
        <v>151</v>
      </c>
    </row>
    <row r="6" spans="2:3" ht="15.75" thickBot="1" x14ac:dyDescent="0.3"/>
    <row r="7" spans="2:3" ht="18" thickBot="1" x14ac:dyDescent="0.3">
      <c r="B7" s="125" t="s">
        <v>107</v>
      </c>
      <c r="C7" s="125" t="s">
        <v>150</v>
      </c>
    </row>
    <row r="8" spans="2:3" ht="70.5" thickTop="1" thickBot="1" x14ac:dyDescent="0.3">
      <c r="B8" s="126" t="s">
        <v>108</v>
      </c>
      <c r="C8" s="126" t="s">
        <v>109</v>
      </c>
    </row>
    <row r="9" spans="2:3" ht="87" thickBot="1" x14ac:dyDescent="0.3">
      <c r="B9" s="127" t="s">
        <v>110</v>
      </c>
      <c r="C9" s="127" t="s">
        <v>111</v>
      </c>
    </row>
    <row r="10" spans="2:3" ht="53.25" thickTop="1" thickBot="1" x14ac:dyDescent="0.3">
      <c r="B10" s="126" t="s">
        <v>112</v>
      </c>
      <c r="C10" s="126" t="s">
        <v>113</v>
      </c>
    </row>
    <row r="11" spans="2:3" ht="18" thickBot="1" x14ac:dyDescent="0.3">
      <c r="B11" s="127" t="s">
        <v>114</v>
      </c>
      <c r="C11" s="127" t="s">
        <v>115</v>
      </c>
    </row>
    <row r="12" spans="2:3" ht="53.25" thickTop="1" thickBot="1" x14ac:dyDescent="0.3">
      <c r="B12" s="126" t="s">
        <v>116</v>
      </c>
      <c r="C12" s="126" t="s">
        <v>117</v>
      </c>
    </row>
    <row r="13" spans="2:3" ht="87" thickBot="1" x14ac:dyDescent="0.3">
      <c r="B13" s="127" t="s">
        <v>118</v>
      </c>
      <c r="C13" s="127" t="s">
        <v>119</v>
      </c>
    </row>
    <row r="14" spans="2:3" ht="81" customHeight="1" thickTop="1" thickBot="1" x14ac:dyDescent="0.3">
      <c r="B14" s="126" t="s">
        <v>120</v>
      </c>
      <c r="C14" s="126" t="s">
        <v>121</v>
      </c>
    </row>
    <row r="15" spans="2:3" ht="52.5" thickBot="1" x14ac:dyDescent="0.3">
      <c r="B15" s="127" t="s">
        <v>122</v>
      </c>
      <c r="C15" s="127" t="s">
        <v>123</v>
      </c>
    </row>
    <row r="16" spans="2:3" ht="52.5" customHeight="1" thickTop="1" thickBot="1" x14ac:dyDescent="0.3">
      <c r="B16" s="126" t="s">
        <v>124</v>
      </c>
      <c r="C16" s="126" t="s">
        <v>125</v>
      </c>
    </row>
    <row r="17" spans="2:3" ht="35.25" thickBot="1" x14ac:dyDescent="0.3">
      <c r="B17" s="127" t="s">
        <v>126</v>
      </c>
      <c r="C17" s="127" t="s">
        <v>127</v>
      </c>
    </row>
    <row r="18" spans="2:3" ht="52.5" customHeight="1" thickTop="1" thickBot="1" x14ac:dyDescent="0.3">
      <c r="B18" s="126" t="s">
        <v>128</v>
      </c>
      <c r="C18" s="126" t="s">
        <v>129</v>
      </c>
    </row>
    <row r="19" spans="2:3" ht="18" thickBot="1" x14ac:dyDescent="0.3">
      <c r="B19" s="127" t="s">
        <v>130</v>
      </c>
      <c r="C19" s="127" t="s">
        <v>131</v>
      </c>
    </row>
    <row r="20" spans="2:3" ht="36" thickTop="1" thickBot="1" x14ac:dyDescent="0.3">
      <c r="B20" s="126" t="s">
        <v>132</v>
      </c>
      <c r="C20" s="126" t="s">
        <v>133</v>
      </c>
    </row>
    <row r="21" spans="2:3" ht="51.75" customHeight="1" thickBot="1" x14ac:dyDescent="0.3">
      <c r="B21" s="127"/>
      <c r="C21" s="127" t="s">
        <v>134</v>
      </c>
    </row>
    <row r="22" spans="2:3" ht="139.5" thickTop="1" thickBot="1" x14ac:dyDescent="0.3">
      <c r="B22" s="126"/>
      <c r="C22" s="126" t="s">
        <v>135</v>
      </c>
    </row>
    <row r="23" spans="2:3" ht="35.25" thickBot="1" x14ac:dyDescent="0.3">
      <c r="B23" s="127" t="s">
        <v>136</v>
      </c>
      <c r="C23" s="127" t="s">
        <v>137</v>
      </c>
    </row>
    <row r="24" spans="2:3" ht="69.75" customHeight="1" thickTop="1" thickBot="1" x14ac:dyDescent="0.3">
      <c r="B24" s="126"/>
      <c r="C24" s="126" t="s">
        <v>138</v>
      </c>
    </row>
    <row r="25" spans="2:3" ht="87" thickBot="1" x14ac:dyDescent="0.3">
      <c r="B25" s="127" t="s">
        <v>139</v>
      </c>
      <c r="C25" s="127" t="s">
        <v>140</v>
      </c>
    </row>
    <row r="26" spans="2:3" ht="53.25" thickTop="1" thickBot="1" x14ac:dyDescent="0.3">
      <c r="B26" s="126"/>
      <c r="C26" s="126" t="s">
        <v>141</v>
      </c>
    </row>
    <row r="27" spans="2:3" ht="52.5" thickBot="1" x14ac:dyDescent="0.3">
      <c r="B27" s="127" t="s">
        <v>142</v>
      </c>
      <c r="C27" s="127" t="s">
        <v>143</v>
      </c>
    </row>
    <row r="28" spans="2:3" ht="53.25" thickTop="1" thickBot="1" x14ac:dyDescent="0.3">
      <c r="B28" s="126" t="s">
        <v>144</v>
      </c>
      <c r="C28" s="126" t="s">
        <v>145</v>
      </c>
    </row>
    <row r="29" spans="2:3" ht="35.25" thickBot="1" x14ac:dyDescent="0.3">
      <c r="B29" s="127" t="s">
        <v>146</v>
      </c>
      <c r="C29" s="127" t="s">
        <v>147</v>
      </c>
    </row>
    <row r="30" spans="2:3" ht="70.5" thickTop="1" thickBot="1" x14ac:dyDescent="0.3">
      <c r="B30" s="126" t="s">
        <v>148</v>
      </c>
      <c r="C30" s="126" t="s">
        <v>149</v>
      </c>
    </row>
    <row r="31" spans="2:3" ht="87" thickBot="1" x14ac:dyDescent="0.3">
      <c r="B31" s="127" t="s">
        <v>152</v>
      </c>
      <c r="C31" s="127" t="s">
        <v>153</v>
      </c>
    </row>
    <row r="32" spans="2:3" ht="70.5" thickTop="1" thickBot="1" x14ac:dyDescent="0.3">
      <c r="B32" s="126" t="s">
        <v>154</v>
      </c>
      <c r="C32" s="126" t="s">
        <v>155</v>
      </c>
    </row>
    <row r="33" spans="2:3" ht="52.5" thickBot="1" x14ac:dyDescent="0.3">
      <c r="B33" s="127"/>
      <c r="C33" s="127" t="s">
        <v>156</v>
      </c>
    </row>
    <row r="34" spans="2:3" ht="53.25" thickTop="1" thickBot="1" x14ac:dyDescent="0.3">
      <c r="B34" s="126" t="s">
        <v>157</v>
      </c>
      <c r="C34" s="126" t="s">
        <v>158</v>
      </c>
    </row>
    <row r="35" spans="2:3" ht="52.5" thickBot="1" x14ac:dyDescent="0.3">
      <c r="B35" s="127" t="s">
        <v>159</v>
      </c>
      <c r="C35" s="127" t="s">
        <v>160</v>
      </c>
    </row>
    <row r="36" spans="2:3" ht="70.5" thickTop="1" thickBot="1" x14ac:dyDescent="0.3">
      <c r="B36" s="126" t="s">
        <v>161</v>
      </c>
      <c r="C36" s="126" t="s">
        <v>162</v>
      </c>
    </row>
    <row r="37" spans="2:3" ht="35.25" thickBot="1" x14ac:dyDescent="0.3">
      <c r="B37" s="127" t="s">
        <v>163</v>
      </c>
      <c r="C37" s="127" t="s">
        <v>164</v>
      </c>
    </row>
    <row r="38" spans="2:3" ht="53.25" thickTop="1" thickBot="1" x14ac:dyDescent="0.3">
      <c r="B38" s="126" t="s">
        <v>165</v>
      </c>
      <c r="C38" s="126" t="s">
        <v>166</v>
      </c>
    </row>
    <row r="39" spans="2:3" ht="52.5" thickBot="1" x14ac:dyDescent="0.3">
      <c r="B39" s="127" t="s">
        <v>167</v>
      </c>
      <c r="C39" s="127" t="s">
        <v>168</v>
      </c>
    </row>
    <row r="40" spans="2:3" ht="70.5" thickTop="1" thickBot="1" x14ac:dyDescent="0.3">
      <c r="B40" s="126" t="s">
        <v>169</v>
      </c>
      <c r="C40" s="126" t="s">
        <v>170</v>
      </c>
    </row>
    <row r="41" spans="2:3" ht="52.5" thickBot="1" x14ac:dyDescent="0.3">
      <c r="B41" s="127"/>
      <c r="C41" s="127" t="s">
        <v>171</v>
      </c>
    </row>
    <row r="42" spans="2:3" ht="87.75" thickTop="1" thickBot="1" x14ac:dyDescent="0.3">
      <c r="B42" s="126" t="s">
        <v>172</v>
      </c>
      <c r="C42" s="126" t="s">
        <v>173</v>
      </c>
    </row>
    <row r="43" spans="2:3" ht="87" thickBot="1" x14ac:dyDescent="0.3">
      <c r="B43" s="127" t="s">
        <v>174</v>
      </c>
      <c r="C43" s="127" t="s">
        <v>175</v>
      </c>
    </row>
    <row r="44" spans="2:3" ht="18.75" thickTop="1" thickBot="1" x14ac:dyDescent="0.3">
      <c r="B44" s="126" t="s">
        <v>176</v>
      </c>
      <c r="C44" s="126"/>
    </row>
    <row r="45" spans="2:3" ht="35.25" thickBot="1" x14ac:dyDescent="0.3">
      <c r="B45" s="127" t="s">
        <v>177</v>
      </c>
      <c r="C45" s="127" t="s">
        <v>178</v>
      </c>
    </row>
    <row r="46" spans="2:3" ht="36" thickTop="1" thickBot="1" x14ac:dyDescent="0.3">
      <c r="B46" s="126" t="s">
        <v>179</v>
      </c>
      <c r="C46" s="126" t="s">
        <v>180</v>
      </c>
    </row>
  </sheetData>
  <sheetProtection algorithmName="SHA-512" hashValue="Dy4XEIMHKo4OAR8k/apfjxOsNT9697AWCAIUXuKTsiQp4R+86u9aDgkmOTfi7gkKkW7Brkddo7YHo/GzbqzeBw==" saltValue="Q4q3P1ROkbJ7k3oWd3hs3g==" spinCount="100000" sheet="1" objects="1" scenarios="1" formatCells="0" formatColumns="0" formatRows="0" insertColumns="0" insertRows="0" insertHyperlinks="0" deleteColumns="0" deleteRows="0" selectLockedCells="1" sort="0" autoFilter="0"/>
  <hyperlinks>
    <hyperlink ref="B5" location="CUFIN!B9" display="NO DEDUCIBLES" xr:uid="{673D24AA-9F9C-46EC-9BEB-6DC17C95E19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0047B0C3-0D96-4D7D-989E-B62704461D41}">
            <xm:f>IF(PORTADA!$C$14=5412365,1,0)</xm:f>
            <x14:dxf>
              <font>
                <b/>
                <i/>
                <color theme="1"/>
              </font>
              <fill>
                <gradientFill degree="270">
                  <stop position="0">
                    <color rgb="FFC00000"/>
                  </stop>
                  <stop position="1">
                    <color rgb="FFFFFF00"/>
                  </stop>
                </gradientFill>
              </fill>
            </x14:dxf>
          </x14:cfRule>
          <xm:sqref>B3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4C49E-5EFE-4229-B7B3-7FEDCF0BA86F}">
  <sheetPr codeName="Hoja10"/>
  <dimension ref="A1:J129"/>
  <sheetViews>
    <sheetView showGridLines="0" topLeftCell="A18" zoomScale="110" zoomScaleNormal="110" workbookViewId="0">
      <selection activeCell="C50" sqref="C50"/>
    </sheetView>
  </sheetViews>
  <sheetFormatPr baseColWidth="10" defaultRowHeight="15" x14ac:dyDescent="0.25"/>
  <cols>
    <col min="1" max="1" width="11.42578125" style="26"/>
    <col min="2" max="2" width="55.7109375" style="26" customWidth="1"/>
    <col min="3" max="3" width="13.7109375" style="26" customWidth="1"/>
    <col min="4" max="4" width="11.42578125" style="26"/>
    <col min="5" max="5" width="35.5703125" style="26" customWidth="1"/>
    <col min="6" max="6" width="15" style="26" customWidth="1"/>
    <col min="7" max="7" width="3.85546875" style="26" customWidth="1"/>
    <col min="8" max="16384" width="11.42578125" style="26"/>
  </cols>
  <sheetData>
    <row r="1" spans="1:10" ht="35.25" customHeight="1" x14ac:dyDescent="0.25">
      <c r="F1" s="59" t="str">
        <f>IF(PORTADA!$C$14=5412365,HYPERLINK("#MENU!C12","Menú"),"")</f>
        <v>Menú</v>
      </c>
    </row>
    <row r="3" spans="1:10" ht="186" customHeight="1" x14ac:dyDescent="0.25">
      <c r="B3" s="322" t="s">
        <v>298</v>
      </c>
      <c r="C3" s="323"/>
      <c r="D3" s="323"/>
      <c r="E3" s="323"/>
      <c r="F3" s="323"/>
      <c r="G3" s="323"/>
      <c r="H3" s="323"/>
      <c r="I3" s="323"/>
      <c r="J3" s="323"/>
    </row>
    <row r="5" spans="1:10" ht="139.5" customHeight="1" x14ac:dyDescent="0.25">
      <c r="B5" s="301" t="s">
        <v>306</v>
      </c>
      <c r="C5" s="300"/>
      <c r="D5" s="300"/>
      <c r="E5" s="300"/>
      <c r="F5" s="300"/>
      <c r="G5" s="300"/>
      <c r="H5" s="300"/>
      <c r="I5" s="300"/>
      <c r="J5" s="300"/>
    </row>
    <row r="8" spans="1:10" ht="15.75" x14ac:dyDescent="0.25">
      <c r="B8" s="53" t="s">
        <v>262</v>
      </c>
      <c r="C8" s="101">
        <v>256000</v>
      </c>
      <c r="E8" s="102" t="s">
        <v>265</v>
      </c>
      <c r="F8" s="101">
        <v>890562</v>
      </c>
      <c r="G8" s="103" t="s">
        <v>282</v>
      </c>
    </row>
    <row r="9" spans="1:10" ht="15.75" x14ac:dyDescent="0.25">
      <c r="B9" s="53" t="s">
        <v>264</v>
      </c>
      <c r="C9" s="101">
        <v>2000</v>
      </c>
      <c r="E9" s="53" t="s">
        <v>266</v>
      </c>
      <c r="F9" s="101">
        <v>70000</v>
      </c>
      <c r="G9" s="28"/>
    </row>
    <row r="10" spans="1:10" ht="15.75" x14ac:dyDescent="0.25">
      <c r="B10" s="104" t="s">
        <v>263</v>
      </c>
      <c r="C10" s="105">
        <f>IFERROR(ROUND(C8/C9,2),0)</f>
        <v>128</v>
      </c>
      <c r="D10" s="80"/>
      <c r="E10" s="104" t="s">
        <v>267</v>
      </c>
      <c r="F10" s="105">
        <f>IFERROR(ROUND(F8/F9,2),0)</f>
        <v>12.72</v>
      </c>
      <c r="G10" s="103" t="s">
        <v>88</v>
      </c>
    </row>
    <row r="11" spans="1:10" ht="15.75" x14ac:dyDescent="0.25">
      <c r="A11" s="106" t="s">
        <v>88</v>
      </c>
      <c r="B11" s="53" t="s">
        <v>268</v>
      </c>
      <c r="C11" s="107">
        <f>F10</f>
        <v>12.72</v>
      </c>
      <c r="E11" s="28"/>
      <c r="F11" s="28"/>
      <c r="G11" s="28"/>
    </row>
    <row r="12" spans="1:10" ht="15.75" x14ac:dyDescent="0.25">
      <c r="B12" s="53" t="s">
        <v>269</v>
      </c>
      <c r="C12" s="43">
        <f>IFERROR(C10-C11,0)</f>
        <v>115.28</v>
      </c>
      <c r="E12" s="28"/>
      <c r="F12" s="28"/>
      <c r="G12" s="28"/>
    </row>
    <row r="13" spans="1:10" ht="15.75" x14ac:dyDescent="0.25">
      <c r="B13" s="28"/>
      <c r="C13" s="28"/>
      <c r="E13" s="28"/>
      <c r="F13" s="28"/>
      <c r="G13" s="28"/>
    </row>
    <row r="14" spans="1:10" ht="52.5" customHeight="1" x14ac:dyDescent="0.25">
      <c r="B14" s="301" t="s">
        <v>307</v>
      </c>
      <c r="C14" s="300"/>
      <c r="D14" s="300"/>
      <c r="E14" s="300"/>
      <c r="F14" s="300"/>
      <c r="G14" s="300"/>
      <c r="H14" s="300"/>
      <c r="I14" s="300"/>
      <c r="J14" s="300"/>
    </row>
    <row r="15" spans="1:10" ht="15.75" x14ac:dyDescent="0.25">
      <c r="E15" s="28"/>
      <c r="F15" s="28"/>
      <c r="G15" s="28"/>
    </row>
    <row r="16" spans="1:10" ht="15.75" x14ac:dyDescent="0.25">
      <c r="B16" s="53" t="s">
        <v>262</v>
      </c>
      <c r="C16" s="101">
        <f>C8</f>
        <v>256000</v>
      </c>
      <c r="D16" s="28"/>
      <c r="E16" s="28"/>
      <c r="F16" s="28"/>
      <c r="G16" s="28"/>
      <c r="H16" s="28"/>
      <c r="I16" s="28"/>
      <c r="J16" s="28"/>
    </row>
    <row r="17" spans="2:10" ht="15.75" x14ac:dyDescent="0.25">
      <c r="B17" s="53" t="s">
        <v>264</v>
      </c>
      <c r="C17" s="101">
        <v>2000</v>
      </c>
      <c r="D17" s="28"/>
      <c r="E17" s="28"/>
      <c r="F17" s="28"/>
      <c r="G17" s="28"/>
      <c r="H17" s="28"/>
      <c r="I17" s="28"/>
      <c r="J17" s="28"/>
    </row>
    <row r="18" spans="2:10" ht="15.75" x14ac:dyDescent="0.25">
      <c r="B18" s="104" t="s">
        <v>263</v>
      </c>
      <c r="C18" s="105">
        <f>IFERROR(ROUND(C16/C17,2),0)</f>
        <v>128</v>
      </c>
      <c r="D18" s="28"/>
      <c r="E18" s="28"/>
      <c r="F18" s="28"/>
      <c r="G18" s="28"/>
      <c r="H18" s="28"/>
      <c r="I18" s="28"/>
      <c r="J18" s="28"/>
    </row>
    <row r="19" spans="2:10" ht="15.75" x14ac:dyDescent="0.25">
      <c r="B19" s="53" t="s">
        <v>268</v>
      </c>
      <c r="C19" s="107">
        <f>IFERROR(IF(C18&gt;=F10,F10,C18),0)</f>
        <v>12.72</v>
      </c>
      <c r="D19" s="28"/>
      <c r="E19" s="28"/>
      <c r="F19" s="28"/>
      <c r="G19" s="28"/>
      <c r="H19" s="28"/>
      <c r="I19" s="28"/>
      <c r="J19" s="28"/>
    </row>
    <row r="20" spans="2:10" ht="15.75" x14ac:dyDescent="0.25">
      <c r="B20" s="53" t="s">
        <v>269</v>
      </c>
      <c r="C20" s="43">
        <f>IFERROR(C18-C19,0)</f>
        <v>115.28</v>
      </c>
      <c r="D20" s="28"/>
      <c r="E20" s="28"/>
      <c r="F20" s="28"/>
      <c r="G20" s="28"/>
      <c r="H20" s="28"/>
      <c r="I20" s="28"/>
      <c r="J20" s="28"/>
    </row>
    <row r="21" spans="2:10" ht="15.75" x14ac:dyDescent="0.25">
      <c r="B21" s="53" t="s">
        <v>270</v>
      </c>
      <c r="C21" s="107">
        <f>C9</f>
        <v>2000</v>
      </c>
      <c r="D21" s="28"/>
      <c r="E21" s="28"/>
      <c r="F21" s="28"/>
      <c r="G21" s="28"/>
      <c r="H21" s="28"/>
      <c r="I21" s="28"/>
      <c r="J21" s="28"/>
    </row>
    <row r="22" spans="2:10" ht="15.75" x14ac:dyDescent="0.25">
      <c r="B22" s="104" t="s">
        <v>271</v>
      </c>
      <c r="C22" s="105">
        <f>IFERROR(ROUND(C20*C21,2),0)</f>
        <v>230560</v>
      </c>
      <c r="D22" s="103" t="s">
        <v>287</v>
      </c>
      <c r="E22" s="28"/>
      <c r="F22" s="28"/>
      <c r="G22" s="28"/>
      <c r="H22" s="28"/>
      <c r="I22" s="28"/>
      <c r="J22" s="28"/>
    </row>
    <row r="23" spans="2:10" ht="15.75" x14ac:dyDescent="0.25">
      <c r="B23" s="28"/>
      <c r="C23" s="28"/>
      <c r="D23" s="28"/>
      <c r="E23" s="28"/>
      <c r="F23" s="28"/>
      <c r="G23" s="28"/>
      <c r="H23" s="28"/>
      <c r="I23" s="28"/>
      <c r="J23" s="28"/>
    </row>
    <row r="24" spans="2:10" ht="62.25" customHeight="1" x14ac:dyDescent="0.25">
      <c r="B24" s="298" t="s">
        <v>308</v>
      </c>
      <c r="C24" s="299"/>
      <c r="D24" s="299"/>
      <c r="E24" s="299"/>
      <c r="F24" s="299"/>
      <c r="G24" s="299"/>
      <c r="H24" s="299"/>
      <c r="I24" s="299"/>
      <c r="J24" s="299"/>
    </row>
    <row r="25" spans="2:10" ht="15.75" x14ac:dyDescent="0.25">
      <c r="B25" s="28"/>
      <c r="C25" s="28"/>
      <c r="D25" s="28"/>
      <c r="E25" s="28"/>
      <c r="F25" s="28"/>
      <c r="G25" s="28"/>
      <c r="H25" s="28"/>
      <c r="I25" s="28"/>
      <c r="J25" s="28"/>
    </row>
    <row r="26" spans="2:10" ht="15.75" x14ac:dyDescent="0.25">
      <c r="B26" s="53" t="s">
        <v>262</v>
      </c>
      <c r="C26" s="101">
        <f>C16</f>
        <v>256000</v>
      </c>
      <c r="D26" s="28"/>
      <c r="E26" s="102" t="s">
        <v>272</v>
      </c>
      <c r="F26" s="101">
        <v>650000</v>
      </c>
      <c r="G26" s="28"/>
      <c r="H26" s="103" t="s">
        <v>289</v>
      </c>
      <c r="I26" s="28"/>
      <c r="J26" s="28"/>
    </row>
    <row r="27" spans="2:10" ht="15.75" x14ac:dyDescent="0.25">
      <c r="B27" s="53" t="s">
        <v>264</v>
      </c>
      <c r="C27" s="101">
        <v>2000</v>
      </c>
      <c r="D27" s="28"/>
      <c r="E27" s="53" t="s">
        <v>266</v>
      </c>
      <c r="F27" s="101">
        <v>70000</v>
      </c>
      <c r="G27" s="28"/>
      <c r="H27" s="28"/>
      <c r="I27" s="28"/>
      <c r="J27" s="28"/>
    </row>
    <row r="28" spans="2:10" ht="15.75" x14ac:dyDescent="0.25">
      <c r="B28" s="104" t="s">
        <v>263</v>
      </c>
      <c r="C28" s="105">
        <f>IFERROR(ROUND(C26/C27,2),0)</f>
        <v>128</v>
      </c>
      <c r="D28" s="28"/>
      <c r="E28" s="104" t="s">
        <v>273</v>
      </c>
      <c r="F28" s="105">
        <f>IFERROR(ROUND(F26/F27,2),0)</f>
        <v>9.2899999999999991</v>
      </c>
      <c r="G28" s="28"/>
      <c r="H28" s="28"/>
      <c r="I28" s="28"/>
      <c r="J28" s="28"/>
    </row>
    <row r="29" spans="2:10" ht="15.75" x14ac:dyDescent="0.25">
      <c r="B29" s="53" t="s">
        <v>268</v>
      </c>
      <c r="C29" s="107">
        <f>C19</f>
        <v>12.72</v>
      </c>
      <c r="D29" s="28"/>
      <c r="E29" s="53" t="s">
        <v>274</v>
      </c>
      <c r="F29" s="107">
        <f>C9</f>
        <v>2000</v>
      </c>
      <c r="G29" s="28"/>
      <c r="H29" s="28"/>
      <c r="I29" s="28"/>
      <c r="J29" s="28"/>
    </row>
    <row r="30" spans="2:10" ht="15.75" x14ac:dyDescent="0.25">
      <c r="B30" s="53" t="s">
        <v>269</v>
      </c>
      <c r="C30" s="43">
        <f>IFERROR(C28-C29,0)</f>
        <v>115.28</v>
      </c>
      <c r="D30" s="28"/>
      <c r="E30" s="53" t="s">
        <v>276</v>
      </c>
      <c r="F30" s="105">
        <f>IFERROR(ROUND(F28*F29,2),0)</f>
        <v>18580</v>
      </c>
      <c r="G30" s="103" t="s">
        <v>199</v>
      </c>
      <c r="H30" s="103" t="s">
        <v>289</v>
      </c>
      <c r="I30" s="28"/>
      <c r="J30" s="28"/>
    </row>
    <row r="31" spans="2:10" ht="15.75" x14ac:dyDescent="0.25">
      <c r="B31" s="53" t="s">
        <v>270</v>
      </c>
      <c r="C31" s="107">
        <f>C21</f>
        <v>2000</v>
      </c>
      <c r="D31" s="28"/>
      <c r="E31" s="28"/>
      <c r="F31" s="28"/>
      <c r="G31" s="28"/>
      <c r="H31" s="28"/>
      <c r="I31" s="28"/>
      <c r="J31" s="28"/>
    </row>
    <row r="32" spans="2:10" ht="15.75" x14ac:dyDescent="0.25">
      <c r="B32" s="104" t="s">
        <v>271</v>
      </c>
      <c r="C32" s="105">
        <f>IFERROR(ROUND(C30*C31,2),0)</f>
        <v>230560</v>
      </c>
      <c r="D32" s="28"/>
      <c r="E32" s="28"/>
      <c r="F32" s="159"/>
      <c r="G32" s="28"/>
      <c r="H32" s="28"/>
      <c r="I32" s="28"/>
      <c r="J32" s="28"/>
    </row>
    <row r="33" spans="1:10" ht="15.75" x14ac:dyDescent="0.25">
      <c r="A33" s="106" t="s">
        <v>199</v>
      </c>
      <c r="B33" s="53" t="s">
        <v>275</v>
      </c>
      <c r="C33" s="107">
        <f>IF(C32&gt;=F30,F30,C32)</f>
        <v>18580</v>
      </c>
      <c r="D33" s="28"/>
      <c r="E33" s="28"/>
      <c r="F33" s="28"/>
      <c r="G33" s="28"/>
      <c r="H33" s="28"/>
      <c r="I33" s="28"/>
      <c r="J33" s="28"/>
    </row>
    <row r="34" spans="1:10" ht="15.75" x14ac:dyDescent="0.25">
      <c r="B34" s="53" t="s">
        <v>277</v>
      </c>
      <c r="C34" s="43">
        <f>IFERROR(ROUND(C32-C33,2),0)</f>
        <v>211980</v>
      </c>
      <c r="D34" s="28"/>
      <c r="E34" s="28"/>
      <c r="F34" s="28"/>
      <c r="G34" s="28"/>
      <c r="H34" s="28"/>
      <c r="I34" s="28"/>
      <c r="J34" s="28"/>
    </row>
    <row r="35" spans="1:10" ht="15.75" x14ac:dyDescent="0.25">
      <c r="B35" s="28"/>
      <c r="C35" s="28"/>
      <c r="D35" s="28"/>
      <c r="E35" s="28"/>
      <c r="F35" s="28"/>
      <c r="G35" s="28"/>
      <c r="H35" s="28"/>
      <c r="I35" s="28"/>
      <c r="J35" s="28"/>
    </row>
    <row r="36" spans="1:10" ht="82.5" customHeight="1" x14ac:dyDescent="0.25">
      <c r="B36" s="298" t="s">
        <v>309</v>
      </c>
      <c r="C36" s="299"/>
      <c r="D36" s="299"/>
      <c r="E36" s="299"/>
      <c r="F36" s="299"/>
      <c r="G36" s="299"/>
      <c r="H36" s="299"/>
      <c r="I36" s="299"/>
      <c r="J36" s="299"/>
    </row>
    <row r="37" spans="1:10" ht="15.75" x14ac:dyDescent="0.25">
      <c r="B37" s="28"/>
      <c r="C37" s="28"/>
      <c r="D37" s="28"/>
      <c r="E37" s="28"/>
      <c r="F37" s="28"/>
      <c r="G37" s="28"/>
      <c r="H37" s="28"/>
      <c r="I37" s="28"/>
      <c r="J37" s="28"/>
    </row>
    <row r="38" spans="1:10" ht="15.75" x14ac:dyDescent="0.25">
      <c r="B38" s="53" t="s">
        <v>262</v>
      </c>
      <c r="C38" s="101">
        <v>256000</v>
      </c>
      <c r="D38" s="28"/>
      <c r="E38" s="28"/>
      <c r="F38" s="28"/>
      <c r="G38" s="28"/>
      <c r="H38" s="28"/>
      <c r="I38" s="28"/>
      <c r="J38" s="28"/>
    </row>
    <row r="39" spans="1:10" ht="15.75" x14ac:dyDescent="0.25">
      <c r="B39" s="53" t="s">
        <v>264</v>
      </c>
      <c r="C39" s="101">
        <v>2000</v>
      </c>
      <c r="D39" s="28"/>
      <c r="E39" s="28"/>
      <c r="F39" s="28"/>
      <c r="G39" s="28"/>
      <c r="H39" s="28"/>
      <c r="I39" s="28"/>
      <c r="J39" s="28"/>
    </row>
    <row r="40" spans="1:10" ht="15.75" x14ac:dyDescent="0.25">
      <c r="B40" s="27" t="s">
        <v>263</v>
      </c>
      <c r="C40" s="46">
        <f>IFERROR(ROUND(C38/C39,2),0)</f>
        <v>128</v>
      </c>
      <c r="D40" s="28"/>
      <c r="E40" s="28"/>
      <c r="F40" s="28"/>
      <c r="G40" s="28"/>
      <c r="H40" s="28"/>
      <c r="I40" s="28"/>
      <c r="J40" s="28"/>
    </row>
    <row r="41" spans="1:10" ht="15.75" x14ac:dyDescent="0.25">
      <c r="B41" s="53" t="s">
        <v>268</v>
      </c>
      <c r="C41" s="107">
        <f>C29</f>
        <v>12.72</v>
      </c>
      <c r="D41" s="28"/>
      <c r="E41" s="28"/>
      <c r="F41" s="28"/>
      <c r="G41" s="28"/>
      <c r="H41" s="28"/>
      <c r="I41" s="28"/>
      <c r="J41" s="28"/>
    </row>
    <row r="42" spans="1:10" ht="15.75" x14ac:dyDescent="0.25">
      <c r="B42" s="53" t="s">
        <v>269</v>
      </c>
      <c r="C42" s="43">
        <f>IFERROR(C40-C41,0)</f>
        <v>115.28</v>
      </c>
      <c r="D42" s="28"/>
      <c r="E42" s="28"/>
      <c r="F42" s="28"/>
      <c r="G42" s="28"/>
      <c r="H42" s="28"/>
      <c r="I42" s="28"/>
      <c r="J42" s="28"/>
    </row>
    <row r="43" spans="1:10" ht="15.75" x14ac:dyDescent="0.25">
      <c r="B43" s="53" t="s">
        <v>270</v>
      </c>
      <c r="C43" s="107">
        <f>C31</f>
        <v>2000</v>
      </c>
      <c r="D43" s="28"/>
      <c r="E43" s="28"/>
      <c r="F43" s="28"/>
      <c r="G43" s="28"/>
      <c r="H43" s="28"/>
      <c r="I43" s="28"/>
      <c r="J43" s="28"/>
    </row>
    <row r="44" spans="1:10" ht="15.75" x14ac:dyDescent="0.25">
      <c r="B44" s="27" t="s">
        <v>271</v>
      </c>
      <c r="C44" s="46">
        <f>IFERROR(ROUND(C42*C43,2),0)</f>
        <v>230560</v>
      </c>
    </row>
    <row r="45" spans="1:10" ht="15.75" x14ac:dyDescent="0.25">
      <c r="B45" s="53" t="s">
        <v>275</v>
      </c>
      <c r="C45" s="107">
        <f>C33</f>
        <v>18580</v>
      </c>
    </row>
    <row r="46" spans="1:10" ht="15.75" x14ac:dyDescent="0.25">
      <c r="B46" s="53" t="s">
        <v>277</v>
      </c>
      <c r="C46" s="43">
        <f>IFERROR(ROUND(C44-C45,2),0)</f>
        <v>211980</v>
      </c>
    </row>
    <row r="47" spans="1:10" ht="15.75" x14ac:dyDescent="0.25">
      <c r="B47" s="53" t="s">
        <v>80</v>
      </c>
      <c r="C47" s="183">
        <v>1.4286000000000001</v>
      </c>
    </row>
    <row r="48" spans="1:10" ht="15.75" x14ac:dyDescent="0.25">
      <c r="B48" s="53" t="s">
        <v>278</v>
      </c>
      <c r="C48" s="43">
        <f>IFERROR(ROUND(C46*C47,0),0)</f>
        <v>302835</v>
      </c>
    </row>
    <row r="49" spans="2:10" ht="15.75" x14ac:dyDescent="0.25">
      <c r="B49" s="53" t="s">
        <v>279</v>
      </c>
      <c r="C49" s="184">
        <v>0.3</v>
      </c>
    </row>
    <row r="50" spans="2:10" ht="15.75" x14ac:dyDescent="0.25">
      <c r="B50" s="110" t="s">
        <v>291</v>
      </c>
      <c r="C50" s="185">
        <f>IFERROR(ROUND(C48*C49,0),0)</f>
        <v>90851</v>
      </c>
      <c r="D50" s="103" t="s">
        <v>296</v>
      </c>
    </row>
    <row r="52" spans="2:10" ht="92.25" customHeight="1" x14ac:dyDescent="0.25">
      <c r="B52" s="324" t="s">
        <v>285</v>
      </c>
      <c r="C52" s="325"/>
      <c r="D52" s="325"/>
      <c r="E52" s="325"/>
      <c r="F52" s="325"/>
      <c r="G52" s="325"/>
      <c r="H52" s="325"/>
      <c r="I52" s="325"/>
      <c r="J52" s="325"/>
    </row>
    <row r="54" spans="2:10" ht="36.75" customHeight="1" x14ac:dyDescent="0.25">
      <c r="B54" s="112" t="s">
        <v>280</v>
      </c>
      <c r="C54" s="113">
        <v>1890000</v>
      </c>
    </row>
    <row r="55" spans="2:10" x14ac:dyDescent="0.25">
      <c r="B55" s="54" t="s">
        <v>281</v>
      </c>
      <c r="C55" s="55">
        <f>F8</f>
        <v>890562</v>
      </c>
      <c r="D55" s="103" t="s">
        <v>282</v>
      </c>
    </row>
    <row r="56" spans="2:10" x14ac:dyDescent="0.25">
      <c r="B56" s="114" t="s">
        <v>283</v>
      </c>
      <c r="C56" s="115">
        <f>IFERROR(C54-C55,0)</f>
        <v>999438</v>
      </c>
      <c r="D56" s="103" t="s">
        <v>284</v>
      </c>
    </row>
    <row r="57" spans="2:10" x14ac:dyDescent="0.25">
      <c r="C57" s="116"/>
      <c r="D57" s="117"/>
    </row>
    <row r="58" spans="2:10" ht="147.75" customHeight="1" x14ac:dyDescent="0.25">
      <c r="B58" s="320" t="s">
        <v>310</v>
      </c>
      <c r="C58" s="321"/>
      <c r="D58" s="321"/>
      <c r="E58" s="321"/>
      <c r="F58" s="321"/>
      <c r="G58" s="321"/>
      <c r="H58" s="321"/>
      <c r="I58" s="321"/>
      <c r="J58" s="321"/>
    </row>
    <row r="60" spans="2:10" ht="45" x14ac:dyDescent="0.25">
      <c r="B60" s="118" t="s">
        <v>280</v>
      </c>
      <c r="C60" s="113">
        <v>1890000</v>
      </c>
    </row>
    <row r="61" spans="2:10" x14ac:dyDescent="0.25">
      <c r="B61" s="54" t="s">
        <v>281</v>
      </c>
      <c r="C61" s="55">
        <f>F8</f>
        <v>890562</v>
      </c>
      <c r="D61" s="119" t="s">
        <v>282</v>
      </c>
    </row>
    <row r="62" spans="2:10" x14ac:dyDescent="0.25">
      <c r="B62" s="114" t="s">
        <v>283</v>
      </c>
      <c r="C62" s="115">
        <f>IFERROR(C60-C61,0)</f>
        <v>999438</v>
      </c>
      <c r="D62" s="119" t="s">
        <v>284</v>
      </c>
    </row>
    <row r="63" spans="2:10" ht="15.75" x14ac:dyDescent="0.25">
      <c r="B63" s="53" t="s">
        <v>340</v>
      </c>
      <c r="C63" s="120">
        <f>C22</f>
        <v>230560</v>
      </c>
      <c r="D63" s="119" t="s">
        <v>287</v>
      </c>
    </row>
    <row r="64" spans="2:10" x14ac:dyDescent="0.25">
      <c r="B64" s="114" t="s">
        <v>286</v>
      </c>
      <c r="C64" s="115">
        <f>IFERROR(C62-C63,0)</f>
        <v>768878</v>
      </c>
    </row>
    <row r="65" spans="2:4" x14ac:dyDescent="0.25">
      <c r="B65" s="54" t="s">
        <v>288</v>
      </c>
      <c r="C65" s="55">
        <f>IFERROR(IF(C64&gt;=(F26-F30),F26-F30,C64),0)</f>
        <v>631420</v>
      </c>
      <c r="D65" s="119" t="s">
        <v>289</v>
      </c>
    </row>
    <row r="66" spans="2:4" x14ac:dyDescent="0.25">
      <c r="B66" s="114" t="s">
        <v>290</v>
      </c>
      <c r="C66" s="115">
        <f>IFERROR(C64-C65,0)</f>
        <v>137458</v>
      </c>
    </row>
    <row r="67" spans="2:4" ht="15.75" x14ac:dyDescent="0.25">
      <c r="B67" s="53" t="s">
        <v>80</v>
      </c>
      <c r="C67" s="108">
        <v>1.4286000000000001</v>
      </c>
    </row>
    <row r="68" spans="2:4" ht="15.75" x14ac:dyDescent="0.25">
      <c r="B68" s="53" t="s">
        <v>278</v>
      </c>
      <c r="C68" s="55">
        <f>IFERROR(ROUND(C66*C67,0),0)</f>
        <v>196372</v>
      </c>
    </row>
    <row r="69" spans="2:4" ht="15.75" x14ac:dyDescent="0.25">
      <c r="B69" s="53" t="s">
        <v>279</v>
      </c>
      <c r="C69" s="109">
        <v>0.3</v>
      </c>
    </row>
    <row r="70" spans="2:4" ht="15.75" x14ac:dyDescent="0.25">
      <c r="B70" s="110" t="s">
        <v>293</v>
      </c>
      <c r="C70" s="111">
        <f>IFERROR(ROUND(C68*C69,0),0)</f>
        <v>58912</v>
      </c>
      <c r="D70" s="103" t="s">
        <v>297</v>
      </c>
    </row>
    <row r="73" spans="2:4" x14ac:dyDescent="0.25">
      <c r="B73" s="80" t="s">
        <v>292</v>
      </c>
    </row>
    <row r="74" spans="2:4" ht="15.75" x14ac:dyDescent="0.25">
      <c r="B74" s="121" t="s">
        <v>294</v>
      </c>
      <c r="C74" s="122">
        <f>C50</f>
        <v>90851</v>
      </c>
      <c r="D74" s="119" t="s">
        <v>296</v>
      </c>
    </row>
    <row r="75" spans="2:4" ht="15.75" x14ac:dyDescent="0.25">
      <c r="B75" s="121" t="s">
        <v>377</v>
      </c>
      <c r="C75" s="123">
        <f>C70</f>
        <v>58912</v>
      </c>
      <c r="D75" s="119" t="s">
        <v>297</v>
      </c>
    </row>
    <row r="76" spans="2:4" x14ac:dyDescent="0.25">
      <c r="B76" s="124" t="s">
        <v>295</v>
      </c>
      <c r="C76" s="111">
        <f>SUM(C74:C75)</f>
        <v>149763</v>
      </c>
    </row>
    <row r="79" spans="2:4" x14ac:dyDescent="0.25">
      <c r="B79" s="80" t="s">
        <v>338</v>
      </c>
    </row>
    <row r="81" spans="2:4" x14ac:dyDescent="0.25">
      <c r="B81" s="26" t="s">
        <v>339</v>
      </c>
      <c r="C81" s="116">
        <f>C44</f>
        <v>230560</v>
      </c>
    </row>
    <row r="82" spans="2:4" x14ac:dyDescent="0.25">
      <c r="B82" s="26" t="s">
        <v>341</v>
      </c>
      <c r="C82" s="166">
        <f>C64</f>
        <v>768878</v>
      </c>
    </row>
    <row r="83" spans="2:4" x14ac:dyDescent="0.25">
      <c r="B83" s="80" t="s">
        <v>342</v>
      </c>
      <c r="C83" s="57">
        <f>SUM(C81:C82)</f>
        <v>999438</v>
      </c>
    </row>
    <row r="85" spans="2:4" ht="101.25" customHeight="1" x14ac:dyDescent="0.25">
      <c r="B85" s="318" t="s">
        <v>343</v>
      </c>
      <c r="C85" s="319"/>
      <c r="D85" s="319"/>
    </row>
    <row r="87" spans="2:4" x14ac:dyDescent="0.25">
      <c r="B87" s="26" t="s">
        <v>339</v>
      </c>
      <c r="C87" s="116">
        <f>C81</f>
        <v>230560</v>
      </c>
    </row>
    <row r="88" spans="2:4" x14ac:dyDescent="0.25">
      <c r="B88" s="26" t="s">
        <v>341</v>
      </c>
      <c r="C88" s="166">
        <f>C82</f>
        <v>768878</v>
      </c>
    </row>
    <row r="89" spans="2:4" x14ac:dyDescent="0.25">
      <c r="B89" s="80" t="s">
        <v>342</v>
      </c>
      <c r="C89" s="57">
        <f>SUM(C87:C88)</f>
        <v>999438</v>
      </c>
    </row>
    <row r="90" spans="2:4" x14ac:dyDescent="0.25">
      <c r="B90" s="26" t="s">
        <v>344</v>
      </c>
      <c r="C90" s="167">
        <v>0.1</v>
      </c>
    </row>
    <row r="91" spans="2:4" x14ac:dyDescent="0.25">
      <c r="B91" s="80" t="s">
        <v>345</v>
      </c>
      <c r="C91" s="57">
        <f>IFERROR(ROUND(C89*C90,0),0)</f>
        <v>99944</v>
      </c>
    </row>
    <row r="95" spans="2:4" x14ac:dyDescent="0.25">
      <c r="B95" s="186" t="s">
        <v>378</v>
      </c>
      <c r="C95" s="187">
        <v>2024</v>
      </c>
    </row>
    <row r="96" spans="2:4" x14ac:dyDescent="0.25">
      <c r="B96" s="186" t="s">
        <v>292</v>
      </c>
      <c r="C96" s="83">
        <f>C76</f>
        <v>149763</v>
      </c>
    </row>
    <row r="99" spans="2:5" ht="30" x14ac:dyDescent="0.25">
      <c r="B99" s="189" t="s">
        <v>379</v>
      </c>
      <c r="C99" s="188" t="s">
        <v>380</v>
      </c>
      <c r="D99" s="188" t="s">
        <v>332</v>
      </c>
    </row>
    <row r="100" spans="2:5" x14ac:dyDescent="0.25">
      <c r="B100" s="26" t="str">
        <f>IF(AND(C95&lt;&gt;"",C96&lt;&gt;""),"ISR del ejercico "&amp;$C$95,"")</f>
        <v>ISR del ejercico 2024</v>
      </c>
      <c r="C100" s="116"/>
      <c r="D100" s="116">
        <f>IFERROR(IF(C96&lt;&gt;"",C96-C100,""),"")</f>
        <v>149763</v>
      </c>
      <c r="E100" s="116"/>
    </row>
    <row r="101" spans="2:5" x14ac:dyDescent="0.25">
      <c r="B101" s="26" t="str">
        <f>IF(AND($C$96&gt;0,D100&gt;0),"Pago provisional de "&amp;TEXT(DATE($C$95,ROW(A1),1),"mmmm") &amp;" " &amp;$C$95+1,"")</f>
        <v>Pago provisional de enero 2025</v>
      </c>
      <c r="C101" s="116"/>
      <c r="D101" s="116">
        <f>IFERROR(IF(AND(B101&lt;&gt;"",B100&lt;&gt;""),D100-C101,""),"")</f>
        <v>149763</v>
      </c>
    </row>
    <row r="102" spans="2:5" x14ac:dyDescent="0.25">
      <c r="B102" s="26" t="str">
        <f t="shared" ref="B102" si="0">IF(AND($C$96&gt;0,D101&gt;0),"Pago provisional de "&amp;TEXT(DATE($C$95,ROW(A2),1),"mmmm") &amp;" " &amp;$C$95+1,"")</f>
        <v>Pago provisional de febrero 2025</v>
      </c>
      <c r="C102" s="116"/>
      <c r="D102" s="116">
        <f t="shared" ref="D102:D127" si="1">IFERROR(IF(AND(B102&lt;&gt;"",B101&lt;&gt;""),D101-C102,""),"")</f>
        <v>149763</v>
      </c>
    </row>
    <row r="103" spans="2:5" x14ac:dyDescent="0.25">
      <c r="B103" s="26" t="str">
        <f>IF(AND($C$96&gt;0,D102&gt;0,D102&lt;&gt;""),"Pago provisional de "&amp;TEXT(DATE($C$95,ROW(A3),1),"mmmm") &amp;" " &amp;$C$95+1,"")</f>
        <v>Pago provisional de marzo 2025</v>
      </c>
      <c r="C103" s="116"/>
      <c r="D103" s="116">
        <f t="shared" si="1"/>
        <v>149763</v>
      </c>
    </row>
    <row r="104" spans="2:5" x14ac:dyDescent="0.25">
      <c r="B104" s="26" t="str">
        <f t="shared" ref="B104:B112" si="2">IF(AND($C$96&gt;0,D103&gt;0,D103&lt;&gt;""),"Pago provisional de "&amp;TEXT(DATE($C$95,ROW(A4),1),"mmmm") &amp;" " &amp;$C$95+1,"")</f>
        <v>Pago provisional de abril 2025</v>
      </c>
      <c r="C104" s="116"/>
      <c r="D104" s="116">
        <f t="shared" si="1"/>
        <v>149763</v>
      </c>
    </row>
    <row r="105" spans="2:5" x14ac:dyDescent="0.25">
      <c r="B105" s="26" t="str">
        <f t="shared" si="2"/>
        <v>Pago provisional de mayo 2025</v>
      </c>
      <c r="C105" s="116"/>
      <c r="D105" s="116">
        <f t="shared" si="1"/>
        <v>149763</v>
      </c>
    </row>
    <row r="106" spans="2:5" x14ac:dyDescent="0.25">
      <c r="B106" s="26" t="str">
        <f t="shared" si="2"/>
        <v>Pago provisional de junio 2025</v>
      </c>
      <c r="C106" s="116"/>
      <c r="D106" s="116">
        <f t="shared" si="1"/>
        <v>149763</v>
      </c>
    </row>
    <row r="107" spans="2:5" x14ac:dyDescent="0.25">
      <c r="B107" s="26" t="str">
        <f t="shared" si="2"/>
        <v>Pago provisional de julio 2025</v>
      </c>
      <c r="C107" s="116"/>
      <c r="D107" s="116">
        <f t="shared" si="1"/>
        <v>149763</v>
      </c>
    </row>
    <row r="108" spans="2:5" x14ac:dyDescent="0.25">
      <c r="B108" s="26" t="str">
        <f t="shared" si="2"/>
        <v>Pago provisional de agosto 2025</v>
      </c>
      <c r="C108" s="116"/>
      <c r="D108" s="116">
        <f t="shared" si="1"/>
        <v>149763</v>
      </c>
    </row>
    <row r="109" spans="2:5" x14ac:dyDescent="0.25">
      <c r="B109" s="26" t="str">
        <f t="shared" si="2"/>
        <v>Pago provisional de septiembre 2025</v>
      </c>
      <c r="C109" s="116"/>
      <c r="D109" s="116">
        <f t="shared" si="1"/>
        <v>149763</v>
      </c>
    </row>
    <row r="110" spans="2:5" x14ac:dyDescent="0.25">
      <c r="B110" s="26" t="str">
        <f t="shared" si="2"/>
        <v>Pago provisional de octubre 2025</v>
      </c>
      <c r="C110" s="116"/>
      <c r="D110" s="116">
        <f t="shared" si="1"/>
        <v>149763</v>
      </c>
    </row>
    <row r="111" spans="2:5" x14ac:dyDescent="0.25">
      <c r="B111" s="26" t="str">
        <f t="shared" si="2"/>
        <v>Pago provisional de noviembre 2025</v>
      </c>
      <c r="C111" s="116"/>
      <c r="D111" s="116">
        <f t="shared" si="1"/>
        <v>149763</v>
      </c>
    </row>
    <row r="112" spans="2:5" x14ac:dyDescent="0.25">
      <c r="B112" s="26" t="str">
        <f t="shared" si="2"/>
        <v>Pago provisional de diciembre 2025</v>
      </c>
      <c r="C112" s="116"/>
      <c r="D112" s="116">
        <f t="shared" si="1"/>
        <v>149763</v>
      </c>
    </row>
    <row r="113" spans="2:4" x14ac:dyDescent="0.25">
      <c r="B113" s="26" t="str">
        <f>IF(AND($C$96&gt;0,D112&gt;0,D112&lt;&gt;""),"ISR del ejercicio "&amp;$C$95+1,"")</f>
        <v>ISR del ejercicio 2025</v>
      </c>
      <c r="C113" s="116"/>
      <c r="D113" s="116">
        <f t="shared" si="1"/>
        <v>149763</v>
      </c>
    </row>
    <row r="114" spans="2:4" x14ac:dyDescent="0.25">
      <c r="B114" s="26" t="str">
        <f>IF(AND($C$96&gt;0,D113&gt;0,D113&lt;&gt;""),"Pago provisional de "&amp;TEXT(DATE($C$95,ROW(A1),1),"mmmm")&amp; " "&amp;$C$95+2,"")</f>
        <v>Pago provisional de enero 2026</v>
      </c>
      <c r="C114" s="116"/>
      <c r="D114" s="116">
        <f t="shared" si="1"/>
        <v>149763</v>
      </c>
    </row>
    <row r="115" spans="2:4" x14ac:dyDescent="0.25">
      <c r="B115" s="26" t="str">
        <f t="shared" ref="B115:B126" si="3">IF(AND($C$96&gt;0,D114&gt;0,D114&lt;&gt;""),"Pago provisional de "&amp;TEXT(DATE($C$95,ROW(A2),1),"mmmm")&amp; " "&amp;$C$95+2,"")</f>
        <v>Pago provisional de febrero 2026</v>
      </c>
      <c r="C115" s="116"/>
      <c r="D115" s="116">
        <f t="shared" si="1"/>
        <v>149763</v>
      </c>
    </row>
    <row r="116" spans="2:4" x14ac:dyDescent="0.25">
      <c r="B116" s="26" t="str">
        <f t="shared" si="3"/>
        <v>Pago provisional de marzo 2026</v>
      </c>
      <c r="C116" s="116"/>
      <c r="D116" s="116">
        <f t="shared" si="1"/>
        <v>149763</v>
      </c>
    </row>
    <row r="117" spans="2:4" x14ac:dyDescent="0.25">
      <c r="B117" s="26" t="str">
        <f t="shared" si="3"/>
        <v>Pago provisional de abril 2026</v>
      </c>
      <c r="C117" s="116"/>
      <c r="D117" s="116">
        <f t="shared" si="1"/>
        <v>149763</v>
      </c>
    </row>
    <row r="118" spans="2:4" x14ac:dyDescent="0.25">
      <c r="B118" s="26" t="str">
        <f t="shared" si="3"/>
        <v>Pago provisional de mayo 2026</v>
      </c>
      <c r="C118" s="116"/>
      <c r="D118" s="116">
        <f t="shared" si="1"/>
        <v>149763</v>
      </c>
    </row>
    <row r="119" spans="2:4" x14ac:dyDescent="0.25">
      <c r="B119" s="26" t="str">
        <f t="shared" si="3"/>
        <v>Pago provisional de junio 2026</v>
      </c>
      <c r="C119" s="116"/>
      <c r="D119" s="116">
        <f t="shared" si="1"/>
        <v>149763</v>
      </c>
    </row>
    <row r="120" spans="2:4" x14ac:dyDescent="0.25">
      <c r="B120" s="26" t="str">
        <f t="shared" si="3"/>
        <v>Pago provisional de julio 2026</v>
      </c>
      <c r="C120" s="116"/>
      <c r="D120" s="116">
        <f t="shared" si="1"/>
        <v>149763</v>
      </c>
    </row>
    <row r="121" spans="2:4" x14ac:dyDescent="0.25">
      <c r="B121" s="26" t="str">
        <f t="shared" si="3"/>
        <v>Pago provisional de agosto 2026</v>
      </c>
      <c r="C121" s="116"/>
      <c r="D121" s="116">
        <f t="shared" si="1"/>
        <v>149763</v>
      </c>
    </row>
    <row r="122" spans="2:4" x14ac:dyDescent="0.25">
      <c r="B122" s="26" t="str">
        <f t="shared" si="3"/>
        <v>Pago provisional de septiembre 2026</v>
      </c>
      <c r="C122" s="116"/>
      <c r="D122" s="116">
        <f t="shared" si="1"/>
        <v>149763</v>
      </c>
    </row>
    <row r="123" spans="2:4" x14ac:dyDescent="0.25">
      <c r="B123" s="26" t="str">
        <f t="shared" si="3"/>
        <v>Pago provisional de octubre 2026</v>
      </c>
      <c r="C123" s="116"/>
      <c r="D123" s="116">
        <f t="shared" si="1"/>
        <v>149763</v>
      </c>
    </row>
    <row r="124" spans="2:4" x14ac:dyDescent="0.25">
      <c r="B124" s="26" t="str">
        <f t="shared" si="3"/>
        <v>Pago provisional de noviembre 2026</v>
      </c>
      <c r="C124" s="116"/>
      <c r="D124" s="116">
        <f t="shared" si="1"/>
        <v>149763</v>
      </c>
    </row>
    <row r="125" spans="2:4" x14ac:dyDescent="0.25">
      <c r="B125" s="26" t="str">
        <f t="shared" si="3"/>
        <v>Pago provisional de diciembre 2026</v>
      </c>
      <c r="C125" s="116"/>
      <c r="D125" s="116">
        <f t="shared" si="1"/>
        <v>149763</v>
      </c>
    </row>
    <row r="126" spans="2:4" x14ac:dyDescent="0.25">
      <c r="B126" s="26" t="str">
        <f t="shared" si="3"/>
        <v>Pago provisional de enero 2026</v>
      </c>
      <c r="C126" s="116"/>
      <c r="D126" s="116">
        <f t="shared" si="1"/>
        <v>149763</v>
      </c>
    </row>
    <row r="127" spans="2:4" x14ac:dyDescent="0.25">
      <c r="B127" s="26" t="str">
        <f>IF(AND($C$96&gt;0,D126&gt;0,D126&lt;&gt;""),"ISR ejercicio "&amp;$C$95+2,"")</f>
        <v>ISR ejercicio 2026</v>
      </c>
      <c r="C127" s="116"/>
      <c r="D127" s="116">
        <f t="shared" si="1"/>
        <v>149763</v>
      </c>
    </row>
    <row r="128" spans="2:4" x14ac:dyDescent="0.25">
      <c r="D128" s="116"/>
    </row>
    <row r="129" spans="4:4" x14ac:dyDescent="0.25">
      <c r="D129" s="116"/>
    </row>
  </sheetData>
  <sheetProtection algorithmName="SHA-512" hashValue="Kc3mtg/mPQ/MGQHxk103Gt3zf/+FgP4m+JkEy2xqkm8PWv0fWuw2trnCrAHkVSUX1nVNVAe93HqfISK02QNosA==" saltValue="yP+qIiR8iHsoUAsao8Tugw==" spinCount="100000" sheet="1" objects="1" scenarios="1" formatCells="0" formatColumns="0" formatRows="0" insertColumns="0" insertRows="0" insertHyperlinks="0" deleteColumns="0" deleteRows="0" selectLockedCells="1" sort="0" autoFilter="0"/>
  <mergeCells count="8">
    <mergeCell ref="B85:D85"/>
    <mergeCell ref="B58:J58"/>
    <mergeCell ref="B3:J3"/>
    <mergeCell ref="B5:J5"/>
    <mergeCell ref="B14:J14"/>
    <mergeCell ref="B24:J24"/>
    <mergeCell ref="B36:J36"/>
    <mergeCell ref="B52:J52"/>
  </mergeCells>
  <conditionalFormatting sqref="C100">
    <cfRule type="expression" dxfId="14" priority="2">
      <formula>IF($B$100&lt;&gt;"",1,0)</formula>
    </cfRule>
  </conditionalFormatting>
  <conditionalFormatting sqref="C101:C127">
    <cfRule type="expression" dxfId="13" priority="4">
      <formula>IF(B101&lt;&gt;"",1,0)</formula>
    </cfRule>
  </conditionalFormatting>
  <conditionalFormatting sqref="D100">
    <cfRule type="expression" dxfId="12" priority="1">
      <formula>IF($B$100&lt;&gt;"",1,0)</formula>
    </cfRule>
  </conditionalFormatting>
  <conditionalFormatting sqref="D101:D127">
    <cfRule type="expression" dxfId="11" priority="3">
      <formula>IF(B101&lt;&gt;"",1,0)</formula>
    </cfRule>
  </conditionalFormatting>
  <hyperlinks>
    <hyperlink ref="G10" location="REDUCCIONC!A11" display="①" xr:uid="{39C7F157-FBBC-463A-A6DE-44A1D53B6535}"/>
    <hyperlink ref="A11" location="REDUCCIONC!G10" display="①" xr:uid="{E14A62A5-EE78-418A-BD25-844214C1BBF4}"/>
    <hyperlink ref="G30" location="REDUCCIONC!A33" display="②" xr:uid="{75B59CE7-8A13-4F31-B9B0-E43DC2C878C4}"/>
    <hyperlink ref="A33" location="REDUCCIONC!G30" display="②" xr:uid="{942C6532-0FBA-4A02-A8CA-841D8C201F61}"/>
    <hyperlink ref="H26" location="REDUCCIONC!D65" display="⑥" xr:uid="{2D1C7758-7BAE-45CD-BB2F-9E8F559B7171}"/>
    <hyperlink ref="H30" location="REDUCCIONC!D65" display="⑥" xr:uid="{F854B51C-4404-42BF-B174-7667002234BC}"/>
    <hyperlink ref="D65" location="REDUCCIONC!H26" display="⑥" xr:uid="{132CBE3C-6888-42FF-9EF3-09D3E7472A53}"/>
    <hyperlink ref="D50" location="REDUCCIONC!D74" display="⑦" xr:uid="{F3453F76-2BA6-4109-AAE3-FAD30C53C735}"/>
    <hyperlink ref="D74" location="REDUCCIONC!D50" display="⑦" xr:uid="{BC4904FD-37E4-4908-A59F-6084BD1C2589}"/>
    <hyperlink ref="G8" location="REDUCCIONC!D61" display="③" xr:uid="{E546D1D3-0138-434D-97FC-FC7B9E4A7928}"/>
    <hyperlink ref="D55" location="REDUCCIONC!D61" display="③" xr:uid="{33280B7B-843F-45F7-B5CF-921A46C6F751}"/>
    <hyperlink ref="D61" location="REDUCCIONC!G8" display="③" xr:uid="{E215378F-D5D5-4F04-89CE-6A94971C0190}"/>
    <hyperlink ref="D56" location="REDUCCIONC!D62" display="④" xr:uid="{11F41C79-1CE5-491E-9B75-A7DB328F99AC}"/>
    <hyperlink ref="D62" location="REDUCCIONC!D56" display="④" xr:uid="{80D48B3B-045B-43E9-9B8C-66DAB5D3AD1F}"/>
    <hyperlink ref="D22" location="REDUCCIONC!D63" display="⑤" xr:uid="{8CEF6E75-0DD3-434A-9AF2-5CC2827FF95A}"/>
    <hyperlink ref="D63" location="REDUCCIONC!D22" display="⑤" xr:uid="{C67CD9BF-C1C6-441B-8612-51C62CD3E4D4}"/>
    <hyperlink ref="D70" location="REDUCCIONC!D75" display="⑧" xr:uid="{C199A8FD-C745-4363-82EA-79CA69A736AC}"/>
    <hyperlink ref="D75" location="REDUCCIONC!D70" display="⑧" xr:uid="{23E8E355-5081-43CB-A18E-C64CEE9A676A}"/>
    <hyperlink ref="B3:J3" location="FUNDAMENTO!B14" display="FUNDAMENTO!B14" xr:uid="{B58B22E5-D88A-48B2-A94E-8967317BE715}"/>
    <hyperlink ref="B54" location="FUNDAMENTO!B5" display="Capital contable según el estado de posición financiera aprobado por la asamblea de accionistas para fines de dicha disminución" xr:uid="{DACCBB65-A8A1-419E-96E1-4B85A41F35C3}"/>
    <hyperlink ref="E8" location="CUCA!B3" display="Saldo de la CUCA a la fecha de pago" xr:uid="{22E5CAC0-08D9-4DC9-99B7-7538A148E9A0}"/>
    <hyperlink ref="E26" location="CUFIN!B6" display="Saldo de la CUFIN a la fecha de pago" xr:uid="{E6D5223E-6A90-4FE4-8AA9-CEB125124849}"/>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7" id="{BCE779FD-1DD8-4FF1-8BB4-24BB508319DC}">
            <xm:f>IF(PORTADA!$C$14=5412365,1,0)</xm:f>
            <x14:dxf>
              <font>
                <color theme="1"/>
              </font>
            </x14:dxf>
          </x14:cfRule>
          <xm:sqref>B5:J5 B8:B9 E9 E10:F10 B10:C12 B14:J14 B16:B17 B18:C22 B24:J24 B26:B27 E27:E30 F28:F30 B28:C34 B36:J36 B38:B39 B41:C43 B45:C49 B55:C56 B58:J58 B60:B61 C61 B62:C69</xm:sqref>
        </x14:conditionalFormatting>
        <x14:conditionalFormatting xmlns:xm="http://schemas.microsoft.com/office/excel/2006/main">
          <x14:cfRule type="expression" priority="6" id="{1BDC69ED-5AC3-48B5-8D5B-24A1DEC56C93}">
            <xm:f>IF(PORTADA!$C$14=5412365,1,0)</xm:f>
            <x14:dxf>
              <font>
                <b/>
                <i/>
                <color theme="1"/>
              </font>
              <fill>
                <gradientFill degree="270">
                  <stop position="0">
                    <color rgb="FFC00000"/>
                  </stop>
                  <stop position="1">
                    <color rgb="FFFFFF00"/>
                  </stop>
                </gradientFill>
              </fill>
            </x14:dxf>
          </x14:cfRule>
          <xm:sqref>F1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4</vt:i4>
      </vt:variant>
    </vt:vector>
  </HeadingPairs>
  <TitlesOfParts>
    <vt:vector size="19" baseType="lpstr">
      <vt:lpstr>PORTADA</vt:lpstr>
      <vt:lpstr>MENU</vt:lpstr>
      <vt:lpstr>RFCS</vt:lpstr>
      <vt:lpstr>UTILIDAD</vt:lpstr>
      <vt:lpstr>DIVIDENDOS</vt:lpstr>
      <vt:lpstr>CUFIN</vt:lpstr>
      <vt:lpstr>CALCULOS</vt:lpstr>
      <vt:lpstr>NODEDUCE</vt:lpstr>
      <vt:lpstr>REDUCCIONC</vt:lpstr>
      <vt:lpstr>CUCA</vt:lpstr>
      <vt:lpstr>FUNDAMENTO</vt:lpstr>
      <vt:lpstr>ISRDPF</vt:lpstr>
      <vt:lpstr>ACONTABLE</vt:lpstr>
      <vt:lpstr>INPC</vt:lpstr>
      <vt:lpstr>TARIFA</vt:lpstr>
      <vt:lpstr>INPCA</vt:lpstr>
      <vt:lpstr>INPCM</vt:lpstr>
      <vt:lpstr>TARIFAA</vt:lpstr>
      <vt:lpstr>TINPC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Alberto Monroy</cp:lastModifiedBy>
  <dcterms:created xsi:type="dcterms:W3CDTF">2024-07-16T23:12:52Z</dcterms:created>
  <dcterms:modified xsi:type="dcterms:W3CDTF">2025-10-08T17:49:41Z</dcterms:modified>
</cp:coreProperties>
</file>