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1013b28e737d044/2026/Administración Financiera/COFIDE Sem Gestión financiera estratégica/M3 Control de gestión y admón de riesgos/"/>
    </mc:Choice>
  </mc:AlternateContent>
  <xr:revisionPtr revIDLastSave="19" documentId="8_{CCE92BC5-E80C-4932-993C-5EE077A54121}" xr6:coauthVersionLast="47" xr6:coauthVersionMax="47" xr10:uidLastSave="{66BBA68B-1FC4-4283-AA2D-2ECD058DD3D5}"/>
  <bookViews>
    <workbookView xWindow="8" yWindow="0" windowWidth="21592" windowHeight="12780" activeTab="4" xr2:uid="{7877F175-D015-43A9-9120-D3FDF4FF6FB7}"/>
  </bookViews>
  <sheets>
    <sheet name="Actividad 1" sheetId="2" r:id="rId1"/>
    <sheet name="Actividad 2" sheetId="3" r:id="rId2"/>
    <sheet name="Actividad 3" sheetId="4" r:id="rId3"/>
    <sheet name="Actividad 4" sheetId="5" r:id="rId4"/>
    <sheet name="Actividad 5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3" i="6" l="1"/>
  <c r="G14" i="6"/>
  <c r="G15" i="6"/>
  <c r="G16" i="6"/>
  <c r="G17" i="6"/>
  <c r="G18" i="6"/>
  <c r="G19" i="6"/>
  <c r="F13" i="6"/>
  <c r="F14" i="6"/>
  <c r="F15" i="6"/>
  <c r="F16" i="6"/>
  <c r="F17" i="6"/>
  <c r="F18" i="6"/>
  <c r="F19" i="6"/>
  <c r="A38" i="4"/>
  <c r="E18" i="4"/>
  <c r="E19" i="4"/>
  <c r="E20" i="4"/>
  <c r="E21" i="4"/>
  <c r="E22" i="4"/>
  <c r="E23" i="4"/>
  <c r="E24" i="4"/>
  <c r="E25" i="4"/>
  <c r="F18" i="4"/>
  <c r="F19" i="4"/>
  <c r="F20" i="4"/>
  <c r="F21" i="4"/>
  <c r="F22" i="4"/>
  <c r="F23" i="4"/>
  <c r="F24" i="4"/>
  <c r="F25" i="4"/>
  <c r="D18" i="4"/>
  <c r="D19" i="4"/>
  <c r="D20" i="4"/>
  <c r="D21" i="4"/>
  <c r="D22" i="4"/>
  <c r="D23" i="4"/>
  <c r="D24" i="4"/>
  <c r="D25" i="4"/>
  <c r="A20" i="3"/>
  <c r="D17" i="3"/>
  <c r="B30" i="3"/>
  <c r="B29" i="3"/>
  <c r="B28" i="3"/>
  <c r="B27" i="3"/>
  <c r="C17" i="3"/>
  <c r="B17" i="3"/>
  <c r="C16" i="3"/>
  <c r="B16" i="3"/>
  <c r="D15" i="3"/>
  <c r="C15" i="3"/>
  <c r="B15" i="3"/>
  <c r="G5" i="3"/>
  <c r="G6" i="3"/>
  <c r="G7" i="3"/>
  <c r="G8" i="3"/>
  <c r="G9" i="3"/>
  <c r="G10" i="3"/>
  <c r="G11" i="3"/>
  <c r="F5" i="3"/>
  <c r="F6" i="3"/>
  <c r="F7" i="3"/>
  <c r="F8" i="3"/>
  <c r="F9" i="3"/>
  <c r="F10" i="3"/>
  <c r="F11" i="3"/>
  <c r="E5" i="3"/>
  <c r="E6" i="3"/>
  <c r="E7" i="3"/>
  <c r="E8" i="3"/>
  <c r="E9" i="3"/>
  <c r="E10" i="3"/>
  <c r="E11" i="3"/>
  <c r="D5" i="3"/>
  <c r="D6" i="3"/>
  <c r="D7" i="3"/>
  <c r="D8" i="3"/>
  <c r="D9" i="3"/>
  <c r="D10" i="3"/>
  <c r="D11" i="3"/>
</calcChain>
</file>

<file path=xl/sharedStrings.xml><?xml version="1.0" encoding="utf-8"?>
<sst xmlns="http://schemas.openxmlformats.org/spreadsheetml/2006/main" count="403" uniqueCount="338">
  <si>
    <t>Resultado esperado</t>
  </si>
  <si>
    <t>Actividad 1 - Radiografía de una empresa sin control de gestión</t>
  </si>
  <si>
    <t>Caso: Muebles Colonial de Michoacán, S.A. de C.V. | Diagnóstico del ciclo de control de gestión, riesgo financiero y responsables.</t>
  </si>
  <si>
    <t>Prioridad</t>
  </si>
  <si>
    <t>No.</t>
  </si>
  <si>
    <t>Síntoma</t>
  </si>
  <si>
    <t>Componente principal</t>
  </si>
  <si>
    <t>Debilidad de control interno</t>
  </si>
  <si>
    <t>Riesgo financiero</t>
  </si>
  <si>
    <t>Quién debe atenderlo</t>
  </si>
  <si>
    <t>Justificación breve</t>
  </si>
  <si>
    <t>* El almacenista es el mismo que compra, recibe y registra la mercancía.</t>
  </si>
  <si>
    <t>E</t>
  </si>
  <si>
    <t>Sí *</t>
  </si>
  <si>
    <t>Muy alto</t>
  </si>
  <si>
    <t>Dirección, Compras, Almacén y Contabilidad</t>
  </si>
  <si>
    <t>Concentración de funciones críticas: facilita errores, compras no autorizadas, robo o registros manipulados.</t>
  </si>
  <si>
    <t>* Se detectó un faltante de inventario de $300,000 ocho meses después de ocurrido.</t>
  </si>
  <si>
    <t>C</t>
  </si>
  <si>
    <t>Almacén, Contabilidad y Dirección</t>
  </si>
  <si>
    <t>La pérdida ya ocurrió y el retraso muestra ausencia de conteos, conciliación y alertas oportunas.</t>
  </si>
  <si>
    <t>* Cada vendedor da los descuentos que quiere, sin política autorizada.</t>
  </si>
  <si>
    <t>Alto</t>
  </si>
  <si>
    <t>Dirección Comercial y Finanzas</t>
  </si>
  <si>
    <t>Puede destruir margen, generar trato desigual a clientes y ocultar ventas mal autorizadas.</t>
  </si>
  <si>
    <t>Se compró maquinaria cara que se usa al 20% de su capacidad; nadie evaluó el proyecto antes ni después.</t>
  </si>
  <si>
    <t>Ev</t>
  </si>
  <si>
    <t>No</t>
  </si>
  <si>
    <t>Dirección General, Producción y Finanzas</t>
  </si>
  <si>
    <t>Inmoviliza capital y reduce rentabilidad; faltó análisis de inversión y revisión posterior.</t>
  </si>
  <si>
    <t>No existe presupuesto anual; se gasta “según se vaya necesitando”.</t>
  </si>
  <si>
    <t>P</t>
  </si>
  <si>
    <t>Dirección General y Finanzas</t>
  </si>
  <si>
    <t>Sin presupuesto no hay límites, prioridades ni base para decidir si el gasto es razonable.</t>
  </si>
  <si>
    <t>Nadie compara lo gastado contra lo planeado, porque no hay nada planeado.</t>
  </si>
  <si>
    <t>Medio-alto</t>
  </si>
  <si>
    <t>Finanzas y responsables de área</t>
  </si>
  <si>
    <t>Falla el seguimiento presupuestal; primero debe existir plan y después comparación mensual.</t>
  </si>
  <si>
    <t>Los estados financieros se emiten tres meses después del cierre y nadie los revisa.</t>
  </si>
  <si>
    <t>Contabilidad, Finanzas y Dirección</t>
  </si>
  <si>
    <t>La información llega tarde y sin revisión; se pierden acciones correctivas y se eleva el riesgo de errores no detectados.</t>
  </si>
  <si>
    <t>No hay indicadores: la única cifra que ve la dirección es el saldo del banco.</t>
  </si>
  <si>
    <t>Medio</t>
  </si>
  <si>
    <t>Dirección y Finanzas</t>
  </si>
  <si>
    <t>El banco no mide utilidad, margen, inventario, cartera ni productividad; se dirige sin tablero.</t>
  </si>
  <si>
    <t>Las metas de ventas “se platican” en enero pero no se escriben ni se les da seguimiento.</t>
  </si>
  <si>
    <t>Dirección Comercial</t>
  </si>
  <si>
    <t>Metas informales no obligan, no se miden y no permiten corregir desempeño durante el año.</t>
  </si>
  <si>
    <t>Al final del año nadie analiza por qué la utilidad fue menor a la esperada; “así salió”.</t>
  </si>
  <si>
    <t>Dirección, Finanzas y todas las áreas</t>
  </si>
  <si>
    <t>Sin evaluación no hay aprendizaje ni ajustes al plan, precios, costos o productividad.</t>
  </si>
  <si>
    <t>TRES ACCIONES INMEDIATAS DE BAJO COSTO (PRIMEROS 30 DÍAS)</t>
  </si>
  <si>
    <t>Acción inmediata</t>
  </si>
  <si>
    <t>Separar funciones en almacén y compras: quien compra no recibe, quien recibe no registra, y toda salida requiere vale firmado.</t>
  </si>
  <si>
    <t>Reducir riesgo de fraude/error e iniciar trazabilidad de inventario sin invertir en sistemas nuevos.</t>
  </si>
  <si>
    <t>Implantar un tablero semanal simple con ventas, margen bruto, cartera, inventario, descuentos y saldo de banco.</t>
  </si>
  <si>
    <t>Dar visibilidad temprana a dirección y dejar de depender solo del cierre anual o del efectivo disponible.</t>
  </si>
  <si>
    <t>Crear presupuesto mensual básico por área y política escrita de descuentos/autorizaciones.</t>
  </si>
  <si>
    <t>Establecer metas, límites de gasto y reglas comerciales medibles para comparar contra lo real.</t>
  </si>
  <si>
    <t>REFLEXIÓN: CONTROL DE GESTIÓN VS. CONTABILIDAD</t>
  </si>
  <si>
    <t>La contabilidad registra y reporta lo que ya ocurrió; el control de gestión usa esa información para planear, ejecutar, corregir y evaluar decisiones. Por eso no basta con cerrar libros: se necesitan metas, responsables, indicadores, alertas y acciones correctivas durante el año.</t>
  </si>
  <si>
    <t>Actividad 2 - Control presupuestal: análisis de variaciones que duelen</t>
  </si>
  <si>
    <t>Caso: Química Industrial del Valle de Toluca, S.A. de C.V. | Presupuesto vs. real del mes y explicación del golpe a la utilidad.</t>
  </si>
  <si>
    <t>Concepto</t>
  </si>
  <si>
    <t>Presupuesto</t>
  </si>
  <si>
    <t>Real</t>
  </si>
  <si>
    <t>Variación $</t>
  </si>
  <si>
    <t>Variación %</t>
  </si>
  <si>
    <t>F / D</t>
  </si>
  <si>
    <t>Investigar &gt;5%</t>
  </si>
  <si>
    <t>Comentario de control</t>
  </si>
  <si>
    <t>Ventas</t>
  </si>
  <si>
    <t>Costo de ventas</t>
  </si>
  <si>
    <t>Utilidad bruta</t>
  </si>
  <si>
    <t>Gastos de venta</t>
  </si>
  <si>
    <t>Gastos de administración</t>
  </si>
  <si>
    <t>Gastos financieros</t>
  </si>
  <si>
    <t>Utilidad del mes</t>
  </si>
  <si>
    <t>Ventas menores reducen margen disponible para absorber costos fijos.</t>
  </si>
  <si>
    <t>Aunque baja en pesos, sube como porcentaje de ventas: revisar mezcla, precio o merma.</t>
  </si>
  <si>
    <t>Resume el golpe combinado de ventas menores y costo relativo mayor.</t>
  </si>
  <si>
    <t>Gasto crece pese a ventas menores; revisar comisiones, promociones y viáticos.</t>
  </si>
  <si>
    <t>Ahorro menor; favorable pero no compensa otras desviaciones.</t>
  </si>
  <si>
    <t>Aumento relevante; revisar deuda, intereses y pagos tardíos.</t>
  </si>
  <si>
    <t>Resultado final: caída fuerte de utilidad por efecto combinado.</t>
  </si>
  <si>
    <t>ANÁLISIS CON LUPA: COSTO DE VENTAS</t>
  </si>
  <si>
    <t>Métrica</t>
  </si>
  <si>
    <t>Lectura</t>
  </si>
  <si>
    <t>Costo de ventas / ventas</t>
  </si>
  <si>
    <t>Costo real esperado al 60% de ventas reales</t>
  </si>
  <si>
    <t>Sobrecosto real vs 60% esperado</t>
  </si>
  <si>
    <t>Comparación contra costo que habría correspondido al 60% presupuestado.</t>
  </si>
  <si>
    <t>EXPLICACIÓN EJECUTIVA PARA EL DIRECTOR</t>
  </si>
  <si>
    <t>Indicador clave</t>
  </si>
  <si>
    <t>Valor</t>
  </si>
  <si>
    <t>Interpretación</t>
  </si>
  <si>
    <t>Acción</t>
  </si>
  <si>
    <t>Caída ventas</t>
  </si>
  <si>
    <t>Menor volumen o precio realizado</t>
  </si>
  <si>
    <t>Investigar clientes, precios y mezcla</t>
  </si>
  <si>
    <t>Caída utilidad</t>
  </si>
  <si>
    <t>Golpe acumulado al resultado</t>
  </si>
  <si>
    <t>Prioridad de dirección</t>
  </si>
  <si>
    <t>Costo ventas real %</t>
  </si>
  <si>
    <t>Costo relativo mayor al presupuestado</t>
  </si>
  <si>
    <t>Revisar materia prima, mermas y mezcla</t>
  </si>
  <si>
    <t>Variaciones a investigar</t>
  </si>
  <si>
    <t>Regla &gt;5% aplicada</t>
  </si>
  <si>
    <t>Asignar responsables esta semana</t>
  </si>
  <si>
    <t>Actividad 3 - Del estado financiero al tablero: indicadores de control con semáforo</t>
  </si>
  <si>
    <t>Caso: Servicios Logísticos del Centro, S.A. de C.V. | Indicadores financieros del cierre, semáforo y mensaje al consejo.</t>
  </si>
  <si>
    <t>Importe</t>
  </si>
  <si>
    <t>Ventas netas anuales</t>
  </si>
  <si>
    <t>Utilidad de operación</t>
  </si>
  <si>
    <t>Utilidad neta</t>
  </si>
  <si>
    <t>Activo circulante</t>
  </si>
  <si>
    <t>Efectivo y clientes</t>
  </si>
  <si>
    <t>Saldo de clientes</t>
  </si>
  <si>
    <t>Activo total</t>
  </si>
  <si>
    <t>Pasivo circulante</t>
  </si>
  <si>
    <t>Pasivo total</t>
  </si>
  <si>
    <t>Capital contable</t>
  </si>
  <si>
    <t>TABLERO DE CONTROL FINANCIERO</t>
  </si>
  <si>
    <t>Indicador</t>
  </si>
  <si>
    <t>Fórmula</t>
  </si>
  <si>
    <t>Meta</t>
  </si>
  <si>
    <t>Resultado</t>
  </si>
  <si>
    <t>Semáforo</t>
  </si>
  <si>
    <t>Distancia vs meta</t>
  </si>
  <si>
    <t>Vigilar mensual</t>
  </si>
  <si>
    <t>Razón circulante</t>
  </si>
  <si>
    <t>AC ÷ PC</t>
  </si>
  <si>
    <t>≥ 1.5</t>
  </si>
  <si>
    <t>Liquidez corriente para cubrir obligaciones de corto plazo.</t>
  </si>
  <si>
    <t>Prueba del ácido</t>
  </si>
  <si>
    <t>(Efectivo + Clientes) ÷ PC</t>
  </si>
  <si>
    <t>≥ 1.0</t>
  </si>
  <si>
    <t>Liquidez rápida sin depender de inventarios u otros circulantes.</t>
  </si>
  <si>
    <t>Margen de operación</t>
  </si>
  <si>
    <t>Ut. operación ÷ Ventas</t>
  </si>
  <si>
    <t>≥ 10%</t>
  </si>
  <si>
    <t>Rentabilidad del negocio antes de financiamiento e impuestos.</t>
  </si>
  <si>
    <t>Margen neto</t>
  </si>
  <si>
    <t>Ut. neta ÷ Ventas</t>
  </si>
  <si>
    <t>≥ 7%</t>
  </si>
  <si>
    <t>Utilidad final generada por cada peso vendido.</t>
  </si>
  <si>
    <t>ROA</t>
  </si>
  <si>
    <t>Ut. neta ÷ Activo total</t>
  </si>
  <si>
    <t>≥ 8%</t>
  </si>
  <si>
    <t>Rendimiento de los activos invertidos.</t>
  </si>
  <si>
    <t>ROE</t>
  </si>
  <si>
    <t>Ut. neta ÷ Capital</t>
  </si>
  <si>
    <t>≥ 18%</t>
  </si>
  <si>
    <t>Rendimiento para los accionistas.</t>
  </si>
  <si>
    <t>Endeudamiento</t>
  </si>
  <si>
    <t>Pasivo total ÷ Activo total</t>
  </si>
  <si>
    <t>≤ 55%</t>
  </si>
  <si>
    <t>Nivel de apalancamiento financiero.</t>
  </si>
  <si>
    <t>Días de cartera</t>
  </si>
  <si>
    <t>Clientes ÷ Ventas × 365</t>
  </si>
  <si>
    <t>≤ 45 días</t>
  </si>
  <si>
    <t>Tiempo promedio de recuperación de ventas a crédito.</t>
  </si>
  <si>
    <t>Sí</t>
  </si>
  <si>
    <t>HISTORIA QUE CUENTAN LOS FOCOS ROJOS</t>
  </si>
  <si>
    <t>DOS INDICADORES A VIGILAR CADA MES</t>
  </si>
  <si>
    <t>Por qué mensual</t>
  </si>
  <si>
    <t>Acción sugerida</t>
  </si>
  <si>
    <t>Mide si precios, costos y gastos operativos están generando utilidad antes de financiamiento; se puede corregir durante el mes.</t>
  </si>
  <si>
    <t>Revisar tarifas, costos por ruta/cliente, productividad y gastos operativos.</t>
  </si>
  <si>
    <t>El exceso de deuda presiona liquidez y utilidad neta vía intereses; no debe revisarse solo al cierre anual.</t>
  </si>
  <si>
    <t>Plan mensual de reducción de pasivos, renegociación y control de nuevas obligaciones.</t>
  </si>
  <si>
    <t>MENSAJE DE 60 SEGUNDOS AL CONSEJO</t>
  </si>
  <si>
    <t>Los focos rojos se concentran en rentabilidad y cobranza: el margen neto, ROA y ROE no alcanzan la meta, y los días de cartera llegan a 60 contra una meta de 45. Además, el endeudamiento está en amarillo en 60.0%, por encima del límite de 55%, aunque dentro del margen cercano de alerta. La historia conjunta es clara: la empresa tiene liquidez aceptable, pero cobra lento, convierte poco las ventas en utilidad final y opera con presión de deuda.</t>
  </si>
  <si>
    <t>Caso: Exportadora del Pacífico | Registro de riesgos, alertas tempranas y selección para evaluación cuantitativa.</t>
  </si>
  <si>
    <t>Hecho</t>
  </si>
  <si>
    <t>Información</t>
  </si>
  <si>
    <t>Dato crítico</t>
  </si>
  <si>
    <t>Lectura de riesgo</t>
  </si>
  <si>
    <t>Compras en USD</t>
  </si>
  <si>
    <t>US$500,000 trimestrales; sin cobertura cambiaria</t>
  </si>
  <si>
    <t>Exposición trimestral en dólares</t>
  </si>
  <si>
    <t>Un alza del tipo de cambio aumenta costo de insumos y presión de caja.</t>
  </si>
  <si>
    <t>Ventas a crédito</t>
  </si>
  <si>
    <t>$18,000,000 anuales; 40% concentrado en dos clientes</t>
  </si>
  <si>
    <t>$7,200,000 concentrados</t>
  </si>
  <si>
    <t>La mora de pocos clientes puede afectar de forma material el flujo.</t>
  </si>
  <si>
    <t>Deuda bancaria</t>
  </si>
  <si>
    <t>$8,000,000 a TIIE + 5 puntos; revisión mensual</t>
  </si>
  <si>
    <t>Tasa variable mensual</t>
  </si>
  <si>
    <t>La tasa puede subir y elevar intereses rápidamente.</t>
  </si>
  <si>
    <t>Caja disponible</t>
  </si>
  <si>
    <t>$900,000; salidas mensuales promedio $3,600,000</t>
  </si>
  <si>
    <t>7.5 días de cobertura</t>
  </si>
  <si>
    <t>La caja cubre solo una cuarta parte de las salidas mensuales.</t>
  </si>
  <si>
    <t>Pagos electrónicos</t>
  </si>
  <si>
    <t>Una persona captura, autoriza y concilia</t>
  </si>
  <si>
    <t>Sin segregación de funciones</t>
  </si>
  <si>
    <t>Riesgo de pago indebido, error o fraude sin detección oportuna.</t>
  </si>
  <si>
    <t>Inventario importado</t>
  </si>
  <si>
    <t>Cobertura para 75 días; parte puede volverse obsoleta</t>
  </si>
  <si>
    <t>Inventario alto y sensible a obsolescencia</t>
  </si>
  <si>
    <t>Capital inmovilizado y posible castigo de inventario.</t>
  </si>
  <si>
    <t>REGISTRO DE RIESGOS</t>
  </si>
  <si>
    <t>Causa</t>
  </si>
  <si>
    <t>Evento de riesgo</t>
  </si>
  <si>
    <t>Consecuencia</t>
  </si>
  <si>
    <t>Categoría</t>
  </si>
  <si>
    <t>Indicador de alerta temprana</t>
  </si>
  <si>
    <t>Dato a vigilar</t>
  </si>
  <si>
    <t>Pasa a evaluación cuantitativa</t>
  </si>
  <si>
    <t>Debido a compras trimestrales de US$500,000 sin cobertura cambiaria</t>
  </si>
  <si>
    <t>podría ocurrir un aumento súbito del costo en pesos de los insumos importados</t>
  </si>
  <si>
    <t>lo que provocaría menor margen bruto, mayores necesidades de efectivo y posible aumento de precios.</t>
  </si>
  <si>
    <t>Mercado: cambiario</t>
  </si>
  <si>
    <t>Tipo de cambio USD/MXN y exposición abierta en USD</t>
  </si>
  <si>
    <t>USD comprados sin cobertura; variación % mensual del tipo de cambio</t>
  </si>
  <si>
    <t>Debido a que 40% de las ventas a crédito se concentra en dos clientes</t>
  </si>
  <si>
    <t>podría ocurrir atraso o incumplimiento de pago de un cliente clave</t>
  </si>
  <si>
    <t>lo que provocaría falta de flujo, incremento de cartera vencida y pérdida material de ingresos.</t>
  </si>
  <si>
    <t>Crédito</t>
  </si>
  <si>
    <t>Cartera vencida por cliente y concentración de saldo</t>
  </si>
  <si>
    <t>Saldo de clientes top 2; días vencidos; promesas incumplidas</t>
  </si>
  <si>
    <t>Debido a deuda de $8,000,000 a TIIE + 5 puntos con revisión mensual</t>
  </si>
  <si>
    <t>podría ocurrir un incremento de la carga financiera por alza de tasas</t>
  </si>
  <si>
    <t>lo que provocaría menor utilidad neta y mayor presión para pagar intereses.</t>
  </si>
  <si>
    <t>Mercado: tasa de interés</t>
  </si>
  <si>
    <t>TIIE mensual y gasto financiero proyectado</t>
  </si>
  <si>
    <t>TIIE; tasa total; intereses mensuales; cobertura de intereses</t>
  </si>
  <si>
    <t>Debido a caja disponible de $900,000 contra salidas mensuales promedio de $3,600,000</t>
  </si>
  <si>
    <t>podría ocurrir insuficiencia de efectivo para cubrir obligaciones de corto plazo</t>
  </si>
  <si>
    <t>lo que provocaría atrasos a proveedores, pagos urgentes caros o incumplimientos operativos.</t>
  </si>
  <si>
    <t>Liquidez</t>
  </si>
  <si>
    <t>Días de caja disponible</t>
  </si>
  <si>
    <t>Caja / salidas mensuales × 30; pagos próximos 30 días</t>
  </si>
  <si>
    <t>Debido a que una sola persona captura, autoriza y concilia pagos electrónicos</t>
  </si>
  <si>
    <t>podría ocurrir un pago no autorizado, duplicado o fraudulento sin detección</t>
  </si>
  <si>
    <t>lo que provocaría pérdida de efectivo, errores contables y daño reputacional.</t>
  </si>
  <si>
    <t>Operativo financiero</t>
  </si>
  <si>
    <t>Pagos sin segunda autorización y conciliaciones pendientes</t>
  </si>
  <si>
    <t>Número de pagos por mismo usuario; excepciones; partidas no conciliadas</t>
  </si>
  <si>
    <t>Debido a inventario importado para 75 días y riesgo de obsolescencia</t>
  </si>
  <si>
    <t>podría ocurrir deterioro o baja rotación de inventario</t>
  </si>
  <si>
    <t>lo que provocaría castigos contables, capital inmovilizado y necesidad de descuentos.</t>
  </si>
  <si>
    <t>Días de inventario y partidas sin movimiento</t>
  </si>
  <si>
    <t>Inventario &gt;60 días; obsoletos; rotación por SKU</t>
  </si>
  <si>
    <t>TRES RIESGOS PRIORITARIOS PARA EVALUACIÓN CUANTITATIVA</t>
  </si>
  <si>
    <t>Riesgo</t>
  </si>
  <si>
    <t>Justificación</t>
  </si>
  <si>
    <t>Medición cuantitativa sugerida</t>
  </si>
  <si>
    <t>Liquidez por caja insuficiente</t>
  </si>
  <si>
    <t>La caja cubre solo 7.5 días de salidas; cualquier retraso de cobro o pago extraordinario puede detener operaciones.</t>
  </si>
  <si>
    <t>Modelo semanal de flujo de efectivo: caja inicial + cobros esperados - pagos comprometidos.</t>
  </si>
  <si>
    <t>Tipo de cambio por compras en USD</t>
  </si>
  <si>
    <t>La exposición de US$500,000 trimestrales puede impactar directamente costo, margen y efectivo.</t>
  </si>
  <si>
    <t>Sensibilidad: efecto en pesos por devaluaciones de 5%, 10% y 15% sobre compras USD.</t>
  </si>
  <si>
    <t>Crédito por concentración en dos clientes</t>
  </si>
  <si>
    <t>El 40% de ventas anuales equivale a $7.2M concentrados; un atraso material presiona liquidez.</t>
  </si>
  <si>
    <t>Escenarios de mora de 30/60/90 días y pérdida esperada por cliente clave.</t>
  </si>
  <si>
    <t>NOTA DE CRITERIO: CAUSA, RIESGO Y CONSECUENCIA</t>
  </si>
  <si>
    <t>La causa es la condición que origina la exposición, como comprar en dólares o concentrar clientes. El riesgo es el evento incierto que podría ocurrir, como una devaluación o incumplimiento de pago. La consecuencia es el efecto financiero, como menor margen, falta de efectivo, castigos o pérdidas. Un control —por ejemplo doble autorización— no se redacta como riesgo; se propone después para mitigarlo.</t>
  </si>
  <si>
    <t>ACCIONES DE SEGUIMIENTO SUGERIDAS</t>
  </si>
  <si>
    <t>Primer seguimiento</t>
  </si>
  <si>
    <t>Responsable sugerido</t>
  </si>
  <si>
    <t>Preparar calendario de cobros y pagos de 13 semanas con mínimo de caja requerido.</t>
  </si>
  <si>
    <t>Tesorería / Dirección financiera</t>
  </si>
  <si>
    <t>Mercado cambiario</t>
  </si>
  <si>
    <t>Definir política de cobertura o precio de venta ligado a USD para compras trimestrales.</t>
  </si>
  <si>
    <t>Finanzas / Compras</t>
  </si>
  <si>
    <t>Establecer límite por cliente, revisión de vencidos y plan de cobranza semanal.</t>
  </si>
  <si>
    <t>Crédito y cobranza / Ventas</t>
  </si>
  <si>
    <t>Caso: Equipos Médicos del Valle | Ventas anuales: $80,000,000 | Evaluación numérica, matriz 5×5 y priorización.</t>
  </si>
  <si>
    <t>Probabilidad 12 meses</t>
  </si>
  <si>
    <t>Impacto en resultados</t>
  </si>
  <si>
    <t>Zona por severidad</t>
  </si>
  <si>
    <t>Muy baja (&lt;10%)</t>
  </si>
  <si>
    <t>Insignificante (&lt;1% ventas)</t>
  </si>
  <si>
    <t>Verde: 1–6</t>
  </si>
  <si>
    <t>Baja (10–30%)</t>
  </si>
  <si>
    <t>Menor (1–3% ventas)</t>
  </si>
  <si>
    <t>Media (30–50%)</t>
  </si>
  <si>
    <t>Moderado (3–6% ventas)</t>
  </si>
  <si>
    <t>Amarillo: 8–12</t>
  </si>
  <si>
    <t>Alta (50–75%)</t>
  </si>
  <si>
    <t>Mayor (6–10% ventas)</t>
  </si>
  <si>
    <t>Rojo: 15–25</t>
  </si>
  <si>
    <t>Muy alta (&gt;75%)</t>
  </si>
  <si>
    <t>Crítico (&gt;10% ventas; continuidad)</t>
  </si>
  <si>
    <t>TABLA DE EVALUACIÓN DE RIESGOS</t>
  </si>
  <si>
    <t>Dato proporcionado</t>
  </si>
  <si>
    <t>Prob.</t>
  </si>
  <si>
    <t>Impacto</t>
  </si>
  <si>
    <t>Severidad</t>
  </si>
  <si>
    <t>Zona</t>
  </si>
  <si>
    <t>Estimación si se materializa</t>
  </si>
  <si>
    <t>Cambiario</t>
  </si>
  <si>
    <t>Compras anuales en divisas: $44M; peso se depreció &gt;8% en 3 de 5 años.</t>
  </si>
  <si>
    <t>Depreciación &gt;8% ocurrió 60% de los años; 8% sobre $44M equivale a $3.52M, 4.4% de ventas.</t>
  </si>
  <si>
    <t>$44M × 8% ≈ $3.52M de mayor costo</t>
  </si>
  <si>
    <t>Tasas de interés</t>
  </si>
  <si>
    <t>Línea promedio $18M; cada punto de TIIE cuesta $180,000 al año.</t>
  </si>
  <si>
    <t>La tasa puede moverse, pero aun varios puntos representan menos de 1–3% de ventas.</t>
  </si>
  <si>
    <t>1 pp = $180,000; 3 pp = $540,000</t>
  </si>
  <si>
    <t>Crédito (cartera)</t>
  </si>
  <si>
    <t>Cartera vencida histórica 4% de ventas; sector público hasta 9% en cambios de administración.</t>
  </si>
  <si>
    <t>El historial ya implica 4% de ventas y el sector público puede llegar a 9%; hay cambios estatales.</t>
  </si>
  <si>
    <t>9% de ventas = $7.2M de cartera presionada</t>
  </si>
  <si>
    <t>Concentración de clientes</t>
  </si>
  <si>
    <t>Contrato con cadena hospitalaria: 35% de ventas; vence en 10 meses y hay dos competidores.</t>
  </si>
  <si>
    <t>Probabilidad alta por vencimiento cercano y competencia; perder 35% de ventas supera el umbral crítico de 10%.</t>
  </si>
  <si>
    <t>35% de ventas = $28.0M en riesgo</t>
  </si>
  <si>
    <t>Razón circulante 1.1; caja cubre 9 días; hubo dos sustos de nómina el año pasado.</t>
  </si>
  <si>
    <t>La liquidez ya es estrecha y hubo señales reales; compromete continuidad si no se cubren pagos críticos.</t>
  </si>
  <si>
    <t>9 días de caja; una nómina sin fondeo puede detener operación</t>
  </si>
  <si>
    <t>Obsolescencia de inventario</t>
  </si>
  <si>
    <t>Modelos nuevos cada 3 años; último lanzamiento hace 2.5 años; inventario actual $12M.</t>
  </si>
  <si>
    <t>El ciclo de renovación está cerca y el inventario es relevante; una baja u obsolescencia puede afectar 6–10% de ventas.</t>
  </si>
  <si>
    <t>Inventario expuesto: hasta $12M; 50% obsoleto = $6M</t>
  </si>
  <si>
    <t>Operativo (segregación)</t>
  </si>
  <si>
    <t>Sin fraudes detectados, pero auditoría señaló la debilidad hace dos años y no se corrigió.</t>
  </si>
  <si>
    <t>La debilidad persiste; aunque no hay fraude detectado, el riesgo de error o pago indebido es material.</t>
  </si>
  <si>
    <t>Pérdida depende de pagos procesados sin revisión</t>
  </si>
  <si>
    <t>MATRIZ 5×5: PROBABILIDAD × IMPACTO</t>
  </si>
  <si>
    <t>Prob. \ Impacto</t>
  </si>
  <si>
    <t>Probabilidad muy alta</t>
  </si>
  <si>
    <t>4, 5</t>
  </si>
  <si>
    <t>Probabilidad alta</t>
  </si>
  <si>
    <t>Probabilidad media</t>
  </si>
  <si>
    <t>Probabilidad baja</t>
  </si>
  <si>
    <t>Probabilidad muy baja</t>
  </si>
  <si>
    <t>TRES RIESGOS PRIORITARIOS Y ESTIMACIÓN DEL RIESGO #1</t>
  </si>
  <si>
    <t>Razón de prioridad</t>
  </si>
  <si>
    <t>Contrato de 35% de ventas vence en 10 meses y hay dos competidores; impacto crítico.</t>
  </si>
  <si>
    <t>Caja de solo 9 días y antecedentes de sustos de nómina; compromete continuidad.</t>
  </si>
  <si>
    <t>Inventario de $12M y ciclo de modelos próximo; posible castigo relevante.</t>
  </si>
  <si>
    <t>SI SE MATERIALIZA EL RIESGO #1</t>
  </si>
  <si>
    <t>Si se pierde el contrato de la cadena hospitalaria, estarían en riesgo ventas por $28,000,000 al año (35% × $80,000,000). Aun si parte de esas ventas se reemplaza, el impacto inicial supera 10% de las ventas y por eso se clasifica como impacto 5: crítico. La primera acción es preparar plan de retención antes del vencimiento y escenario financiero con pérdida parcial o total del contrato.</t>
  </si>
  <si>
    <t>Actividad 4 - Identificación de riesgos financieros</t>
  </si>
  <si>
    <t>Actividad 5 - Matriz de riesgos financieros: probabilidad × impacto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</si>
</sst>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&quot;$&quot;#,##0"/>
    <numFmt numFmtId="169" formatCode="0.0%"/>
    <numFmt numFmtId="170" formatCode="0.0"/>
  </numFmts>
  <fonts count="6" x14ac:knownFonts="1">
    <font>
      <sz val="11"/>
      <color theme="1"/>
      <name val="Aptos Narrow"/>
      <family val="2"/>
      <scheme val="minor"/>
    </font>
    <font>
      <b/>
      <sz val="18"/>
      <color rgb="FFFFFFFF"/>
      <name val="Aptos"/>
      <family val="2"/>
    </font>
    <font>
      <sz val="11"/>
      <color theme="1"/>
      <name val="Aptos"/>
      <family val="2"/>
    </font>
    <font>
      <b/>
      <sz val="11"/>
      <color rgb="FFFFFFFF"/>
      <name val="Aptos"/>
      <family val="2"/>
    </font>
    <font>
      <i/>
      <sz val="11"/>
      <color rgb="FF666666"/>
      <name val="Aptos"/>
      <family val="2"/>
    </font>
    <font>
      <b/>
      <sz val="11"/>
      <color theme="1"/>
      <name val="Aptos"/>
      <family val="2"/>
    </font>
  </fonts>
  <fills count="2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F3F00"/>
        <bgColor indexed="64"/>
      </patternFill>
    </fill>
    <fill>
      <patternFill patternType="solid">
        <fgColor rgb="FFC55A1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375623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E4EDD"/>
        <bgColor indexed="64"/>
      </patternFill>
    </fill>
    <fill>
      <patternFill patternType="solid">
        <fgColor rgb="FFF3E5F5"/>
        <bgColor indexed="64"/>
      </patternFill>
    </fill>
    <fill>
      <patternFill patternType="solid">
        <fgColor rgb="FF5F2C7A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 style="thin">
        <color rgb="FFE7E6E6"/>
      </right>
      <top style="thin">
        <color rgb="FFA6A6A6"/>
      </top>
      <bottom style="thin">
        <color rgb="FFE7E6E6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A6A6A6"/>
      </bottom>
      <diagonal/>
    </border>
    <border>
      <left style="thin">
        <color rgb="FFA6A6A6"/>
      </left>
      <right style="thin">
        <color rgb="FFE7E6E6"/>
      </right>
      <top style="thin">
        <color rgb="FFA6A6A6"/>
      </top>
      <bottom style="thin">
        <color rgb="FFE7E6E6"/>
      </bottom>
      <diagonal/>
    </border>
    <border>
      <left style="thin">
        <color rgb="FFA6A6A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A6A6A6"/>
      </left>
      <right style="thin">
        <color rgb="FFE7E6E6"/>
      </right>
      <top style="thin">
        <color rgb="FFE7E6E6"/>
      </top>
      <bottom style="thin">
        <color rgb="FFA6A6A6"/>
      </bottom>
      <diagonal/>
    </border>
    <border>
      <left style="thin">
        <color rgb="FFE7E6E6"/>
      </left>
      <right style="thin">
        <color rgb="FFA6A6A6"/>
      </right>
      <top style="thin">
        <color rgb="FFA6A6A6"/>
      </top>
      <bottom style="thin">
        <color rgb="FFE7E6E6"/>
      </bottom>
      <diagonal/>
    </border>
    <border>
      <left style="thin">
        <color rgb="FFE7E6E6"/>
      </left>
      <right style="thin">
        <color rgb="FFA6A6A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 style="thin">
        <color rgb="FFA6A6A6"/>
      </right>
      <top style="thin">
        <color rgb="FFE7E6E6"/>
      </top>
      <bottom style="thin">
        <color rgb="FFA6A6A6"/>
      </bottom>
      <diagonal/>
    </border>
    <border>
      <left style="thin">
        <color rgb="FFE7E6E6"/>
      </left>
      <right/>
      <top/>
      <bottom/>
      <diagonal/>
    </border>
    <border>
      <left/>
      <right style="thin">
        <color rgb="FFE7E6E6"/>
      </right>
      <top/>
      <bottom/>
      <diagonal/>
    </border>
    <border>
      <left style="thin">
        <color rgb="FFA6A6A6"/>
      </left>
      <right/>
      <top style="thin">
        <color rgb="FFE7E6E6"/>
      </top>
      <bottom style="thin">
        <color rgb="FFE7E6E6"/>
      </bottom>
      <diagonal/>
    </border>
    <border>
      <left style="thin">
        <color rgb="FFA6A6A6"/>
      </left>
      <right/>
      <top style="thin">
        <color rgb="FFE7E6E6"/>
      </top>
      <bottom style="thin">
        <color rgb="FFA6A6A6"/>
      </bottom>
      <diagonal/>
    </border>
    <border>
      <left style="thin">
        <color rgb="FFE7E6E6"/>
      </left>
      <right style="thin">
        <color rgb="FFA6A6A6"/>
      </right>
      <top style="thin">
        <color rgb="FFA6A6A6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6" borderId="0" xfId="0" applyFont="1" applyFill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3" fillId="6" borderId="0" xfId="0" applyFont="1" applyFill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vertical="top" wrapText="1"/>
    </xf>
    <xf numFmtId="0" fontId="2" fillId="8" borderId="2" xfId="0" applyFont="1" applyFill="1" applyBorder="1" applyAlignment="1">
      <alignment horizontal="center" vertical="top" wrapText="1"/>
    </xf>
    <xf numFmtId="0" fontId="2" fillId="9" borderId="2" xfId="0" applyFont="1" applyFill="1" applyBorder="1" applyAlignment="1">
      <alignment vertical="top" wrapText="1"/>
    </xf>
    <xf numFmtId="0" fontId="2" fillId="10" borderId="2" xfId="0" applyFont="1" applyFill="1" applyBorder="1" applyAlignment="1">
      <alignment vertical="top" wrapText="1"/>
    </xf>
    <xf numFmtId="0" fontId="3" fillId="7" borderId="3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vertical="top" wrapText="1"/>
    </xf>
    <xf numFmtId="0" fontId="3" fillId="7" borderId="5" xfId="0" applyFont="1" applyFill="1" applyBorder="1" applyAlignment="1">
      <alignment horizontal="center" vertical="top" wrapText="1"/>
    </xf>
    <xf numFmtId="0" fontId="5" fillId="5" borderId="6" xfId="0" applyFont="1" applyFill="1" applyBorder="1" applyAlignment="1">
      <alignment horizontal="center" vertical="top" wrapText="1"/>
    </xf>
    <xf numFmtId="0" fontId="5" fillId="5" borderId="7" xfId="0" applyFont="1" applyFill="1" applyBorder="1" applyAlignment="1">
      <alignment horizontal="center" vertical="top" wrapText="1"/>
    </xf>
    <xf numFmtId="0" fontId="3" fillId="7" borderId="8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vertical="top" wrapText="1"/>
    </xf>
    <xf numFmtId="0" fontId="2" fillId="5" borderId="10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1" fillId="3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168" fontId="2" fillId="0" borderId="2" xfId="0" applyNumberFormat="1" applyFont="1" applyBorder="1" applyAlignment="1">
      <alignment horizontal="right" vertical="top" wrapText="1"/>
    </xf>
    <xf numFmtId="169" fontId="2" fillId="0" borderId="2" xfId="0" applyNumberFormat="1" applyFont="1" applyBorder="1" applyAlignment="1">
      <alignment horizontal="right" vertical="top" wrapText="1"/>
    </xf>
    <xf numFmtId="0" fontId="5" fillId="8" borderId="2" xfId="0" applyFont="1" applyFill="1" applyBorder="1" applyAlignment="1">
      <alignment horizontal="center" vertical="top" wrapText="1"/>
    </xf>
    <xf numFmtId="0" fontId="5" fillId="10" borderId="2" xfId="0" applyFont="1" applyFill="1" applyBorder="1" applyAlignment="1">
      <alignment horizontal="center" vertical="top" wrapText="1"/>
    </xf>
    <xf numFmtId="0" fontId="5" fillId="12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168" fontId="5" fillId="11" borderId="4" xfId="0" applyNumberFormat="1" applyFont="1" applyFill="1" applyBorder="1" applyAlignment="1">
      <alignment horizontal="right" vertical="top" wrapText="1"/>
    </xf>
    <xf numFmtId="169" fontId="5" fillId="11" borderId="4" xfId="0" applyNumberFormat="1" applyFont="1" applyFill="1" applyBorder="1" applyAlignment="1">
      <alignment horizontal="right" vertical="top" wrapText="1"/>
    </xf>
    <xf numFmtId="0" fontId="5" fillId="8" borderId="4" xfId="0" applyFont="1" applyFill="1" applyBorder="1" applyAlignment="1">
      <alignment horizontal="center" vertical="top" wrapText="1"/>
    </xf>
    <xf numFmtId="0" fontId="5" fillId="10" borderId="4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vertical="top" wrapText="1"/>
    </xf>
    <xf numFmtId="0" fontId="5" fillId="11" borderId="7" xfId="0" applyFont="1" applyFill="1" applyBorder="1" applyAlignment="1">
      <alignment vertical="top" wrapText="1"/>
    </xf>
    <xf numFmtId="0" fontId="3" fillId="4" borderId="8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5" fillId="11" borderId="10" xfId="0" applyFont="1" applyFill="1" applyBorder="1" applyAlignment="1">
      <alignment vertical="top" wrapText="1"/>
    </xf>
    <xf numFmtId="169" fontId="2" fillId="0" borderId="2" xfId="0" applyNumberFormat="1" applyFont="1" applyBorder="1" applyAlignment="1">
      <alignment vertical="top" wrapText="1"/>
    </xf>
    <xf numFmtId="168" fontId="2" fillId="0" borderId="2" xfId="0" applyNumberFormat="1" applyFont="1" applyBorder="1" applyAlignment="1">
      <alignment vertical="top" wrapText="1"/>
    </xf>
    <xf numFmtId="168" fontId="2" fillId="0" borderId="4" xfId="0" applyNumberFormat="1" applyFont="1" applyBorder="1" applyAlignment="1">
      <alignment vertical="top" wrapText="1"/>
    </xf>
    <xf numFmtId="169" fontId="2" fillId="0" borderId="4" xfId="0" applyNumberFormat="1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1" fontId="2" fillId="0" borderId="4" xfId="0" applyNumberFormat="1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13" borderId="0" xfId="0" applyFont="1" applyFill="1" applyAlignment="1">
      <alignment horizontal="center" vertical="top" wrapText="1"/>
    </xf>
    <xf numFmtId="0" fontId="3" fillId="13" borderId="0" xfId="0" applyFont="1" applyFill="1" applyAlignment="1">
      <alignment horizontal="center" vertical="top" wrapText="1"/>
    </xf>
    <xf numFmtId="0" fontId="3" fillId="14" borderId="5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vertical="top" wrapText="1"/>
    </xf>
    <xf numFmtId="0" fontId="3" fillId="14" borderId="8" xfId="0" applyFont="1" applyFill="1" applyBorder="1" applyAlignment="1">
      <alignment horizontal="center" vertical="top" wrapText="1"/>
    </xf>
    <xf numFmtId="168" fontId="2" fillId="0" borderId="9" xfId="0" applyNumberFormat="1" applyFont="1" applyBorder="1" applyAlignment="1">
      <alignment horizontal="right" vertical="top" wrapText="1"/>
    </xf>
    <xf numFmtId="168" fontId="2" fillId="0" borderId="10" xfId="0" applyNumberFormat="1" applyFont="1" applyBorder="1" applyAlignment="1">
      <alignment horizontal="right" vertical="top" wrapText="1"/>
    </xf>
    <xf numFmtId="170" fontId="2" fillId="0" borderId="2" xfId="0" applyNumberFormat="1" applyFont="1" applyBorder="1" applyAlignment="1">
      <alignment horizontal="center" vertical="top" wrapText="1"/>
    </xf>
    <xf numFmtId="169" fontId="2" fillId="0" borderId="2" xfId="0" applyNumberFormat="1" applyFont="1" applyBorder="1" applyAlignment="1">
      <alignment horizontal="center" vertical="top" wrapText="1"/>
    </xf>
    <xf numFmtId="0" fontId="3" fillId="14" borderId="3" xfId="0" applyFont="1" applyFill="1" applyBorder="1" applyAlignment="1">
      <alignment horizontal="center" vertical="top" wrapText="1"/>
    </xf>
    <xf numFmtId="1" fontId="2" fillId="0" borderId="4" xfId="0" applyNumberFormat="1" applyFont="1" applyBorder="1" applyAlignment="1">
      <alignment horizontal="center" vertical="top" wrapText="1"/>
    </xf>
    <xf numFmtId="169" fontId="2" fillId="0" borderId="4" xfId="0" applyNumberFormat="1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15" borderId="9" xfId="0" applyFont="1" applyFill="1" applyBorder="1" applyAlignment="1">
      <alignment horizontal="center" vertical="top" wrapText="1"/>
    </xf>
    <xf numFmtId="0" fontId="2" fillId="15" borderId="10" xfId="0" applyFont="1" applyFill="1" applyBorder="1" applyAlignment="1">
      <alignment horizontal="center" vertical="top" wrapText="1"/>
    </xf>
    <xf numFmtId="0" fontId="1" fillId="16" borderId="0" xfId="0" applyFont="1" applyFill="1" applyAlignment="1">
      <alignment horizontal="center" vertical="top" wrapText="1"/>
    </xf>
    <xf numFmtId="0" fontId="3" fillId="16" borderId="0" xfId="0" applyFont="1" applyFill="1" applyAlignment="1">
      <alignment horizontal="center" vertical="top" wrapText="1"/>
    </xf>
    <xf numFmtId="0" fontId="3" fillId="17" borderId="3" xfId="0" applyFont="1" applyFill="1" applyBorder="1" applyAlignment="1">
      <alignment horizontal="center" vertical="top" wrapText="1"/>
    </xf>
    <xf numFmtId="0" fontId="3" fillId="17" borderId="5" xfId="0" applyFont="1" applyFill="1" applyBorder="1" applyAlignment="1">
      <alignment horizontal="center" vertical="top" wrapText="1"/>
    </xf>
    <xf numFmtId="0" fontId="3" fillId="17" borderId="8" xfId="0" applyFont="1" applyFill="1" applyBorder="1" applyAlignment="1">
      <alignment horizontal="center" vertical="top" wrapText="1"/>
    </xf>
    <xf numFmtId="0" fontId="2" fillId="18" borderId="2" xfId="0" applyFont="1" applyFill="1" applyBorder="1" applyAlignment="1">
      <alignment vertical="top" wrapText="1"/>
    </xf>
    <xf numFmtId="0" fontId="5" fillId="18" borderId="6" xfId="0" applyFont="1" applyFill="1" applyBorder="1" applyAlignment="1">
      <alignment vertical="top" wrapText="1"/>
    </xf>
    <xf numFmtId="0" fontId="5" fillId="12" borderId="9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1" fillId="19" borderId="0" xfId="0" applyFont="1" applyFill="1" applyAlignment="1">
      <alignment horizontal="center" vertical="top" wrapText="1"/>
    </xf>
    <xf numFmtId="0" fontId="3" fillId="19" borderId="0" xfId="0" applyFont="1" applyFill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10" borderId="2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10" borderId="4" xfId="0" applyFont="1" applyFill="1" applyBorder="1" applyAlignment="1">
      <alignment horizontal="center" vertical="top" wrapText="1"/>
    </xf>
    <xf numFmtId="0" fontId="2" fillId="8" borderId="9" xfId="0" applyFont="1" applyFill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5" fillId="12" borderId="2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vertical="top" wrapText="1"/>
    </xf>
    <xf numFmtId="0" fontId="2" fillId="8" borderId="4" xfId="0" applyFont="1" applyFill="1" applyBorder="1" applyAlignment="1">
      <alignment vertical="top" wrapText="1"/>
    </xf>
    <xf numFmtId="0" fontId="2" fillId="8" borderId="6" xfId="0" applyFont="1" applyFill="1" applyBorder="1" applyAlignment="1">
      <alignment vertical="top" wrapText="1"/>
    </xf>
    <xf numFmtId="0" fontId="2" fillId="8" borderId="7" xfId="0" applyFont="1" applyFill="1" applyBorder="1" applyAlignment="1">
      <alignment vertical="top" wrapText="1"/>
    </xf>
    <xf numFmtId="0" fontId="2" fillId="8" borderId="9" xfId="0" applyFont="1" applyFill="1" applyBorder="1" applyAlignment="1">
      <alignment vertical="top" wrapText="1"/>
    </xf>
    <xf numFmtId="0" fontId="2" fillId="8" borderId="10" xfId="0" applyFont="1" applyFill="1" applyBorder="1" applyAlignment="1">
      <alignment vertical="top" wrapText="1"/>
    </xf>
    <xf numFmtId="0" fontId="3" fillId="7" borderId="11" xfId="0" applyFont="1" applyFill="1" applyBorder="1" applyAlignment="1">
      <alignment horizontal="center" vertical="top" wrapText="1"/>
    </xf>
    <xf numFmtId="0" fontId="3" fillId="7" borderId="0" xfId="0" applyFont="1" applyFill="1" applyBorder="1" applyAlignment="1">
      <alignment horizontal="center" vertical="top" wrapText="1"/>
    </xf>
    <xf numFmtId="0" fontId="3" fillId="7" borderId="12" xfId="0" applyFont="1" applyFill="1" applyBorder="1" applyAlignment="1">
      <alignment horizontal="center" vertical="top" wrapText="1"/>
    </xf>
    <xf numFmtId="0" fontId="2" fillId="5" borderId="13" xfId="0" applyFont="1" applyFill="1" applyBorder="1" applyAlignment="1">
      <alignment vertical="top" wrapText="1"/>
    </xf>
    <xf numFmtId="0" fontId="2" fillId="5" borderId="14" xfId="0" applyFont="1" applyFill="1" applyBorder="1" applyAlignment="1">
      <alignment vertical="top" wrapText="1"/>
    </xf>
    <xf numFmtId="0" fontId="3" fillId="7" borderId="15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vertical="top" wrapText="1"/>
    </xf>
    <xf numFmtId="0" fontId="2" fillId="0" borderId="9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3" fillId="4" borderId="11" xfId="0" applyFont="1" applyFill="1" applyBorder="1" applyAlignment="1">
      <alignment horizontal="center" vertical="top" wrapText="1"/>
    </xf>
    <xf numFmtId="0" fontId="3" fillId="4" borderId="0" xfId="0" applyFont="1" applyFill="1" applyBorder="1" applyAlignment="1">
      <alignment horizontal="center" vertical="top" wrapText="1"/>
    </xf>
    <xf numFmtId="0" fontId="2" fillId="20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0A3EB-1F15-42D3-9D25-E8EA2BF13741}">
  <dimension ref="A1:H24"/>
  <sheetViews>
    <sheetView topLeftCell="B3" workbookViewId="0">
      <selection activeCell="H20" sqref="H20"/>
    </sheetView>
  </sheetViews>
  <sheetFormatPr baseColWidth="10" defaultRowHeight="14.25" x14ac:dyDescent="0.45"/>
  <cols>
    <col min="1" max="1" width="10.6640625" customWidth="1"/>
    <col min="2" max="2" width="8" customWidth="1"/>
    <col min="3" max="3" width="48" customWidth="1"/>
    <col min="4" max="4" width="16.86328125" customWidth="1"/>
    <col min="5" max="5" width="21.33203125" customWidth="1"/>
    <col min="6" max="6" width="16.86328125" customWidth="1"/>
    <col min="7" max="7" width="28.46484375" customWidth="1"/>
    <col min="8" max="8" width="44.46484375" customWidth="1"/>
  </cols>
  <sheetData>
    <row r="1" spans="1:8" ht="34.049999999999997" customHeight="1" x14ac:dyDescent="0.45">
      <c r="A1" s="4" t="s">
        <v>1</v>
      </c>
      <c r="B1" s="3"/>
      <c r="C1" s="3"/>
      <c r="D1" s="3"/>
      <c r="E1" s="3"/>
      <c r="F1" s="3"/>
      <c r="G1" s="3"/>
      <c r="H1" s="3"/>
    </row>
    <row r="2" spans="1:8" ht="30" customHeight="1" x14ac:dyDescent="0.45">
      <c r="A2" s="5" t="s">
        <v>2</v>
      </c>
      <c r="B2" s="3"/>
      <c r="C2" s="3"/>
      <c r="D2" s="3"/>
      <c r="E2" s="3"/>
      <c r="F2" s="3"/>
      <c r="G2" s="3"/>
      <c r="H2" s="3"/>
    </row>
    <row r="3" spans="1:8" ht="12" customHeight="1" x14ac:dyDescent="0.45">
      <c r="A3" s="2"/>
      <c r="B3" s="2"/>
      <c r="C3" s="2"/>
      <c r="D3" s="2"/>
      <c r="E3" s="2"/>
      <c r="F3" s="2"/>
      <c r="G3" s="2"/>
      <c r="H3" s="2"/>
    </row>
    <row r="4" spans="1:8" ht="28.5" x14ac:dyDescent="0.45">
      <c r="A4" s="15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8" t="s">
        <v>10</v>
      </c>
    </row>
    <row r="5" spans="1:8" ht="42.75" x14ac:dyDescent="0.45">
      <c r="A5" s="16">
        <v>1</v>
      </c>
      <c r="B5" s="7">
        <v>6</v>
      </c>
      <c r="C5" s="8" t="s">
        <v>11</v>
      </c>
      <c r="D5" s="7" t="s">
        <v>12</v>
      </c>
      <c r="E5" s="9" t="s">
        <v>13</v>
      </c>
      <c r="F5" s="10" t="s">
        <v>14</v>
      </c>
      <c r="G5" s="8" t="s">
        <v>15</v>
      </c>
      <c r="H5" s="19" t="s">
        <v>16</v>
      </c>
    </row>
    <row r="6" spans="1:8" ht="28.5" x14ac:dyDescent="0.45">
      <c r="A6" s="16">
        <v>2</v>
      </c>
      <c r="B6" s="7">
        <v>9</v>
      </c>
      <c r="C6" s="8" t="s">
        <v>17</v>
      </c>
      <c r="D6" s="7" t="s">
        <v>18</v>
      </c>
      <c r="E6" s="9" t="s">
        <v>13</v>
      </c>
      <c r="F6" s="10" t="s">
        <v>14</v>
      </c>
      <c r="G6" s="8" t="s">
        <v>19</v>
      </c>
      <c r="H6" s="19" t="s">
        <v>20</v>
      </c>
    </row>
    <row r="7" spans="1:8" ht="28.5" x14ac:dyDescent="0.45">
      <c r="A7" s="16">
        <v>3</v>
      </c>
      <c r="B7" s="7">
        <v>3</v>
      </c>
      <c r="C7" s="8" t="s">
        <v>21</v>
      </c>
      <c r="D7" s="7" t="s">
        <v>12</v>
      </c>
      <c r="E7" s="9" t="s">
        <v>13</v>
      </c>
      <c r="F7" s="10" t="s">
        <v>22</v>
      </c>
      <c r="G7" s="8" t="s">
        <v>23</v>
      </c>
      <c r="H7" s="19" t="s">
        <v>24</v>
      </c>
    </row>
    <row r="8" spans="1:8" ht="28.5" x14ac:dyDescent="0.45">
      <c r="A8" s="16">
        <v>4</v>
      </c>
      <c r="B8" s="7">
        <v>5</v>
      </c>
      <c r="C8" s="8" t="s">
        <v>25</v>
      </c>
      <c r="D8" s="7" t="s">
        <v>26</v>
      </c>
      <c r="E8" s="7" t="s">
        <v>27</v>
      </c>
      <c r="F8" s="10" t="s">
        <v>22</v>
      </c>
      <c r="G8" s="8" t="s">
        <v>28</v>
      </c>
      <c r="H8" s="19" t="s">
        <v>29</v>
      </c>
    </row>
    <row r="9" spans="1:8" ht="28.5" x14ac:dyDescent="0.45">
      <c r="A9" s="16">
        <v>5</v>
      </c>
      <c r="B9" s="7">
        <v>1</v>
      </c>
      <c r="C9" s="8" t="s">
        <v>30</v>
      </c>
      <c r="D9" s="7" t="s">
        <v>31</v>
      </c>
      <c r="E9" s="7" t="s">
        <v>27</v>
      </c>
      <c r="F9" s="11" t="s">
        <v>22</v>
      </c>
      <c r="G9" s="8" t="s">
        <v>32</v>
      </c>
      <c r="H9" s="19" t="s">
        <v>33</v>
      </c>
    </row>
    <row r="10" spans="1:8" ht="28.5" x14ac:dyDescent="0.45">
      <c r="A10" s="16">
        <v>6</v>
      </c>
      <c r="B10" s="7">
        <v>4</v>
      </c>
      <c r="C10" s="8" t="s">
        <v>34</v>
      </c>
      <c r="D10" s="7" t="s">
        <v>18</v>
      </c>
      <c r="E10" s="7" t="s">
        <v>27</v>
      </c>
      <c r="F10" s="11" t="s">
        <v>35</v>
      </c>
      <c r="G10" s="8" t="s">
        <v>36</v>
      </c>
      <c r="H10" s="19" t="s">
        <v>37</v>
      </c>
    </row>
    <row r="11" spans="1:8" ht="42.75" x14ac:dyDescent="0.45">
      <c r="A11" s="16">
        <v>7</v>
      </c>
      <c r="B11" s="7">
        <v>2</v>
      </c>
      <c r="C11" s="8" t="s">
        <v>38</v>
      </c>
      <c r="D11" s="7" t="s">
        <v>18</v>
      </c>
      <c r="E11" s="9" t="s">
        <v>13</v>
      </c>
      <c r="F11" s="11" t="s">
        <v>35</v>
      </c>
      <c r="G11" s="8" t="s">
        <v>39</v>
      </c>
      <c r="H11" s="19" t="s">
        <v>40</v>
      </c>
    </row>
    <row r="12" spans="1:8" ht="28.5" x14ac:dyDescent="0.45">
      <c r="A12" s="16">
        <v>8</v>
      </c>
      <c r="B12" s="7">
        <v>7</v>
      </c>
      <c r="C12" s="8" t="s">
        <v>41</v>
      </c>
      <c r="D12" s="7" t="s">
        <v>18</v>
      </c>
      <c r="E12" s="7" t="s">
        <v>27</v>
      </c>
      <c r="F12" s="8" t="s">
        <v>42</v>
      </c>
      <c r="G12" s="8" t="s">
        <v>43</v>
      </c>
      <c r="H12" s="19" t="s">
        <v>44</v>
      </c>
    </row>
    <row r="13" spans="1:8" ht="28.5" x14ac:dyDescent="0.45">
      <c r="A13" s="16">
        <v>9</v>
      </c>
      <c r="B13" s="7">
        <v>8</v>
      </c>
      <c r="C13" s="8" t="s">
        <v>45</v>
      </c>
      <c r="D13" s="7" t="s">
        <v>31</v>
      </c>
      <c r="E13" s="7" t="s">
        <v>27</v>
      </c>
      <c r="F13" s="8" t="s">
        <v>42</v>
      </c>
      <c r="G13" s="8" t="s">
        <v>46</v>
      </c>
      <c r="H13" s="19" t="s">
        <v>47</v>
      </c>
    </row>
    <row r="14" spans="1:8" ht="28.5" x14ac:dyDescent="0.45">
      <c r="A14" s="17">
        <v>10</v>
      </c>
      <c r="B14" s="13">
        <v>10</v>
      </c>
      <c r="C14" s="14" t="s">
        <v>48</v>
      </c>
      <c r="D14" s="13" t="s">
        <v>26</v>
      </c>
      <c r="E14" s="13" t="s">
        <v>27</v>
      </c>
      <c r="F14" s="14" t="s">
        <v>42</v>
      </c>
      <c r="G14" s="14" t="s">
        <v>49</v>
      </c>
      <c r="H14" s="20" t="s">
        <v>50</v>
      </c>
    </row>
    <row r="15" spans="1:8" x14ac:dyDescent="0.45">
      <c r="A15" s="2"/>
      <c r="B15" s="2"/>
      <c r="C15" s="2"/>
      <c r="D15" s="2"/>
      <c r="E15" s="2"/>
      <c r="F15" s="2"/>
      <c r="G15" s="2"/>
      <c r="H15" s="2"/>
    </row>
    <row r="16" spans="1:8" x14ac:dyDescent="0.45">
      <c r="A16" s="6" t="s">
        <v>51</v>
      </c>
      <c r="B16" s="6"/>
      <c r="C16" s="6"/>
      <c r="D16" s="6"/>
      <c r="E16" s="6"/>
      <c r="F16" s="6"/>
      <c r="G16" s="6"/>
      <c r="H16" s="6"/>
    </row>
    <row r="17" spans="1:8" ht="42.75" customHeight="1" x14ac:dyDescent="0.45">
      <c r="A17" s="15" t="s">
        <v>4</v>
      </c>
      <c r="B17" s="102" t="s">
        <v>52</v>
      </c>
      <c r="C17" s="103"/>
      <c r="D17" s="103"/>
      <c r="E17" s="103"/>
      <c r="F17" s="103"/>
      <c r="G17" s="104"/>
      <c r="H17" s="107" t="s">
        <v>0</v>
      </c>
    </row>
    <row r="18" spans="1:8" ht="28.5" x14ac:dyDescent="0.45">
      <c r="A18" s="105">
        <v>1</v>
      </c>
      <c r="B18" s="108" t="s">
        <v>53</v>
      </c>
      <c r="C18" s="108"/>
      <c r="D18" s="108"/>
      <c r="E18" s="108"/>
      <c r="F18" s="108"/>
      <c r="G18" s="108"/>
      <c r="H18" s="109" t="s">
        <v>54</v>
      </c>
    </row>
    <row r="19" spans="1:8" ht="42.75" x14ac:dyDescent="0.45">
      <c r="A19" s="105">
        <v>2</v>
      </c>
      <c r="B19" s="108" t="s">
        <v>55</v>
      </c>
      <c r="C19" s="108"/>
      <c r="D19" s="108"/>
      <c r="E19" s="108"/>
      <c r="F19" s="108"/>
      <c r="G19" s="108"/>
      <c r="H19" s="109" t="s">
        <v>56</v>
      </c>
    </row>
    <row r="20" spans="1:8" ht="28.5" x14ac:dyDescent="0.45">
      <c r="A20" s="106">
        <v>3</v>
      </c>
      <c r="B20" s="108" t="s">
        <v>57</v>
      </c>
      <c r="C20" s="108"/>
      <c r="D20" s="108"/>
      <c r="E20" s="108"/>
      <c r="F20" s="108"/>
      <c r="G20" s="108"/>
      <c r="H20" s="109" t="s">
        <v>58</v>
      </c>
    </row>
    <row r="21" spans="1:8" x14ac:dyDescent="0.45">
      <c r="A21" s="2"/>
      <c r="B21" s="2"/>
      <c r="C21" s="2"/>
      <c r="D21" s="2"/>
      <c r="E21" s="2"/>
      <c r="F21" s="2"/>
      <c r="G21" s="2"/>
      <c r="H21" s="2"/>
    </row>
    <row r="22" spans="1:8" x14ac:dyDescent="0.45">
      <c r="A22" s="6" t="s">
        <v>59</v>
      </c>
      <c r="B22" s="6"/>
      <c r="C22" s="6"/>
      <c r="D22" s="6"/>
      <c r="E22" s="6"/>
      <c r="F22" s="6"/>
      <c r="G22" s="6"/>
      <c r="H22" s="6"/>
    </row>
    <row r="23" spans="1:8" x14ac:dyDescent="0.45">
      <c r="A23" s="23" t="s">
        <v>60</v>
      </c>
      <c r="B23" s="21"/>
      <c r="C23" s="21"/>
      <c r="D23" s="21"/>
      <c r="E23" s="21"/>
      <c r="F23" s="21"/>
      <c r="G23" s="21"/>
      <c r="H23" s="25"/>
    </row>
    <row r="24" spans="1:8" x14ac:dyDescent="0.45">
      <c r="A24" s="24"/>
      <c r="B24" s="22"/>
      <c r="C24" s="22"/>
      <c r="D24" s="22"/>
      <c r="E24" s="22"/>
      <c r="F24" s="22"/>
      <c r="G24" s="22"/>
      <c r="H24" s="26"/>
    </row>
  </sheetData>
  <mergeCells count="9">
    <mergeCell ref="A1:H1"/>
    <mergeCell ref="A2:H2"/>
    <mergeCell ref="A16:H16"/>
    <mergeCell ref="A22:H22"/>
    <mergeCell ref="A23:H24"/>
    <mergeCell ref="B17:G17"/>
    <mergeCell ref="B18:G18"/>
    <mergeCell ref="B19:G19"/>
    <mergeCell ref="B20:G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A718C-8B8B-4168-9BDC-FAEF44E653DC}">
  <dimension ref="A1:H30"/>
  <sheetViews>
    <sheetView workbookViewId="0">
      <selection activeCell="C17" sqref="C17"/>
    </sheetView>
  </sheetViews>
  <sheetFormatPr baseColWidth="10" defaultRowHeight="14.25" x14ac:dyDescent="0.45"/>
  <cols>
    <col min="1" max="1" width="26.6640625" customWidth="1"/>
    <col min="2" max="3" width="16.86328125" customWidth="1"/>
    <col min="4" max="4" width="18.6640625" customWidth="1"/>
    <col min="5" max="5" width="16" customWidth="1"/>
    <col min="6" max="6" width="12.46484375" customWidth="1"/>
    <col min="7" max="7" width="16.86328125" customWidth="1"/>
    <col min="8" max="8" width="44.46484375" customWidth="1"/>
  </cols>
  <sheetData>
    <row r="1" spans="1:8" ht="29.25" customHeight="1" x14ac:dyDescent="0.45">
      <c r="A1" s="27" t="s">
        <v>61</v>
      </c>
      <c r="B1" s="3"/>
      <c r="C1" s="3"/>
      <c r="D1" s="3"/>
      <c r="E1" s="3"/>
      <c r="F1" s="3"/>
      <c r="G1" s="3"/>
      <c r="H1" s="3"/>
    </row>
    <row r="2" spans="1:8" x14ac:dyDescent="0.45">
      <c r="A2" s="5" t="s">
        <v>62</v>
      </c>
      <c r="B2" s="3"/>
      <c r="C2" s="3"/>
      <c r="D2" s="3"/>
      <c r="E2" s="3"/>
      <c r="F2" s="3"/>
      <c r="G2" s="3"/>
      <c r="H2" s="3"/>
    </row>
    <row r="3" spans="1:8" x14ac:dyDescent="0.45">
      <c r="A3" s="2"/>
      <c r="B3" s="2"/>
      <c r="C3" s="2"/>
      <c r="D3" s="2"/>
      <c r="E3" s="2"/>
      <c r="F3" s="2"/>
      <c r="G3" s="2"/>
      <c r="H3" s="2"/>
    </row>
    <row r="4" spans="1:8" x14ac:dyDescent="0.45">
      <c r="A4" s="40" t="s">
        <v>63</v>
      </c>
      <c r="B4" s="35" t="s">
        <v>64</v>
      </c>
      <c r="C4" s="35" t="s">
        <v>65</v>
      </c>
      <c r="D4" s="35" t="s">
        <v>66</v>
      </c>
      <c r="E4" s="35" t="s">
        <v>67</v>
      </c>
      <c r="F4" s="35" t="s">
        <v>68</v>
      </c>
      <c r="G4" s="35" t="s">
        <v>69</v>
      </c>
      <c r="H4" s="43" t="s">
        <v>70</v>
      </c>
    </row>
    <row r="5" spans="1:8" ht="28.5" x14ac:dyDescent="0.45">
      <c r="A5" s="41" t="s">
        <v>71</v>
      </c>
      <c r="B5" s="29">
        <v>2000000</v>
      </c>
      <c r="C5" s="29">
        <v>1850000</v>
      </c>
      <c r="D5" s="29">
        <f>C5-B5</f>
        <v>-150000</v>
      </c>
      <c r="E5" s="30">
        <f>D5/B5</f>
        <v>-7.4999999999999997E-2</v>
      </c>
      <c r="F5" s="31" t="str">
        <f>IF(D5&gt;=0,"F","D")</f>
        <v>D</v>
      </c>
      <c r="G5" s="32" t="str">
        <f>IF(ABS(E5)&gt;5%,"Sí","No")</f>
        <v>Sí</v>
      </c>
      <c r="H5" s="44" t="s">
        <v>78</v>
      </c>
    </row>
    <row r="6" spans="1:8" ht="28.5" x14ac:dyDescent="0.45">
      <c r="A6" s="41" t="s">
        <v>72</v>
      </c>
      <c r="B6" s="29">
        <v>1200000</v>
      </c>
      <c r="C6" s="29">
        <v>1165500</v>
      </c>
      <c r="D6" s="29">
        <f>C6-B6</f>
        <v>-34500</v>
      </c>
      <c r="E6" s="30">
        <f>D6/B6</f>
        <v>-2.8750000000000001E-2</v>
      </c>
      <c r="F6" s="33" t="str">
        <f>IF(D6&lt;=0,"F","D")</f>
        <v>F</v>
      </c>
      <c r="G6" s="32" t="str">
        <f>IF(ABS(E6)&gt;5%,"Sí","No")</f>
        <v>No</v>
      </c>
      <c r="H6" s="44" t="s">
        <v>79</v>
      </c>
    </row>
    <row r="7" spans="1:8" ht="28.5" x14ac:dyDescent="0.45">
      <c r="A7" s="41" t="s">
        <v>73</v>
      </c>
      <c r="B7" s="29">
        <v>800000</v>
      </c>
      <c r="C7" s="29">
        <v>684500</v>
      </c>
      <c r="D7" s="29">
        <f>C7-B7</f>
        <v>-115500</v>
      </c>
      <c r="E7" s="30">
        <f>D7/B7</f>
        <v>-0.144375</v>
      </c>
      <c r="F7" s="31" t="str">
        <f>IF(D7&gt;=0,"F","D")</f>
        <v>D</v>
      </c>
      <c r="G7" s="32" t="str">
        <f>IF(ABS(E7)&gt;5%,"Sí","No")</f>
        <v>Sí</v>
      </c>
      <c r="H7" s="44" t="s">
        <v>80</v>
      </c>
    </row>
    <row r="8" spans="1:8" ht="28.5" x14ac:dyDescent="0.45">
      <c r="A8" s="41" t="s">
        <v>74</v>
      </c>
      <c r="B8" s="29">
        <v>240000</v>
      </c>
      <c r="C8" s="29">
        <v>268000</v>
      </c>
      <c r="D8" s="29">
        <f>C8-B8</f>
        <v>28000</v>
      </c>
      <c r="E8" s="30">
        <f>D8/B8</f>
        <v>0.11666666666666667</v>
      </c>
      <c r="F8" s="31" t="str">
        <f>IF(D8&lt;=0,"F","D")</f>
        <v>D</v>
      </c>
      <c r="G8" s="32" t="str">
        <f>IF(ABS(E8)&gt;5%,"Sí","No")</f>
        <v>Sí</v>
      </c>
      <c r="H8" s="44" t="s">
        <v>81</v>
      </c>
    </row>
    <row r="9" spans="1:8" ht="28.5" x14ac:dyDescent="0.45">
      <c r="A9" s="41" t="s">
        <v>75</v>
      </c>
      <c r="B9" s="29">
        <v>180000</v>
      </c>
      <c r="C9" s="29">
        <v>176000</v>
      </c>
      <c r="D9" s="29">
        <f>C9-B9</f>
        <v>-4000</v>
      </c>
      <c r="E9" s="30">
        <f>D9/B9</f>
        <v>-2.2222222222222223E-2</v>
      </c>
      <c r="F9" s="33" t="str">
        <f>IF(D9&lt;=0,"F","D")</f>
        <v>F</v>
      </c>
      <c r="G9" s="34" t="str">
        <f>IF(ABS(E9)&gt;5%,"Sí","No")</f>
        <v>No</v>
      </c>
      <c r="H9" s="44" t="s">
        <v>82</v>
      </c>
    </row>
    <row r="10" spans="1:8" ht="28.5" x14ac:dyDescent="0.45">
      <c r="A10" s="41" t="s">
        <v>76</v>
      </c>
      <c r="B10" s="29">
        <v>40000</v>
      </c>
      <c r="C10" s="29">
        <v>52000</v>
      </c>
      <c r="D10" s="29">
        <f>C10-B10</f>
        <v>12000</v>
      </c>
      <c r="E10" s="30">
        <f>D10/B10</f>
        <v>0.3</v>
      </c>
      <c r="F10" s="31" t="str">
        <f>IF(D10&lt;=0,"F","D")</f>
        <v>D</v>
      </c>
      <c r="G10" s="32" t="str">
        <f>IF(ABS(E10)&gt;5%,"Sí","No")</f>
        <v>Sí</v>
      </c>
      <c r="H10" s="44" t="s">
        <v>83</v>
      </c>
    </row>
    <row r="11" spans="1:8" ht="28.5" x14ac:dyDescent="0.45">
      <c r="A11" s="42" t="s">
        <v>77</v>
      </c>
      <c r="B11" s="36">
        <v>340000</v>
      </c>
      <c r="C11" s="36">
        <v>188500</v>
      </c>
      <c r="D11" s="36">
        <f>C11-B11</f>
        <v>-151500</v>
      </c>
      <c r="E11" s="37">
        <f>D11/B11</f>
        <v>-0.44558823529411767</v>
      </c>
      <c r="F11" s="38" t="str">
        <f>IF(D11&gt;=0,"F","D")</f>
        <v>D</v>
      </c>
      <c r="G11" s="39" t="str">
        <f>IF(ABS(E11)&gt;5%,"Sí","No")</f>
        <v>Sí</v>
      </c>
      <c r="H11" s="45" t="s">
        <v>84</v>
      </c>
    </row>
    <row r="12" spans="1:8" x14ac:dyDescent="0.45">
      <c r="A12" s="2"/>
      <c r="B12" s="2"/>
      <c r="C12" s="2"/>
      <c r="D12" s="2"/>
      <c r="E12" s="2"/>
      <c r="F12" s="2"/>
      <c r="G12" s="2"/>
      <c r="H12" s="2"/>
    </row>
    <row r="13" spans="1:8" x14ac:dyDescent="0.45">
      <c r="A13" s="28" t="s">
        <v>85</v>
      </c>
      <c r="B13" s="28"/>
      <c r="C13" s="28"/>
      <c r="D13" s="28"/>
      <c r="E13" s="28"/>
      <c r="F13" s="28"/>
      <c r="G13" s="28"/>
      <c r="H13" s="28"/>
    </row>
    <row r="14" spans="1:8" x14ac:dyDescent="0.45">
      <c r="A14" s="40" t="s">
        <v>86</v>
      </c>
      <c r="B14" s="35" t="s">
        <v>64</v>
      </c>
      <c r="C14" s="35" t="s">
        <v>65</v>
      </c>
      <c r="D14" s="112" t="s">
        <v>87</v>
      </c>
      <c r="E14" s="113"/>
      <c r="F14" s="113"/>
      <c r="G14" s="113"/>
      <c r="H14" s="2"/>
    </row>
    <row r="15" spans="1:8" x14ac:dyDescent="0.45">
      <c r="A15" s="50" t="s">
        <v>88</v>
      </c>
      <c r="B15" s="46">
        <f>B6/B5</f>
        <v>0.6</v>
      </c>
      <c r="C15" s="46">
        <f>C6/C5</f>
        <v>0.63</v>
      </c>
      <c r="D15" s="110" t="str">
        <f>IF(C15&gt;B15,"Desfavorable: el costo consume más de cada peso vendido","Favorable")</f>
        <v>Desfavorable: el costo consume más de cada peso vendido</v>
      </c>
      <c r="E15" s="1"/>
      <c r="F15" s="2"/>
      <c r="G15" s="2"/>
      <c r="H15" s="2"/>
    </row>
    <row r="16" spans="1:8" ht="28.5" x14ac:dyDescent="0.45">
      <c r="A16" s="50" t="s">
        <v>89</v>
      </c>
      <c r="B16" s="47">
        <f>60%*C5</f>
        <v>1110000</v>
      </c>
      <c r="C16" s="47">
        <f>C6</f>
        <v>1165500</v>
      </c>
      <c r="D16" s="110" t="s">
        <v>91</v>
      </c>
      <c r="E16" s="2"/>
      <c r="F16" s="2"/>
      <c r="G16" s="2"/>
      <c r="H16" s="2"/>
    </row>
    <row r="17" spans="1:8" ht="28.5" x14ac:dyDescent="0.45">
      <c r="A17" s="51" t="s">
        <v>90</v>
      </c>
      <c r="B17" s="48">
        <f>C16-B16</f>
        <v>55500</v>
      </c>
      <c r="C17" s="49">
        <f>C15-B15</f>
        <v>3.0000000000000027E-2</v>
      </c>
      <c r="D17" s="111" t="str">
        <f>"Sobrecosto de "&amp;TEXT(B17,"$#,##0")&amp;" y +"&amp;TEXT(C17*100,"0.0")&amp;" puntos porcentuales"</f>
        <v>Sobrecosto de $55,500 y +3.0 puntos porcentuales</v>
      </c>
      <c r="E17" s="2"/>
      <c r="F17" s="2"/>
      <c r="G17" s="2"/>
      <c r="H17" s="2"/>
    </row>
    <row r="18" spans="1:8" x14ac:dyDescent="0.45">
      <c r="A18" s="2"/>
      <c r="B18" s="2"/>
      <c r="C18" s="2"/>
      <c r="D18" s="2"/>
      <c r="E18" s="2"/>
      <c r="F18" s="2"/>
      <c r="G18" s="2"/>
      <c r="H18" s="2"/>
    </row>
    <row r="19" spans="1:8" x14ac:dyDescent="0.45">
      <c r="A19" s="28" t="s">
        <v>92</v>
      </c>
      <c r="B19" s="28"/>
      <c r="C19" s="28"/>
      <c r="D19" s="28"/>
      <c r="E19" s="28"/>
      <c r="F19" s="28"/>
      <c r="G19" s="28"/>
      <c r="H19" s="28"/>
    </row>
    <row r="20" spans="1:8" x14ac:dyDescent="0.45">
      <c r="A20" s="23" t="str">
        <f>"La utilidad cayó "&amp;TEXT(ABS(E11),"0.0%")&amp;" porque el efecto no fue solo vender "&amp;TEXT(ABS(E5),"0.0%")&amp;" menos. Las ventas bajaron "&amp;TEXT(ABS(D5),"$#,##0")&amp;", pero el costo de ventas subió de 60.0% a "&amp;TEXT(C15,"0.0%")&amp;" de las ventas, generando un sobrecosto de "&amp;TEXT(B17,"$#,##0")&amp;" (+"&amp;TEXT(C17*100,"0.0")&amp;" puntos porcentuales) frente al costo esperado. Además, gastos de venta aumentaron "&amp;TEXT(D8,"$#,##0")&amp;" y gastos financieros "&amp;TEXT(D10,"$#,##0")&amp;". En conjunto, la utilidad quedó "&amp;TEXT(ABS(D11),"$#,##0")&amp;" debajo del presupuesto."</f>
        <v>La utilidad cayó 44.6% porque el efecto no fue solo vender 7.5% menos. Las ventas bajaron $150,000, pero el costo de ventas subió de 60.0% a 63.0% de las ventas, generando un sobrecosto de $55,500 (+3.0 puntos porcentuales) frente al costo esperado. Además, gastos de venta aumentaron $28,000 y gastos financieros $12,000. En conjunto, la utilidad quedó $151,500 debajo del presupuesto.</v>
      </c>
      <c r="B20" s="21"/>
      <c r="C20" s="21"/>
      <c r="D20" s="21"/>
      <c r="E20" s="21"/>
      <c r="F20" s="21"/>
      <c r="G20" s="21"/>
      <c r="H20" s="25"/>
    </row>
    <row r="21" spans="1:8" x14ac:dyDescent="0.45">
      <c r="A21" s="54"/>
      <c r="B21" s="53"/>
      <c r="C21" s="53"/>
      <c r="D21" s="53"/>
      <c r="E21" s="53"/>
      <c r="F21" s="53"/>
      <c r="G21" s="53"/>
      <c r="H21" s="55"/>
    </row>
    <row r="22" spans="1:8" x14ac:dyDescent="0.45">
      <c r="A22" s="54"/>
      <c r="B22" s="53"/>
      <c r="C22" s="53"/>
      <c r="D22" s="53"/>
      <c r="E22" s="53"/>
      <c r="F22" s="53"/>
      <c r="G22" s="53"/>
      <c r="H22" s="55"/>
    </row>
    <row r="23" spans="1:8" x14ac:dyDescent="0.45">
      <c r="A23" s="54"/>
      <c r="B23" s="53"/>
      <c r="C23" s="53"/>
      <c r="D23" s="53"/>
      <c r="E23" s="53"/>
      <c r="F23" s="53"/>
      <c r="G23" s="53"/>
      <c r="H23" s="55"/>
    </row>
    <row r="24" spans="1:8" x14ac:dyDescent="0.45">
      <c r="A24" s="24"/>
      <c r="B24" s="22"/>
      <c r="C24" s="22"/>
      <c r="D24" s="22"/>
      <c r="E24" s="22"/>
      <c r="F24" s="22"/>
      <c r="G24" s="22"/>
      <c r="H24" s="26"/>
    </row>
    <row r="25" spans="1:8" x14ac:dyDescent="0.45">
      <c r="A25" s="2"/>
      <c r="B25" s="2"/>
      <c r="C25" s="2"/>
      <c r="D25" s="2"/>
      <c r="E25" s="2"/>
      <c r="F25" s="2"/>
      <c r="G25" s="2"/>
      <c r="H25" s="2"/>
    </row>
    <row r="26" spans="1:8" x14ac:dyDescent="0.45">
      <c r="A26" s="40" t="s">
        <v>93</v>
      </c>
      <c r="B26" s="35" t="s">
        <v>94</v>
      </c>
      <c r="C26" s="35" t="s">
        <v>95</v>
      </c>
      <c r="D26" s="43" t="s">
        <v>96</v>
      </c>
      <c r="E26" s="2"/>
      <c r="F26" s="2"/>
      <c r="G26" s="2"/>
      <c r="H26" s="2"/>
    </row>
    <row r="27" spans="1:8" ht="28.5" x14ac:dyDescent="0.45">
      <c r="A27" s="50" t="s">
        <v>97</v>
      </c>
      <c r="B27" s="46">
        <f>E5</f>
        <v>-7.4999999999999997E-2</v>
      </c>
      <c r="C27" s="56" t="s">
        <v>98</v>
      </c>
      <c r="D27" s="44" t="s">
        <v>99</v>
      </c>
      <c r="E27" s="2"/>
      <c r="F27" s="2"/>
      <c r="G27" s="2"/>
      <c r="H27" s="2"/>
    </row>
    <row r="28" spans="1:8" ht="28.5" x14ac:dyDescent="0.45">
      <c r="A28" s="50" t="s">
        <v>100</v>
      </c>
      <c r="B28" s="46">
        <f>E11</f>
        <v>-0.44558823529411767</v>
      </c>
      <c r="C28" s="56" t="s">
        <v>101</v>
      </c>
      <c r="D28" s="44" t="s">
        <v>102</v>
      </c>
      <c r="E28" s="2"/>
      <c r="F28" s="2"/>
      <c r="G28" s="2"/>
      <c r="H28" s="2"/>
    </row>
    <row r="29" spans="1:8" ht="42.75" x14ac:dyDescent="0.45">
      <c r="A29" s="50" t="s">
        <v>103</v>
      </c>
      <c r="B29" s="46">
        <f>C15</f>
        <v>0.63</v>
      </c>
      <c r="C29" s="56" t="s">
        <v>104</v>
      </c>
      <c r="D29" s="44" t="s">
        <v>105</v>
      </c>
      <c r="E29" s="2"/>
      <c r="F29" s="2"/>
      <c r="G29" s="2"/>
      <c r="H29" s="2"/>
    </row>
    <row r="30" spans="1:8" ht="28.5" x14ac:dyDescent="0.45">
      <c r="A30" s="51" t="s">
        <v>106</v>
      </c>
      <c r="B30" s="57">
        <f>COUNTIF(G5:G11,"Sí")</f>
        <v>5</v>
      </c>
      <c r="C30" s="58" t="s">
        <v>107</v>
      </c>
      <c r="D30" s="52" t="s">
        <v>108</v>
      </c>
      <c r="E30" s="2"/>
      <c r="F30" s="2"/>
      <c r="G30" s="2"/>
      <c r="H30" s="2"/>
    </row>
  </sheetData>
  <mergeCells count="6">
    <mergeCell ref="A1:H1"/>
    <mergeCell ref="A2:H2"/>
    <mergeCell ref="A13:H13"/>
    <mergeCell ref="A19:H19"/>
    <mergeCell ref="A20:H24"/>
    <mergeCell ref="D14:G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0AA31-F520-4C00-A5E5-DFCE70CA1A70}">
  <dimension ref="A1:H40"/>
  <sheetViews>
    <sheetView workbookViewId="0">
      <selection activeCell="A18" sqref="A18:C24"/>
    </sheetView>
  </sheetViews>
  <sheetFormatPr baseColWidth="10" defaultRowHeight="14.25" x14ac:dyDescent="0.45"/>
  <cols>
    <col min="1" max="1" width="29.33203125" customWidth="1"/>
    <col min="2" max="2" width="18.6640625" customWidth="1"/>
    <col min="3" max="3" width="37.33203125" customWidth="1"/>
    <col min="4" max="4" width="14.19921875" customWidth="1"/>
    <col min="5" max="5" width="15.1328125" customWidth="1"/>
    <col min="6" max="6" width="16.86328125" customWidth="1"/>
    <col min="7" max="7" width="40.86328125" customWidth="1"/>
    <col min="8" max="8" width="16" customWidth="1"/>
  </cols>
  <sheetData>
    <row r="1" spans="1:8" ht="31.15" customHeight="1" x14ac:dyDescent="0.45">
      <c r="A1" s="59" t="s">
        <v>109</v>
      </c>
      <c r="B1" s="3"/>
      <c r="C1" s="3"/>
      <c r="D1" s="3"/>
      <c r="E1" s="3"/>
      <c r="F1" s="3"/>
      <c r="G1" s="3"/>
      <c r="H1" s="3"/>
    </row>
    <row r="2" spans="1:8" x14ac:dyDescent="0.45">
      <c r="A2" s="5" t="s">
        <v>110</v>
      </c>
      <c r="B2" s="3"/>
      <c r="C2" s="3"/>
      <c r="D2" s="3"/>
      <c r="E2" s="3"/>
      <c r="F2" s="3"/>
      <c r="G2" s="3"/>
      <c r="H2" s="3"/>
    </row>
    <row r="3" spans="1:8" x14ac:dyDescent="0.45">
      <c r="A3" s="2"/>
      <c r="B3" s="2"/>
      <c r="C3" s="2"/>
      <c r="D3" s="2"/>
      <c r="E3" s="2"/>
      <c r="F3" s="2"/>
      <c r="G3" s="2"/>
      <c r="H3" s="2"/>
    </row>
    <row r="4" spans="1:8" x14ac:dyDescent="0.45">
      <c r="A4" s="61" t="s">
        <v>63</v>
      </c>
      <c r="B4" s="63" t="s">
        <v>111</v>
      </c>
      <c r="C4" s="2"/>
      <c r="D4" s="2"/>
      <c r="E4" s="2"/>
      <c r="F4" s="2"/>
      <c r="G4" s="2"/>
      <c r="H4" s="2"/>
    </row>
    <row r="5" spans="1:8" x14ac:dyDescent="0.45">
      <c r="A5" s="41" t="s">
        <v>112</v>
      </c>
      <c r="B5" s="64">
        <v>9000000</v>
      </c>
      <c r="C5" s="2"/>
      <c r="D5" s="2"/>
      <c r="E5" s="2"/>
      <c r="F5" s="2"/>
      <c r="G5" s="2"/>
      <c r="H5" s="2"/>
    </row>
    <row r="6" spans="1:8" x14ac:dyDescent="0.45">
      <c r="A6" s="41" t="s">
        <v>113</v>
      </c>
      <c r="B6" s="64">
        <v>810000</v>
      </c>
      <c r="C6" s="2"/>
      <c r="D6" s="2"/>
      <c r="E6" s="2"/>
      <c r="F6" s="2"/>
      <c r="G6" s="2"/>
      <c r="H6" s="2"/>
    </row>
    <row r="7" spans="1:8" x14ac:dyDescent="0.45">
      <c r="A7" s="41" t="s">
        <v>114</v>
      </c>
      <c r="B7" s="64">
        <v>450000</v>
      </c>
      <c r="C7" s="2"/>
      <c r="D7" s="2"/>
      <c r="E7" s="2"/>
      <c r="F7" s="2"/>
      <c r="G7" s="2"/>
      <c r="H7" s="2"/>
    </row>
    <row r="8" spans="1:8" x14ac:dyDescent="0.45">
      <c r="A8" s="41" t="s">
        <v>115</v>
      </c>
      <c r="B8" s="64">
        <v>2880000</v>
      </c>
      <c r="C8" s="2"/>
      <c r="D8" s="2"/>
      <c r="E8" s="2"/>
      <c r="F8" s="2"/>
      <c r="G8" s="2"/>
      <c r="H8" s="2"/>
    </row>
    <row r="9" spans="1:8" x14ac:dyDescent="0.45">
      <c r="A9" s="41" t="s">
        <v>116</v>
      </c>
      <c r="B9" s="64">
        <v>1980000</v>
      </c>
      <c r="C9" s="2"/>
      <c r="D9" s="2"/>
      <c r="E9" s="2"/>
      <c r="F9" s="2"/>
      <c r="G9" s="2"/>
      <c r="H9" s="2"/>
    </row>
    <row r="10" spans="1:8" x14ac:dyDescent="0.45">
      <c r="A10" s="41" t="s">
        <v>117</v>
      </c>
      <c r="B10" s="64">
        <v>1480000</v>
      </c>
      <c r="C10" s="2"/>
      <c r="D10" s="2"/>
      <c r="E10" s="2"/>
      <c r="F10" s="2"/>
      <c r="G10" s="2"/>
      <c r="H10" s="2"/>
    </row>
    <row r="11" spans="1:8" x14ac:dyDescent="0.45">
      <c r="A11" s="41" t="s">
        <v>118</v>
      </c>
      <c r="B11" s="64">
        <v>7500000</v>
      </c>
      <c r="C11" s="2"/>
      <c r="D11" s="2"/>
      <c r="E11" s="2"/>
      <c r="F11" s="2"/>
      <c r="G11" s="2"/>
      <c r="H11" s="2"/>
    </row>
    <row r="12" spans="1:8" x14ac:dyDescent="0.45">
      <c r="A12" s="41" t="s">
        <v>119</v>
      </c>
      <c r="B12" s="64">
        <v>1800000</v>
      </c>
      <c r="C12" s="2"/>
      <c r="D12" s="2"/>
      <c r="E12" s="2"/>
      <c r="F12" s="2"/>
      <c r="G12" s="2"/>
      <c r="H12" s="2"/>
    </row>
    <row r="13" spans="1:8" x14ac:dyDescent="0.45">
      <c r="A13" s="41" t="s">
        <v>120</v>
      </c>
      <c r="B13" s="64">
        <v>4500000</v>
      </c>
      <c r="C13" s="2"/>
      <c r="D13" s="2"/>
      <c r="E13" s="2"/>
      <c r="F13" s="2"/>
      <c r="G13" s="2"/>
      <c r="H13" s="2"/>
    </row>
    <row r="14" spans="1:8" x14ac:dyDescent="0.45">
      <c r="A14" s="62" t="s">
        <v>121</v>
      </c>
      <c r="B14" s="65">
        <v>3000000</v>
      </c>
      <c r="C14" s="2"/>
      <c r="D14" s="2"/>
      <c r="E14" s="2"/>
      <c r="F14" s="2"/>
      <c r="G14" s="2"/>
      <c r="H14" s="2"/>
    </row>
    <row r="15" spans="1:8" x14ac:dyDescent="0.45">
      <c r="A15" s="2"/>
      <c r="B15" s="2"/>
      <c r="C15" s="2"/>
      <c r="D15" s="2"/>
      <c r="E15" s="2"/>
      <c r="F15" s="2"/>
      <c r="G15" s="2"/>
      <c r="H15" s="2"/>
    </row>
    <row r="16" spans="1:8" x14ac:dyDescent="0.45">
      <c r="A16" s="60" t="s">
        <v>122</v>
      </c>
      <c r="B16" s="60"/>
      <c r="C16" s="60"/>
      <c r="D16" s="60"/>
      <c r="E16" s="60"/>
      <c r="F16" s="60"/>
      <c r="G16" s="60"/>
      <c r="H16" s="60"/>
    </row>
    <row r="17" spans="1:8" x14ac:dyDescent="0.45">
      <c r="A17" s="61" t="s">
        <v>123</v>
      </c>
      <c r="B17" s="68" t="s">
        <v>124</v>
      </c>
      <c r="C17" s="68" t="s">
        <v>125</v>
      </c>
      <c r="D17" s="68" t="s">
        <v>126</v>
      </c>
      <c r="E17" s="68" t="s">
        <v>127</v>
      </c>
      <c r="F17" s="68" t="s">
        <v>128</v>
      </c>
      <c r="G17" s="68" t="s">
        <v>87</v>
      </c>
      <c r="H17" s="63" t="s">
        <v>129</v>
      </c>
    </row>
    <row r="18" spans="1:8" ht="28.5" x14ac:dyDescent="0.45">
      <c r="A18" s="41" t="s">
        <v>130</v>
      </c>
      <c r="B18" s="56" t="s">
        <v>131</v>
      </c>
      <c r="C18" s="56" t="s">
        <v>132</v>
      </c>
      <c r="D18" s="66">
        <f>B8/B12</f>
        <v>1.6</v>
      </c>
      <c r="E18" s="33" t="str">
        <f>IF(D18&gt;=1.5,"Verde",IF(D18&gt;=1.5*90%,"Amarillo","Rojo"))</f>
        <v>Verde</v>
      </c>
      <c r="F18" s="67">
        <f>D18/1.5-1</f>
        <v>6.6666666666666652E-2</v>
      </c>
      <c r="G18" s="56" t="s">
        <v>133</v>
      </c>
      <c r="H18" s="71" t="s">
        <v>27</v>
      </c>
    </row>
    <row r="19" spans="1:8" ht="28.5" x14ac:dyDescent="0.45">
      <c r="A19" s="41" t="s">
        <v>134</v>
      </c>
      <c r="B19" s="56" t="s">
        <v>135</v>
      </c>
      <c r="C19" s="56" t="s">
        <v>136</v>
      </c>
      <c r="D19" s="66">
        <f>B9/B12</f>
        <v>1.1000000000000001</v>
      </c>
      <c r="E19" s="33" t="str">
        <f>IF(D19&gt;=1,"Verde",IF(D19&gt;=1*90%,"Amarillo","Rojo"))</f>
        <v>Verde</v>
      </c>
      <c r="F19" s="67">
        <f>D19/1-1</f>
        <v>0.10000000000000009</v>
      </c>
      <c r="G19" s="56" t="s">
        <v>137</v>
      </c>
      <c r="H19" s="71" t="s">
        <v>27</v>
      </c>
    </row>
    <row r="20" spans="1:8" ht="28.5" x14ac:dyDescent="0.45">
      <c r="A20" s="41" t="s">
        <v>138</v>
      </c>
      <c r="B20" s="56" t="s">
        <v>139</v>
      </c>
      <c r="C20" s="56" t="s">
        <v>140</v>
      </c>
      <c r="D20" s="67">
        <f>B6/B5</f>
        <v>0.09</v>
      </c>
      <c r="E20" s="32" t="str">
        <f>IF(D20&gt;=10%,"Verde",IF(D20&gt;=10%*90%,"Amarillo","Rojo"))</f>
        <v>Amarillo</v>
      </c>
      <c r="F20" s="67">
        <f>D20/10%-1</f>
        <v>-0.10000000000000009</v>
      </c>
      <c r="G20" s="56" t="s">
        <v>141</v>
      </c>
      <c r="H20" s="72" t="s">
        <v>162</v>
      </c>
    </row>
    <row r="21" spans="1:8" x14ac:dyDescent="0.45">
      <c r="A21" s="41" t="s">
        <v>142</v>
      </c>
      <c r="B21" s="56" t="s">
        <v>143</v>
      </c>
      <c r="C21" s="56" t="s">
        <v>144</v>
      </c>
      <c r="D21" s="67">
        <f>B7/B5</f>
        <v>0.05</v>
      </c>
      <c r="E21" s="31" t="str">
        <f>IF(D21&gt;=7%,"Verde",IF(D21&gt;=7%*90%,"Amarillo","Rojo"))</f>
        <v>Rojo</v>
      </c>
      <c r="F21" s="67">
        <f>D21/7%-1</f>
        <v>-0.2857142857142857</v>
      </c>
      <c r="G21" s="56" t="s">
        <v>145</v>
      </c>
      <c r="H21" s="71" t="s">
        <v>27</v>
      </c>
    </row>
    <row r="22" spans="1:8" x14ac:dyDescent="0.45">
      <c r="A22" s="41" t="s">
        <v>146</v>
      </c>
      <c r="B22" s="56" t="s">
        <v>147</v>
      </c>
      <c r="C22" s="56" t="s">
        <v>148</v>
      </c>
      <c r="D22" s="67">
        <f>B7/B11</f>
        <v>0.06</v>
      </c>
      <c r="E22" s="31" t="str">
        <f>IF(D22&gt;=8%,"Verde",IF(D22&gt;=8%*90%,"Amarillo","Rojo"))</f>
        <v>Rojo</v>
      </c>
      <c r="F22" s="67">
        <f>D22/8%-1</f>
        <v>-0.25</v>
      </c>
      <c r="G22" s="56" t="s">
        <v>149</v>
      </c>
      <c r="H22" s="71" t="s">
        <v>27</v>
      </c>
    </row>
    <row r="23" spans="1:8" x14ac:dyDescent="0.45">
      <c r="A23" s="41" t="s">
        <v>150</v>
      </c>
      <c r="B23" s="56" t="s">
        <v>151</v>
      </c>
      <c r="C23" s="56" t="s">
        <v>152</v>
      </c>
      <c r="D23" s="67">
        <f>B7/B14</f>
        <v>0.15</v>
      </c>
      <c r="E23" s="31" t="str">
        <f>IF(D23&gt;=18%,"Verde",IF(D23&gt;=18%*90%,"Amarillo","Rojo"))</f>
        <v>Rojo</v>
      </c>
      <c r="F23" s="67">
        <f>D23/18%-1</f>
        <v>-0.16666666666666663</v>
      </c>
      <c r="G23" s="56" t="s">
        <v>153</v>
      </c>
      <c r="H23" s="71" t="s">
        <v>27</v>
      </c>
    </row>
    <row r="24" spans="1:8" ht="28.5" x14ac:dyDescent="0.45">
      <c r="A24" s="41" t="s">
        <v>154</v>
      </c>
      <c r="B24" s="56" t="s">
        <v>155</v>
      </c>
      <c r="C24" s="56" t="s">
        <v>156</v>
      </c>
      <c r="D24" s="67">
        <f>B13/B11</f>
        <v>0.6</v>
      </c>
      <c r="E24" s="32" t="str">
        <f>IF(D24&lt;=55%,"Verde",IF(D24&lt;=55%*110%,"Amarillo","Rojo"))</f>
        <v>Amarillo</v>
      </c>
      <c r="F24" s="67">
        <f>55%/D24-1</f>
        <v>-8.3333333333333259E-2</v>
      </c>
      <c r="G24" s="56" t="s">
        <v>157</v>
      </c>
      <c r="H24" s="72" t="s">
        <v>162</v>
      </c>
    </row>
    <row r="25" spans="1:8" ht="28.5" x14ac:dyDescent="0.45">
      <c r="A25" s="62" t="s">
        <v>158</v>
      </c>
      <c r="B25" s="58" t="s">
        <v>159</v>
      </c>
      <c r="C25" s="58" t="s">
        <v>160</v>
      </c>
      <c r="D25" s="69">
        <f>B10/B5*365</f>
        <v>60.022222222222226</v>
      </c>
      <c r="E25" s="38" t="str">
        <f>IF(D25&lt;=45,"Verde",IF(D25&lt;=45*110%,"Amarillo","Rojo"))</f>
        <v>Rojo</v>
      </c>
      <c r="F25" s="70">
        <f>45/D25-1</f>
        <v>-0.25027767493520925</v>
      </c>
      <c r="G25" s="58" t="s">
        <v>161</v>
      </c>
      <c r="H25" s="73" t="s">
        <v>162</v>
      </c>
    </row>
    <row r="26" spans="1:8" x14ac:dyDescent="0.45">
      <c r="A26" s="2"/>
      <c r="B26" s="2"/>
      <c r="C26" s="2"/>
      <c r="D26" s="2"/>
      <c r="E26" s="2"/>
      <c r="F26" s="2"/>
      <c r="G26" s="2"/>
      <c r="H26" s="2"/>
    </row>
    <row r="27" spans="1:8" x14ac:dyDescent="0.45">
      <c r="A27" s="60" t="s">
        <v>163</v>
      </c>
      <c r="B27" s="60"/>
      <c r="C27" s="60"/>
      <c r="D27" s="60"/>
      <c r="E27" s="60"/>
      <c r="F27" s="60"/>
      <c r="G27" s="60"/>
      <c r="H27" s="60"/>
    </row>
    <row r="28" spans="1:8" x14ac:dyDescent="0.45">
      <c r="A28" s="23" t="s">
        <v>172</v>
      </c>
      <c r="B28" s="21"/>
      <c r="C28" s="21"/>
      <c r="D28" s="21"/>
      <c r="E28" s="21"/>
      <c r="F28" s="21"/>
      <c r="G28" s="21"/>
      <c r="H28" s="25"/>
    </row>
    <row r="29" spans="1:8" x14ac:dyDescent="0.45">
      <c r="A29" s="54"/>
      <c r="B29" s="53"/>
      <c r="C29" s="53"/>
      <c r="D29" s="53"/>
      <c r="E29" s="53"/>
      <c r="F29" s="53"/>
      <c r="G29" s="53"/>
      <c r="H29" s="55"/>
    </row>
    <row r="30" spans="1:8" x14ac:dyDescent="0.45">
      <c r="A30" s="24"/>
      <c r="B30" s="22"/>
      <c r="C30" s="22"/>
      <c r="D30" s="22"/>
      <c r="E30" s="22"/>
      <c r="F30" s="22"/>
      <c r="G30" s="22"/>
      <c r="H30" s="26"/>
    </row>
    <row r="31" spans="1:8" x14ac:dyDescent="0.45">
      <c r="A31" s="2"/>
      <c r="B31" s="2"/>
      <c r="C31" s="2"/>
      <c r="D31" s="2"/>
      <c r="E31" s="2"/>
      <c r="F31" s="2"/>
      <c r="G31" s="2"/>
      <c r="H31" s="2"/>
    </row>
    <row r="32" spans="1:8" x14ac:dyDescent="0.45">
      <c r="A32" s="60" t="s">
        <v>164</v>
      </c>
      <c r="B32" s="60"/>
      <c r="C32" s="60"/>
      <c r="D32" s="60"/>
      <c r="E32" s="60"/>
      <c r="F32" s="60"/>
      <c r="G32" s="60"/>
      <c r="H32" s="60"/>
    </row>
    <row r="33" spans="1:8" x14ac:dyDescent="0.45">
      <c r="A33" s="61" t="s">
        <v>123</v>
      </c>
      <c r="B33" s="68" t="s">
        <v>165</v>
      </c>
      <c r="C33" s="63" t="s">
        <v>166</v>
      </c>
      <c r="D33" s="2"/>
      <c r="E33" s="2"/>
      <c r="F33" s="2"/>
      <c r="G33" s="2"/>
      <c r="H33" s="2"/>
    </row>
    <row r="34" spans="1:8" ht="114" x14ac:dyDescent="0.45">
      <c r="A34" s="50" t="s">
        <v>138</v>
      </c>
      <c r="B34" s="56" t="s">
        <v>167</v>
      </c>
      <c r="C34" s="44" t="s">
        <v>168</v>
      </c>
      <c r="D34" s="2"/>
      <c r="E34" s="2"/>
      <c r="F34" s="2"/>
      <c r="G34" s="2"/>
      <c r="H34" s="2"/>
    </row>
    <row r="35" spans="1:8" ht="85.5" x14ac:dyDescent="0.45">
      <c r="A35" s="51" t="s">
        <v>154</v>
      </c>
      <c r="B35" s="58" t="s">
        <v>169</v>
      </c>
      <c r="C35" s="52" t="s">
        <v>170</v>
      </c>
      <c r="D35" s="2"/>
      <c r="E35" s="2"/>
      <c r="F35" s="2"/>
      <c r="G35" s="2"/>
      <c r="H35" s="2"/>
    </row>
    <row r="36" spans="1:8" x14ac:dyDescent="0.45">
      <c r="A36" s="2"/>
      <c r="B36" s="2"/>
      <c r="C36" s="2"/>
      <c r="D36" s="2"/>
      <c r="E36" s="2"/>
      <c r="F36" s="2"/>
      <c r="G36" s="2"/>
      <c r="H36" s="2"/>
    </row>
    <row r="37" spans="1:8" x14ac:dyDescent="0.45">
      <c r="A37" s="60" t="s">
        <v>171</v>
      </c>
      <c r="B37" s="60"/>
      <c r="C37" s="60"/>
      <c r="D37" s="60"/>
      <c r="E37" s="60"/>
      <c r="F37" s="60"/>
      <c r="G37" s="60"/>
      <c r="H37" s="60"/>
    </row>
    <row r="38" spans="1:8" x14ac:dyDescent="0.45">
      <c r="A38" s="23" t="str">
        <f>"La situación general es mixta: la liquidez está razonable, con razón circulante de "&amp;TEXT(D18,"0.0")&amp;" y prueba del ácido de "&amp;TEXT(D19,"0.0")&amp;". El foco principal está en rentabilidad, cobranza y deuda: margen neto de "&amp;TEXT(D21,"0.0%")&amp;", ROA de "&amp;TEXT(D22,"0.0%")&amp;", ROE de "&amp;TEXT(D23,"0.0%")&amp;", cartera de "&amp;TEXT(D25,"0")&amp;" días y endeudamiento de "&amp;TEXT(D24,"0.0%")&amp;". El siguiente paso es un plan mensual para mejorar margen operativo, acelerar cobranza y reducir apalancamiento."</f>
        <v>La situación general es mixta: la liquidez está razonable, con razón circulante de 1.6 y prueba del ácido de 1.1. El foco principal está en rentabilidad, cobranza y deuda: margen neto de 5.0%, ROA de 6.0%, ROE de 15.0%, cartera de 60 días y endeudamiento de 60.0%. El siguiente paso es un plan mensual para mejorar margen operativo, acelerar cobranza y reducir apalancamiento.</v>
      </c>
      <c r="B38" s="21"/>
      <c r="C38" s="21"/>
      <c r="D38" s="21"/>
      <c r="E38" s="21"/>
      <c r="F38" s="21"/>
      <c r="G38" s="21"/>
      <c r="H38" s="25"/>
    </row>
    <row r="39" spans="1:8" x14ac:dyDescent="0.45">
      <c r="A39" s="54"/>
      <c r="B39" s="53"/>
      <c r="C39" s="53"/>
      <c r="D39" s="53"/>
      <c r="E39" s="53"/>
      <c r="F39" s="53"/>
      <c r="G39" s="53"/>
      <c r="H39" s="55"/>
    </row>
    <row r="40" spans="1:8" x14ac:dyDescent="0.45">
      <c r="A40" s="24"/>
      <c r="B40" s="22"/>
      <c r="C40" s="22"/>
      <c r="D40" s="22"/>
      <c r="E40" s="22"/>
      <c r="F40" s="22"/>
      <c r="G40" s="22"/>
      <c r="H40" s="26"/>
    </row>
  </sheetData>
  <mergeCells count="8">
    <mergeCell ref="A37:H37"/>
    <mergeCell ref="A38:H40"/>
    <mergeCell ref="A1:H1"/>
    <mergeCell ref="A2:H2"/>
    <mergeCell ref="A16:H16"/>
    <mergeCell ref="A27:H27"/>
    <mergeCell ref="A28:H30"/>
    <mergeCell ref="A32:H3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4B129-02E4-4F87-8827-60A343F09C53}">
  <dimension ref="A1:H36"/>
  <sheetViews>
    <sheetView workbookViewId="0">
      <selection activeCell="D25" sqref="D25"/>
    </sheetView>
  </sheetViews>
  <sheetFormatPr baseColWidth="10" defaultRowHeight="14.25" x14ac:dyDescent="0.45"/>
  <cols>
    <col min="1" max="1" width="14.19921875" customWidth="1"/>
    <col min="2" max="2" width="35.53125" customWidth="1"/>
    <col min="3" max="4" width="37.33203125" customWidth="1"/>
    <col min="5" max="5" width="20.46484375" customWidth="1"/>
    <col min="6" max="7" width="32" customWidth="1"/>
    <col min="8" max="8" width="20.46484375" customWidth="1"/>
  </cols>
  <sheetData>
    <row r="1" spans="1:8" ht="32.25" customHeight="1" x14ac:dyDescent="0.45">
      <c r="A1" s="74" t="s">
        <v>336</v>
      </c>
      <c r="B1" s="3"/>
      <c r="C1" s="3"/>
      <c r="D1" s="3"/>
      <c r="E1" s="3"/>
      <c r="F1" s="3"/>
      <c r="G1" s="3"/>
      <c r="H1" s="3"/>
    </row>
    <row r="2" spans="1:8" x14ac:dyDescent="0.45">
      <c r="A2" s="5" t="s">
        <v>173</v>
      </c>
      <c r="B2" s="3"/>
      <c r="C2" s="3"/>
      <c r="D2" s="3"/>
      <c r="E2" s="3"/>
      <c r="F2" s="3"/>
      <c r="G2" s="3"/>
      <c r="H2" s="3"/>
    </row>
    <row r="3" spans="1:8" x14ac:dyDescent="0.45">
      <c r="A3" s="2"/>
      <c r="B3" s="2"/>
      <c r="C3" s="2"/>
      <c r="D3" s="2"/>
      <c r="E3" s="2"/>
      <c r="F3" s="2"/>
      <c r="G3" s="2"/>
      <c r="H3" s="2"/>
    </row>
    <row r="4" spans="1:8" x14ac:dyDescent="0.45">
      <c r="A4" s="77" t="s">
        <v>174</v>
      </c>
      <c r="B4" s="76" t="s">
        <v>175</v>
      </c>
      <c r="C4" s="76" t="s">
        <v>176</v>
      </c>
      <c r="D4" s="78" t="s">
        <v>177</v>
      </c>
      <c r="E4" s="2"/>
      <c r="F4" s="2"/>
      <c r="G4" s="2"/>
      <c r="H4" s="2"/>
    </row>
    <row r="5" spans="1:8" ht="28.5" x14ac:dyDescent="0.45">
      <c r="A5" s="41" t="s">
        <v>178</v>
      </c>
      <c r="B5" s="56" t="s">
        <v>179</v>
      </c>
      <c r="C5" s="56" t="s">
        <v>180</v>
      </c>
      <c r="D5" s="44" t="s">
        <v>181</v>
      </c>
      <c r="E5" s="2"/>
      <c r="F5" s="2"/>
      <c r="G5" s="2"/>
      <c r="H5" s="2"/>
    </row>
    <row r="6" spans="1:8" ht="28.5" x14ac:dyDescent="0.45">
      <c r="A6" s="41" t="s">
        <v>182</v>
      </c>
      <c r="B6" s="56" t="s">
        <v>183</v>
      </c>
      <c r="C6" s="56" t="s">
        <v>184</v>
      </c>
      <c r="D6" s="44" t="s">
        <v>185</v>
      </c>
      <c r="E6" s="2"/>
      <c r="F6" s="2"/>
      <c r="G6" s="2"/>
      <c r="H6" s="2"/>
    </row>
    <row r="7" spans="1:8" ht="28.5" x14ac:dyDescent="0.45">
      <c r="A7" s="41" t="s">
        <v>186</v>
      </c>
      <c r="B7" s="56" t="s">
        <v>187</v>
      </c>
      <c r="C7" s="56" t="s">
        <v>188</v>
      </c>
      <c r="D7" s="44" t="s">
        <v>189</v>
      </c>
      <c r="E7" s="2"/>
      <c r="F7" s="2"/>
      <c r="G7" s="2"/>
      <c r="H7" s="2"/>
    </row>
    <row r="8" spans="1:8" ht="28.5" x14ac:dyDescent="0.45">
      <c r="A8" s="41" t="s">
        <v>190</v>
      </c>
      <c r="B8" s="56" t="s">
        <v>191</v>
      </c>
      <c r="C8" s="56" t="s">
        <v>192</v>
      </c>
      <c r="D8" s="44" t="s">
        <v>193</v>
      </c>
      <c r="E8" s="2"/>
      <c r="F8" s="2"/>
      <c r="G8" s="2"/>
      <c r="H8" s="2"/>
    </row>
    <row r="9" spans="1:8" ht="28.5" x14ac:dyDescent="0.45">
      <c r="A9" s="41" t="s">
        <v>194</v>
      </c>
      <c r="B9" s="56" t="s">
        <v>195</v>
      </c>
      <c r="C9" s="56" t="s">
        <v>196</v>
      </c>
      <c r="D9" s="44" t="s">
        <v>197</v>
      </c>
      <c r="E9" s="2"/>
      <c r="F9" s="2"/>
      <c r="G9" s="2"/>
      <c r="H9" s="2"/>
    </row>
    <row r="10" spans="1:8" ht="28.5" x14ac:dyDescent="0.45">
      <c r="A10" s="62" t="s">
        <v>198</v>
      </c>
      <c r="B10" s="58" t="s">
        <v>199</v>
      </c>
      <c r="C10" s="58" t="s">
        <v>200</v>
      </c>
      <c r="D10" s="52" t="s">
        <v>201</v>
      </c>
      <c r="E10" s="2"/>
      <c r="F10" s="2"/>
      <c r="G10" s="2"/>
      <c r="H10" s="2"/>
    </row>
    <row r="11" spans="1:8" x14ac:dyDescent="0.45">
      <c r="A11" s="2"/>
      <c r="B11" s="2"/>
      <c r="C11" s="2"/>
      <c r="D11" s="2"/>
      <c r="E11" s="2"/>
      <c r="F11" s="2"/>
      <c r="G11" s="2"/>
      <c r="H11" s="2"/>
    </row>
    <row r="12" spans="1:8" x14ac:dyDescent="0.45">
      <c r="A12" s="75" t="s">
        <v>202</v>
      </c>
      <c r="B12" s="75"/>
      <c r="C12" s="75"/>
      <c r="D12" s="75"/>
      <c r="E12" s="75"/>
      <c r="F12" s="75"/>
      <c r="G12" s="75"/>
      <c r="H12" s="75"/>
    </row>
    <row r="13" spans="1:8" ht="28.5" x14ac:dyDescent="0.45">
      <c r="A13" s="77" t="s">
        <v>4</v>
      </c>
      <c r="B13" s="76" t="s">
        <v>203</v>
      </c>
      <c r="C13" s="76" t="s">
        <v>204</v>
      </c>
      <c r="D13" s="76" t="s">
        <v>205</v>
      </c>
      <c r="E13" s="76" t="s">
        <v>206</v>
      </c>
      <c r="F13" s="76" t="s">
        <v>207</v>
      </c>
      <c r="G13" s="76" t="s">
        <v>208</v>
      </c>
      <c r="H13" s="78" t="s">
        <v>209</v>
      </c>
    </row>
    <row r="14" spans="1:8" ht="42.75" x14ac:dyDescent="0.45">
      <c r="A14" s="80">
        <v>1</v>
      </c>
      <c r="B14" s="79" t="s">
        <v>210</v>
      </c>
      <c r="C14" s="79" t="s">
        <v>211</v>
      </c>
      <c r="D14" s="79" t="s">
        <v>212</v>
      </c>
      <c r="E14" s="79" t="s">
        <v>213</v>
      </c>
      <c r="F14" s="79" t="s">
        <v>214</v>
      </c>
      <c r="G14" s="79" t="s">
        <v>215</v>
      </c>
      <c r="H14" s="81" t="s">
        <v>162</v>
      </c>
    </row>
    <row r="15" spans="1:8" ht="42.75" x14ac:dyDescent="0.45">
      <c r="A15" s="80">
        <v>2</v>
      </c>
      <c r="B15" s="79" t="s">
        <v>216</v>
      </c>
      <c r="C15" s="79" t="s">
        <v>217</v>
      </c>
      <c r="D15" s="79" t="s">
        <v>218</v>
      </c>
      <c r="E15" s="79" t="s">
        <v>219</v>
      </c>
      <c r="F15" s="79" t="s">
        <v>220</v>
      </c>
      <c r="G15" s="79" t="s">
        <v>221</v>
      </c>
      <c r="H15" s="81" t="s">
        <v>162</v>
      </c>
    </row>
    <row r="16" spans="1:8" ht="28.5" x14ac:dyDescent="0.45">
      <c r="A16" s="80">
        <v>3</v>
      </c>
      <c r="B16" s="79" t="s">
        <v>222</v>
      </c>
      <c r="C16" s="79" t="s">
        <v>223</v>
      </c>
      <c r="D16" s="79" t="s">
        <v>224</v>
      </c>
      <c r="E16" s="79" t="s">
        <v>225</v>
      </c>
      <c r="F16" s="79" t="s">
        <v>226</v>
      </c>
      <c r="G16" s="79" t="s">
        <v>227</v>
      </c>
      <c r="H16" s="82" t="s">
        <v>27</v>
      </c>
    </row>
    <row r="17" spans="1:8" ht="42.75" x14ac:dyDescent="0.45">
      <c r="A17" s="80">
        <v>4</v>
      </c>
      <c r="B17" s="79" t="s">
        <v>228</v>
      </c>
      <c r="C17" s="79" t="s">
        <v>229</v>
      </c>
      <c r="D17" s="79" t="s">
        <v>230</v>
      </c>
      <c r="E17" s="79" t="s">
        <v>231</v>
      </c>
      <c r="F17" s="79" t="s">
        <v>232</v>
      </c>
      <c r="G17" s="79" t="s">
        <v>233</v>
      </c>
      <c r="H17" s="81" t="s">
        <v>162</v>
      </c>
    </row>
    <row r="18" spans="1:8" ht="42.75" x14ac:dyDescent="0.45">
      <c r="A18" s="41">
        <v>5</v>
      </c>
      <c r="B18" s="56" t="s">
        <v>234</v>
      </c>
      <c r="C18" s="56" t="s">
        <v>235</v>
      </c>
      <c r="D18" s="56" t="s">
        <v>236</v>
      </c>
      <c r="E18" s="56" t="s">
        <v>237</v>
      </c>
      <c r="F18" s="56" t="s">
        <v>238</v>
      </c>
      <c r="G18" s="56" t="s">
        <v>239</v>
      </c>
      <c r="H18" s="82" t="s">
        <v>27</v>
      </c>
    </row>
    <row r="19" spans="1:8" ht="42.75" x14ac:dyDescent="0.45">
      <c r="A19" s="62">
        <v>6</v>
      </c>
      <c r="B19" s="58" t="s">
        <v>240</v>
      </c>
      <c r="C19" s="58" t="s">
        <v>241</v>
      </c>
      <c r="D19" s="58" t="s">
        <v>242</v>
      </c>
      <c r="E19" s="58" t="s">
        <v>231</v>
      </c>
      <c r="F19" s="58" t="s">
        <v>243</v>
      </c>
      <c r="G19" s="58" t="s">
        <v>244</v>
      </c>
      <c r="H19" s="83" t="s">
        <v>27</v>
      </c>
    </row>
    <row r="20" spans="1:8" x14ac:dyDescent="0.45">
      <c r="A20" s="2"/>
      <c r="B20" s="2"/>
      <c r="C20" s="2"/>
      <c r="D20" s="2"/>
      <c r="E20" s="2"/>
      <c r="F20" s="2"/>
      <c r="G20" s="2"/>
      <c r="H20" s="2"/>
    </row>
    <row r="21" spans="1:8" x14ac:dyDescent="0.45">
      <c r="A21" s="75" t="s">
        <v>245</v>
      </c>
      <c r="B21" s="75"/>
      <c r="C21" s="75"/>
      <c r="D21" s="75"/>
      <c r="E21" s="75"/>
      <c r="F21" s="75"/>
      <c r="G21" s="75"/>
      <c r="H21" s="75"/>
    </row>
    <row r="22" spans="1:8" x14ac:dyDescent="0.45">
      <c r="A22" s="77" t="s">
        <v>3</v>
      </c>
      <c r="B22" s="76" t="s">
        <v>246</v>
      </c>
      <c r="C22" s="76" t="s">
        <v>247</v>
      </c>
      <c r="D22" s="78" t="s">
        <v>248</v>
      </c>
      <c r="E22" s="2"/>
      <c r="F22" s="2"/>
      <c r="G22" s="2"/>
      <c r="H22" s="2"/>
    </row>
    <row r="23" spans="1:8" ht="42.75" x14ac:dyDescent="0.45">
      <c r="A23" s="41">
        <v>1</v>
      </c>
      <c r="B23" s="56" t="s">
        <v>249</v>
      </c>
      <c r="C23" s="56" t="s">
        <v>250</v>
      </c>
      <c r="D23" s="44" t="s">
        <v>251</v>
      </c>
      <c r="E23" s="2"/>
      <c r="F23" s="2"/>
      <c r="G23" s="2"/>
      <c r="H23" s="2"/>
    </row>
    <row r="24" spans="1:8" ht="42.75" x14ac:dyDescent="0.45">
      <c r="A24" s="41">
        <v>2</v>
      </c>
      <c r="B24" s="56" t="s">
        <v>252</v>
      </c>
      <c r="C24" s="56" t="s">
        <v>253</v>
      </c>
      <c r="D24" s="44" t="s">
        <v>254</v>
      </c>
      <c r="E24" s="2"/>
      <c r="F24" s="2"/>
      <c r="G24" s="2"/>
      <c r="H24" s="2"/>
    </row>
    <row r="25" spans="1:8" ht="42.75" x14ac:dyDescent="0.45">
      <c r="A25" s="62">
        <v>3</v>
      </c>
      <c r="B25" s="58" t="s">
        <v>255</v>
      </c>
      <c r="C25" s="58" t="s">
        <v>256</v>
      </c>
      <c r="D25" s="52" t="s">
        <v>257</v>
      </c>
      <c r="E25" s="2"/>
      <c r="F25" s="2"/>
      <c r="G25" s="2"/>
      <c r="H25" s="2"/>
    </row>
    <row r="26" spans="1:8" x14ac:dyDescent="0.45">
      <c r="A26" s="2"/>
      <c r="B26" s="2"/>
      <c r="C26" s="2"/>
      <c r="D26" s="2"/>
      <c r="E26" s="2"/>
      <c r="F26" s="2"/>
      <c r="G26" s="2"/>
      <c r="H26" s="2"/>
    </row>
    <row r="27" spans="1:8" x14ac:dyDescent="0.45">
      <c r="A27" s="75" t="s">
        <v>258</v>
      </c>
      <c r="B27" s="75"/>
      <c r="C27" s="75"/>
      <c r="D27" s="75"/>
      <c r="E27" s="75"/>
      <c r="F27" s="75"/>
      <c r="G27" s="75"/>
      <c r="H27" s="75"/>
    </row>
    <row r="28" spans="1:8" x14ac:dyDescent="0.45">
      <c r="A28" s="23" t="s">
        <v>259</v>
      </c>
      <c r="B28" s="21"/>
      <c r="C28" s="21"/>
      <c r="D28" s="21"/>
      <c r="E28" s="21"/>
      <c r="F28" s="21"/>
      <c r="G28" s="21"/>
      <c r="H28" s="25"/>
    </row>
    <row r="29" spans="1:8" x14ac:dyDescent="0.45">
      <c r="A29" s="54"/>
      <c r="B29" s="53"/>
      <c r="C29" s="53"/>
      <c r="D29" s="53"/>
      <c r="E29" s="53"/>
      <c r="F29" s="53"/>
      <c r="G29" s="53"/>
      <c r="H29" s="55"/>
    </row>
    <row r="30" spans="1:8" x14ac:dyDescent="0.45">
      <c r="A30" s="24"/>
      <c r="B30" s="22"/>
      <c r="C30" s="22"/>
      <c r="D30" s="22"/>
      <c r="E30" s="22"/>
      <c r="F30" s="22"/>
      <c r="G30" s="22"/>
      <c r="H30" s="26"/>
    </row>
    <row r="31" spans="1:8" x14ac:dyDescent="0.45">
      <c r="A31" s="2"/>
      <c r="B31" s="2"/>
      <c r="C31" s="2"/>
      <c r="D31" s="2"/>
      <c r="E31" s="2"/>
      <c r="F31" s="2"/>
      <c r="G31" s="2"/>
      <c r="H31" s="2"/>
    </row>
    <row r="32" spans="1:8" x14ac:dyDescent="0.45">
      <c r="A32" s="75" t="s">
        <v>260</v>
      </c>
      <c r="B32" s="75"/>
      <c r="C32" s="75"/>
      <c r="D32" s="75"/>
      <c r="E32" s="75"/>
      <c r="F32" s="75"/>
      <c r="G32" s="75"/>
      <c r="H32" s="75"/>
    </row>
    <row r="33" spans="1:8" x14ac:dyDescent="0.45">
      <c r="A33" s="77" t="s">
        <v>246</v>
      </c>
      <c r="B33" s="76" t="s">
        <v>261</v>
      </c>
      <c r="C33" s="78" t="s">
        <v>262</v>
      </c>
      <c r="D33" s="2"/>
      <c r="E33" s="2"/>
      <c r="F33" s="2"/>
      <c r="G33" s="2"/>
      <c r="H33" s="2"/>
    </row>
    <row r="34" spans="1:8" ht="42.75" x14ac:dyDescent="0.45">
      <c r="A34" s="50" t="s">
        <v>231</v>
      </c>
      <c r="B34" s="56" t="s">
        <v>263</v>
      </c>
      <c r="C34" s="44" t="s">
        <v>264</v>
      </c>
      <c r="D34" s="2"/>
      <c r="E34" s="2"/>
      <c r="F34" s="2"/>
      <c r="G34" s="2"/>
      <c r="H34" s="2"/>
    </row>
    <row r="35" spans="1:8" ht="42.75" x14ac:dyDescent="0.45">
      <c r="A35" s="50" t="s">
        <v>265</v>
      </c>
      <c r="B35" s="56" t="s">
        <v>266</v>
      </c>
      <c r="C35" s="44" t="s">
        <v>267</v>
      </c>
      <c r="D35" s="2"/>
      <c r="E35" s="2"/>
      <c r="F35" s="2"/>
      <c r="G35" s="2"/>
      <c r="H35" s="2"/>
    </row>
    <row r="36" spans="1:8" ht="28.5" x14ac:dyDescent="0.45">
      <c r="A36" s="51" t="s">
        <v>219</v>
      </c>
      <c r="B36" s="58" t="s">
        <v>268</v>
      </c>
      <c r="C36" s="52" t="s">
        <v>269</v>
      </c>
      <c r="D36" s="2"/>
      <c r="E36" s="2"/>
      <c r="F36" s="2"/>
      <c r="G36" s="2"/>
      <c r="H36" s="2"/>
    </row>
  </sheetData>
  <mergeCells count="7">
    <mergeCell ref="A32:H32"/>
    <mergeCell ref="A1:H1"/>
    <mergeCell ref="A2:H2"/>
    <mergeCell ref="A12:H12"/>
    <mergeCell ref="A21:H21"/>
    <mergeCell ref="A27:H27"/>
    <mergeCell ref="A28:H3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9824F-33D4-4B91-B4B1-73E36C18A890}">
  <dimension ref="A1:J38"/>
  <sheetViews>
    <sheetView tabSelected="1" topLeftCell="A10" workbookViewId="0">
      <selection activeCell="H14" sqref="H14"/>
    </sheetView>
  </sheetViews>
  <sheetFormatPr baseColWidth="10" defaultRowHeight="14.25" x14ac:dyDescent="0.45"/>
  <cols>
    <col min="1" max="1" width="11" customWidth="1"/>
    <col min="2" max="2" width="27.53125" customWidth="1"/>
    <col min="3" max="3" width="36.46484375" customWidth="1"/>
    <col min="4" max="6" width="13.33203125" customWidth="1"/>
    <col min="7" max="7" width="16.33203125" customWidth="1"/>
    <col min="8" max="8" width="39.1328125" customWidth="1"/>
    <col min="9" max="9" width="26.6640625" customWidth="1"/>
    <col min="10" max="10" width="12.46484375" customWidth="1"/>
  </cols>
  <sheetData>
    <row r="1" spans="1:10" ht="33" customHeight="1" x14ac:dyDescent="0.45">
      <c r="A1" s="84" t="s">
        <v>337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45">
      <c r="A2" s="5" t="s">
        <v>270</v>
      </c>
      <c r="B2" s="3"/>
      <c r="C2" s="3"/>
      <c r="D2" s="3"/>
      <c r="E2" s="3"/>
      <c r="F2" s="3"/>
      <c r="G2" s="3"/>
      <c r="H2" s="3"/>
      <c r="I2" s="3"/>
      <c r="J2" s="3"/>
    </row>
    <row r="3" spans="1:10" x14ac:dyDescent="0.4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28.5" x14ac:dyDescent="0.45">
      <c r="A4" s="77" t="s">
        <v>94</v>
      </c>
      <c r="B4" s="76" t="s">
        <v>271</v>
      </c>
      <c r="C4" s="76" t="s">
        <v>272</v>
      </c>
      <c r="D4" s="78" t="s">
        <v>273</v>
      </c>
      <c r="E4" s="2"/>
      <c r="F4" s="2"/>
      <c r="G4" s="2"/>
      <c r="H4" s="2"/>
      <c r="I4" s="2"/>
      <c r="J4" s="2"/>
    </row>
    <row r="5" spans="1:10" x14ac:dyDescent="0.45">
      <c r="A5" s="50">
        <v>1</v>
      </c>
      <c r="B5" s="56" t="s">
        <v>274</v>
      </c>
      <c r="C5" s="56" t="s">
        <v>275</v>
      </c>
      <c r="D5" s="44" t="s">
        <v>276</v>
      </c>
      <c r="E5" s="2"/>
      <c r="F5" s="2"/>
      <c r="G5" s="2"/>
      <c r="H5" s="2"/>
      <c r="I5" s="2"/>
      <c r="J5" s="2"/>
    </row>
    <row r="6" spans="1:10" x14ac:dyDescent="0.45">
      <c r="A6" s="50">
        <v>2</v>
      </c>
      <c r="B6" s="56" t="s">
        <v>277</v>
      </c>
      <c r="C6" s="56" t="s">
        <v>278</v>
      </c>
      <c r="D6" s="44" t="s">
        <v>276</v>
      </c>
      <c r="E6" s="2"/>
      <c r="F6" s="2"/>
      <c r="G6" s="2"/>
      <c r="H6" s="2"/>
      <c r="I6" s="2"/>
      <c r="J6" s="2"/>
    </row>
    <row r="7" spans="1:10" x14ac:dyDescent="0.45">
      <c r="A7" s="50">
        <v>3</v>
      </c>
      <c r="B7" s="56" t="s">
        <v>279</v>
      </c>
      <c r="C7" s="56" t="s">
        <v>280</v>
      </c>
      <c r="D7" s="44" t="s">
        <v>281</v>
      </c>
      <c r="E7" s="2"/>
      <c r="F7" s="2"/>
      <c r="G7" s="2"/>
      <c r="H7" s="2"/>
      <c r="I7" s="2"/>
      <c r="J7" s="2"/>
    </row>
    <row r="8" spans="1:10" x14ac:dyDescent="0.45">
      <c r="A8" s="50">
        <v>4</v>
      </c>
      <c r="B8" s="56" t="s">
        <v>282</v>
      </c>
      <c r="C8" s="56" t="s">
        <v>283</v>
      </c>
      <c r="D8" s="44" t="s">
        <v>284</v>
      </c>
      <c r="E8" s="2"/>
      <c r="F8" s="2"/>
      <c r="G8" s="2"/>
      <c r="H8" s="2"/>
      <c r="I8" s="2"/>
      <c r="J8" s="2"/>
    </row>
    <row r="9" spans="1:10" x14ac:dyDescent="0.45">
      <c r="A9" s="51">
        <v>5</v>
      </c>
      <c r="B9" s="58" t="s">
        <v>285</v>
      </c>
      <c r="C9" s="58" t="s">
        <v>286</v>
      </c>
      <c r="D9" s="52" t="s">
        <v>284</v>
      </c>
      <c r="E9" s="2"/>
      <c r="F9" s="2"/>
      <c r="G9" s="2"/>
      <c r="H9" s="2"/>
      <c r="I9" s="2"/>
      <c r="J9" s="2"/>
    </row>
    <row r="10" spans="1:10" x14ac:dyDescent="0.4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45">
      <c r="A11" s="85" t="s">
        <v>287</v>
      </c>
      <c r="B11" s="85"/>
      <c r="C11" s="85"/>
      <c r="D11" s="85"/>
      <c r="E11" s="85"/>
      <c r="F11" s="85"/>
      <c r="G11" s="85"/>
      <c r="H11" s="85"/>
      <c r="I11" s="85"/>
      <c r="J11" s="85"/>
    </row>
    <row r="12" spans="1:10" x14ac:dyDescent="0.45">
      <c r="A12" s="77" t="s">
        <v>4</v>
      </c>
      <c r="B12" s="76" t="s">
        <v>246</v>
      </c>
      <c r="C12" s="76" t="s">
        <v>288</v>
      </c>
      <c r="D12" s="76" t="s">
        <v>289</v>
      </c>
      <c r="E12" s="76" t="s">
        <v>290</v>
      </c>
      <c r="F12" s="76" t="s">
        <v>291</v>
      </c>
      <c r="G12" s="76" t="s">
        <v>292</v>
      </c>
      <c r="H12" s="76" t="s">
        <v>247</v>
      </c>
      <c r="I12" s="76" t="s">
        <v>293</v>
      </c>
      <c r="J12" s="78" t="s">
        <v>3</v>
      </c>
    </row>
    <row r="13" spans="1:10" ht="42.75" x14ac:dyDescent="0.45">
      <c r="A13" s="41">
        <v>1</v>
      </c>
      <c r="B13" s="56" t="s">
        <v>294</v>
      </c>
      <c r="C13" s="56" t="s">
        <v>295</v>
      </c>
      <c r="D13" s="86">
        <v>4</v>
      </c>
      <c r="E13" s="86">
        <v>3</v>
      </c>
      <c r="F13" s="86">
        <f>D13*E13</f>
        <v>12</v>
      </c>
      <c r="G13" s="87" t="str">
        <f>IF(F13&lt;=6,"Verde",IF(F13&lt;=12,"Amarillo","Rojo"))</f>
        <v>Amarillo</v>
      </c>
      <c r="H13" s="56" t="s">
        <v>296</v>
      </c>
      <c r="I13" s="56" t="s">
        <v>297</v>
      </c>
      <c r="J13" s="71"/>
    </row>
    <row r="14" spans="1:10" ht="42.75" x14ac:dyDescent="0.45">
      <c r="A14" s="41">
        <v>2</v>
      </c>
      <c r="B14" s="56" t="s">
        <v>298</v>
      </c>
      <c r="C14" s="56" t="s">
        <v>299</v>
      </c>
      <c r="D14" s="86">
        <v>3</v>
      </c>
      <c r="E14" s="86">
        <v>2</v>
      </c>
      <c r="F14" s="86">
        <f>D14*E14</f>
        <v>6</v>
      </c>
      <c r="G14" s="114" t="str">
        <f>IF(F14&lt;=6,"Verde",IF(F14&lt;=12,"Amarillo","Rojo"))</f>
        <v>Verde</v>
      </c>
      <c r="H14" s="56" t="s">
        <v>300</v>
      </c>
      <c r="I14" s="56" t="s">
        <v>301</v>
      </c>
      <c r="J14" s="71"/>
    </row>
    <row r="15" spans="1:10" ht="42.75" x14ac:dyDescent="0.45">
      <c r="A15" s="41">
        <v>3</v>
      </c>
      <c r="B15" s="56" t="s">
        <v>302</v>
      </c>
      <c r="C15" s="56" t="s">
        <v>303</v>
      </c>
      <c r="D15" s="86">
        <v>3</v>
      </c>
      <c r="E15" s="86">
        <v>4</v>
      </c>
      <c r="F15" s="86">
        <f>D15*E15</f>
        <v>12</v>
      </c>
      <c r="G15" s="87" t="str">
        <f>IF(F15&lt;=6,"Verde",IF(F15&lt;=12,"Amarillo","Rojo"))</f>
        <v>Amarillo</v>
      </c>
      <c r="H15" s="56" t="s">
        <v>304</v>
      </c>
      <c r="I15" s="56" t="s">
        <v>305</v>
      </c>
      <c r="J15" s="71"/>
    </row>
    <row r="16" spans="1:10" ht="42.75" x14ac:dyDescent="0.45">
      <c r="A16" s="41">
        <v>4</v>
      </c>
      <c r="B16" s="56" t="s">
        <v>306</v>
      </c>
      <c r="C16" s="56" t="s">
        <v>307</v>
      </c>
      <c r="D16" s="86">
        <v>4</v>
      </c>
      <c r="E16" s="86">
        <v>5</v>
      </c>
      <c r="F16" s="86">
        <f>D16*E16</f>
        <v>20</v>
      </c>
      <c r="G16" s="9" t="str">
        <f>IF(F16&lt;=6,"Verde",IF(F16&lt;=12,"Amarillo","Rojo"))</f>
        <v>Rojo</v>
      </c>
      <c r="H16" s="56" t="s">
        <v>308</v>
      </c>
      <c r="I16" s="56" t="s">
        <v>309</v>
      </c>
      <c r="J16" s="90">
        <v>1</v>
      </c>
    </row>
    <row r="17" spans="1:10" ht="42.75" x14ac:dyDescent="0.45">
      <c r="A17" s="41">
        <v>5</v>
      </c>
      <c r="B17" s="56" t="s">
        <v>231</v>
      </c>
      <c r="C17" s="56" t="s">
        <v>310</v>
      </c>
      <c r="D17" s="86">
        <v>4</v>
      </c>
      <c r="E17" s="86">
        <v>5</v>
      </c>
      <c r="F17" s="86">
        <f>D17*E17</f>
        <v>20</v>
      </c>
      <c r="G17" s="9" t="str">
        <f>IF(F17&lt;=6,"Verde",IF(F17&lt;=12,"Amarillo","Rojo"))</f>
        <v>Rojo</v>
      </c>
      <c r="H17" s="56" t="s">
        <v>311</v>
      </c>
      <c r="I17" s="56" t="s">
        <v>312</v>
      </c>
      <c r="J17" s="90">
        <v>2</v>
      </c>
    </row>
    <row r="18" spans="1:10" ht="57" x14ac:dyDescent="0.45">
      <c r="A18" s="41">
        <v>6</v>
      </c>
      <c r="B18" s="56" t="s">
        <v>313</v>
      </c>
      <c r="C18" s="56" t="s">
        <v>314</v>
      </c>
      <c r="D18" s="86">
        <v>4</v>
      </c>
      <c r="E18" s="86">
        <v>4</v>
      </c>
      <c r="F18" s="86">
        <f>D18*E18</f>
        <v>16</v>
      </c>
      <c r="G18" s="9" t="str">
        <f>IF(F18&lt;=6,"Verde",IF(F18&lt;=12,"Amarillo","Rojo"))</f>
        <v>Rojo</v>
      </c>
      <c r="H18" s="56" t="s">
        <v>315</v>
      </c>
      <c r="I18" s="56" t="s">
        <v>316</v>
      </c>
      <c r="J18" s="90">
        <v>3</v>
      </c>
    </row>
    <row r="19" spans="1:10" ht="42.75" x14ac:dyDescent="0.45">
      <c r="A19" s="62">
        <v>7</v>
      </c>
      <c r="B19" s="58" t="s">
        <v>317</v>
      </c>
      <c r="C19" s="58" t="s">
        <v>318</v>
      </c>
      <c r="D19" s="88">
        <v>3</v>
      </c>
      <c r="E19" s="88">
        <v>3</v>
      </c>
      <c r="F19" s="88">
        <f>D19*E19</f>
        <v>9</v>
      </c>
      <c r="G19" s="89" t="str">
        <f>IF(F19&lt;=6,"Verde",IF(F19&lt;=12,"Amarillo","Rojo"))</f>
        <v>Amarillo</v>
      </c>
      <c r="H19" s="58" t="s">
        <v>319</v>
      </c>
      <c r="I19" s="58" t="s">
        <v>320</v>
      </c>
      <c r="J19" s="91"/>
    </row>
    <row r="20" spans="1:10" x14ac:dyDescent="0.4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45">
      <c r="A21" s="85" t="s">
        <v>321</v>
      </c>
      <c r="B21" s="85"/>
      <c r="C21" s="85"/>
      <c r="D21" s="85"/>
      <c r="E21" s="85"/>
      <c r="F21" s="85"/>
      <c r="G21" s="85"/>
      <c r="H21" s="85"/>
      <c r="I21" s="85"/>
      <c r="J21" s="85"/>
    </row>
    <row r="22" spans="1:10" ht="28.5" x14ac:dyDescent="0.45">
      <c r="A22" s="77" t="s">
        <v>322</v>
      </c>
      <c r="B22" s="76">
        <v>1</v>
      </c>
      <c r="C22" s="76">
        <v>2</v>
      </c>
      <c r="D22" s="76">
        <v>3</v>
      </c>
      <c r="E22" s="76">
        <v>4</v>
      </c>
      <c r="F22" s="76">
        <v>5</v>
      </c>
      <c r="G22" s="78" t="s">
        <v>87</v>
      </c>
      <c r="H22" s="2"/>
      <c r="I22" s="2"/>
      <c r="J22" s="2"/>
    </row>
    <row r="23" spans="1:10" ht="42" customHeight="1" x14ac:dyDescent="0.45">
      <c r="A23" s="41">
        <v>5</v>
      </c>
      <c r="B23" s="92"/>
      <c r="C23" s="93"/>
      <c r="D23" s="94"/>
      <c r="E23" s="94"/>
      <c r="F23" s="94"/>
      <c r="G23" s="44" t="s">
        <v>323</v>
      </c>
      <c r="H23" s="2"/>
      <c r="I23" s="2"/>
      <c r="J23" s="2"/>
    </row>
    <row r="24" spans="1:10" ht="42" customHeight="1" x14ac:dyDescent="0.45">
      <c r="A24" s="41">
        <v>4</v>
      </c>
      <c r="B24" s="92"/>
      <c r="C24" s="93"/>
      <c r="D24" s="93">
        <v>1</v>
      </c>
      <c r="E24" s="94">
        <v>6</v>
      </c>
      <c r="F24" s="94" t="s">
        <v>324</v>
      </c>
      <c r="G24" s="44" t="s">
        <v>325</v>
      </c>
      <c r="H24" s="2"/>
      <c r="I24" s="2"/>
      <c r="J24" s="2"/>
    </row>
    <row r="25" spans="1:10" ht="42" customHeight="1" x14ac:dyDescent="0.45">
      <c r="A25" s="41">
        <v>3</v>
      </c>
      <c r="B25" s="92"/>
      <c r="C25" s="92">
        <v>2</v>
      </c>
      <c r="D25" s="93"/>
      <c r="E25" s="93">
        <v>3</v>
      </c>
      <c r="F25" s="94"/>
      <c r="G25" s="44" t="s">
        <v>326</v>
      </c>
      <c r="H25" s="2"/>
      <c r="I25" s="2"/>
      <c r="J25" s="2"/>
    </row>
    <row r="26" spans="1:10" ht="42" customHeight="1" x14ac:dyDescent="0.45">
      <c r="A26" s="41">
        <v>2</v>
      </c>
      <c r="B26" s="92"/>
      <c r="C26" s="92"/>
      <c r="D26" s="92"/>
      <c r="E26" s="93"/>
      <c r="F26" s="93"/>
      <c r="G26" s="44" t="s">
        <v>327</v>
      </c>
      <c r="H26" s="2"/>
      <c r="I26" s="2"/>
      <c r="J26" s="2"/>
    </row>
    <row r="27" spans="1:10" ht="42" customHeight="1" x14ac:dyDescent="0.45">
      <c r="A27" s="62">
        <v>1</v>
      </c>
      <c r="B27" s="95"/>
      <c r="C27" s="95"/>
      <c r="D27" s="95"/>
      <c r="E27" s="95"/>
      <c r="F27" s="95"/>
      <c r="G27" s="52" t="s">
        <v>328</v>
      </c>
      <c r="H27" s="2"/>
      <c r="I27" s="2"/>
      <c r="J27" s="2"/>
    </row>
    <row r="28" spans="1:10" x14ac:dyDescent="0.4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45">
      <c r="A29" s="85" t="s">
        <v>329</v>
      </c>
      <c r="B29" s="85"/>
      <c r="C29" s="85"/>
      <c r="D29" s="85"/>
      <c r="E29" s="85"/>
      <c r="F29" s="85"/>
      <c r="G29" s="85"/>
      <c r="H29" s="85"/>
      <c r="I29" s="85"/>
      <c r="J29" s="85"/>
    </row>
    <row r="30" spans="1:10" ht="28.5" x14ac:dyDescent="0.45">
      <c r="A30" s="77" t="s">
        <v>3</v>
      </c>
      <c r="B30" s="76" t="s">
        <v>246</v>
      </c>
      <c r="C30" s="76" t="s">
        <v>291</v>
      </c>
      <c r="D30" s="78" t="s">
        <v>330</v>
      </c>
      <c r="E30" s="2"/>
      <c r="F30" s="2"/>
      <c r="G30" s="2"/>
      <c r="H30" s="2"/>
      <c r="I30" s="2"/>
      <c r="J30" s="2"/>
    </row>
    <row r="31" spans="1:10" ht="114" x14ac:dyDescent="0.45">
      <c r="A31" s="98">
        <v>1</v>
      </c>
      <c r="B31" s="96" t="s">
        <v>306</v>
      </c>
      <c r="C31" s="96">
        <v>20</v>
      </c>
      <c r="D31" s="100" t="s">
        <v>331</v>
      </c>
      <c r="E31" s="2"/>
      <c r="F31" s="2"/>
      <c r="G31" s="2"/>
      <c r="H31" s="2"/>
      <c r="I31" s="2"/>
      <c r="J31" s="2"/>
    </row>
    <row r="32" spans="1:10" ht="99.75" x14ac:dyDescent="0.45">
      <c r="A32" s="98">
        <v>2</v>
      </c>
      <c r="B32" s="96" t="s">
        <v>231</v>
      </c>
      <c r="C32" s="96">
        <v>20</v>
      </c>
      <c r="D32" s="100" t="s">
        <v>332</v>
      </c>
      <c r="E32" s="2"/>
      <c r="F32" s="2"/>
      <c r="G32" s="2"/>
      <c r="H32" s="2"/>
      <c r="I32" s="2"/>
      <c r="J32" s="2"/>
    </row>
    <row r="33" spans="1:10" ht="85.5" x14ac:dyDescent="0.45">
      <c r="A33" s="99">
        <v>3</v>
      </c>
      <c r="B33" s="97" t="s">
        <v>313</v>
      </c>
      <c r="C33" s="97">
        <v>16</v>
      </c>
      <c r="D33" s="101" t="s">
        <v>333</v>
      </c>
      <c r="E33" s="2"/>
      <c r="F33" s="2"/>
      <c r="G33" s="2"/>
      <c r="H33" s="2"/>
      <c r="I33" s="2"/>
      <c r="J33" s="2"/>
    </row>
    <row r="34" spans="1:10" x14ac:dyDescent="0.4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45">
      <c r="A35" s="85" t="s">
        <v>334</v>
      </c>
      <c r="B35" s="85"/>
      <c r="C35" s="85"/>
      <c r="D35" s="85"/>
      <c r="E35" s="85"/>
      <c r="F35" s="85"/>
      <c r="G35" s="85"/>
      <c r="H35" s="85"/>
      <c r="I35" s="85"/>
      <c r="J35" s="85"/>
    </row>
    <row r="36" spans="1:10" x14ac:dyDescent="0.45">
      <c r="A36" s="23" t="s">
        <v>335</v>
      </c>
      <c r="B36" s="21"/>
      <c r="C36" s="21"/>
      <c r="D36" s="21"/>
      <c r="E36" s="21"/>
      <c r="F36" s="21"/>
      <c r="G36" s="21"/>
      <c r="H36" s="21"/>
      <c r="I36" s="21"/>
      <c r="J36" s="25"/>
    </row>
    <row r="37" spans="1:10" x14ac:dyDescent="0.45">
      <c r="A37" s="54"/>
      <c r="B37" s="53"/>
      <c r="C37" s="53"/>
      <c r="D37" s="53"/>
      <c r="E37" s="53"/>
      <c r="F37" s="53"/>
      <c r="G37" s="53"/>
      <c r="H37" s="53"/>
      <c r="I37" s="53"/>
      <c r="J37" s="55"/>
    </row>
    <row r="38" spans="1:10" x14ac:dyDescent="0.45">
      <c r="A38" s="24"/>
      <c r="B38" s="22"/>
      <c r="C38" s="22"/>
      <c r="D38" s="22"/>
      <c r="E38" s="22"/>
      <c r="F38" s="22"/>
      <c r="G38" s="22"/>
      <c r="H38" s="22"/>
      <c r="I38" s="22"/>
      <c r="J38" s="26"/>
    </row>
  </sheetData>
  <mergeCells count="7">
    <mergeCell ref="A36:J38"/>
    <mergeCell ref="A1:J1"/>
    <mergeCell ref="A2:J2"/>
    <mergeCell ref="A11:J11"/>
    <mergeCell ref="A21:J21"/>
    <mergeCell ref="A29:J29"/>
    <mergeCell ref="A35:J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Actividad 1</vt:lpstr>
      <vt:lpstr>Actividad 2</vt:lpstr>
      <vt:lpstr>Actividad 3</vt:lpstr>
      <vt:lpstr>Actividad 4</vt:lpstr>
      <vt:lpstr>Actividad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Cruz Ariza</dc:creator>
  <cp:lastModifiedBy>Francisco Javier Cruz Ariza</cp:lastModifiedBy>
  <dcterms:created xsi:type="dcterms:W3CDTF">2026-07-29T19:26:30Z</dcterms:created>
  <dcterms:modified xsi:type="dcterms:W3CDTF">2026-07-30T00:42:38Z</dcterms:modified>
</cp:coreProperties>
</file>