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timelines/timeline1.xml" ContentType="application/vnd.ms-excel.timelin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msy\ams\KINGSTON NEGRA\CURSOS\COFIDE\2026\30-10-2026 AUTOMATIZA FORMULAS\"/>
    </mc:Choice>
  </mc:AlternateContent>
  <xr:revisionPtr revIDLastSave="0" documentId="13_ncr:1_{5C7AFC74-70A4-4556-89A8-9DDF746BB7E7}" xr6:coauthVersionLast="47" xr6:coauthVersionMax="47" xr10:uidLastSave="{00000000-0000-0000-0000-000000000000}"/>
  <bookViews>
    <workbookView xWindow="-120" yWindow="-120" windowWidth="29040" windowHeight="15720" activeTab="3" xr2:uid="{6070B697-4608-4659-81DC-63ED81D6F3DD}"/>
  </bookViews>
  <sheets>
    <sheet name="UNICOS" sheetId="1" r:id="rId1"/>
    <sheet name="VALIDACION" sheetId="2" r:id="rId2"/>
    <sheet name="BASE" sheetId="3" r:id="rId3"/>
    <sheet name="TABLAD" sheetId="10" r:id="rId4"/>
    <sheet name="VISOR" sheetId="4" r:id="rId5"/>
    <sheet name="PP ISR" sheetId="5" r:id="rId6"/>
    <sheet name="FINIQUITO 2026" sheetId="6" r:id="rId7"/>
    <sheet name="GUIA LFT 2026" sheetId="7" r:id="rId8"/>
  </sheets>
  <definedNames>
    <definedName name="_xlnm.Print_Area" localSheetId="6">'FINIQUITO 2026'!$B$2:$I$44</definedName>
    <definedName name="_xlnm.Print_Area" localSheetId="7">'GUIA LFT 2026'!$A$1:$F$17</definedName>
    <definedName name="CFDIE">OFFSET(BASE!$B$3,0,0,COUNTA(BASE!$B:$B),6)</definedName>
    <definedName name="NativeTimeline_Fecha">#N/A</definedName>
    <definedName name="RFC">OFFSET(BASE!$D$4,0,0,COUNTA(BASE!$D:$D)-1,1)</definedName>
  </definedNames>
  <calcPr calcId="191029"/>
  <pivotCaches>
    <pivotCache cacheId="25" r:id="rId9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0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3" l="1"/>
  <c r="G17" i="3"/>
  <c r="E11" i="5"/>
  <c r="D11" i="5"/>
  <c r="F16" i="3"/>
  <c r="G16" i="3"/>
  <c r="D6" i="5"/>
  <c r="D9" i="5" s="1"/>
  <c r="E6" i="5"/>
  <c r="E9" i="5" s="1"/>
  <c r="F6" i="5"/>
  <c r="F9" i="5" s="1"/>
  <c r="G6" i="5"/>
  <c r="G9" i="5" s="1"/>
  <c r="H6" i="5"/>
  <c r="H9" i="5" s="1"/>
  <c r="I6" i="5"/>
  <c r="I9" i="5" s="1"/>
  <c r="J6" i="5"/>
  <c r="J9" i="5" s="1"/>
  <c r="K6" i="5"/>
  <c r="K9" i="5" s="1"/>
  <c r="L6" i="5"/>
  <c r="L9" i="5" s="1"/>
  <c r="M6" i="5"/>
  <c r="M9" i="5" s="1"/>
  <c r="N6" i="5"/>
  <c r="N9" i="5" s="1"/>
  <c r="C6" i="5"/>
  <c r="C9" i="5" s="1"/>
  <c r="D29" i="6"/>
  <c r="D22" i="6"/>
  <c r="D10" i="6"/>
  <c r="D31" i="6"/>
  <c r="D32" i="6" s="1"/>
  <c r="D33" i="6"/>
  <c r="D36" i="6"/>
  <c r="D37" i="6"/>
  <c r="D40" i="6"/>
  <c r="C29" i="6"/>
  <c r="C31" i="6"/>
  <c r="C32" i="6"/>
  <c r="C33" i="6"/>
  <c r="C34" i="6"/>
  <c r="C36" i="6"/>
  <c r="C37" i="6"/>
  <c r="C39" i="6"/>
  <c r="C40" i="6"/>
  <c r="G13" i="6"/>
  <c r="F15" i="3"/>
  <c r="G15" i="3"/>
  <c r="B35" i="4" a="1"/>
  <c r="C9" i="4"/>
  <c r="C8" i="4"/>
  <c r="G5" i="3"/>
  <c r="G6" i="3"/>
  <c r="G7" i="3"/>
  <c r="G8" i="3"/>
  <c r="G9" i="3"/>
  <c r="G10" i="3"/>
  <c r="G11" i="3"/>
  <c r="G12" i="3"/>
  <c r="G13" i="3"/>
  <c r="G14" i="3"/>
  <c r="G4" i="3"/>
  <c r="F4" i="3"/>
  <c r="F5" i="3"/>
  <c r="F6" i="3"/>
  <c r="F7" i="3"/>
  <c r="F8" i="3"/>
  <c r="F9" i="3"/>
  <c r="F10" i="3"/>
  <c r="F11" i="3"/>
  <c r="F12" i="3"/>
  <c r="F13" i="3"/>
  <c r="F14" i="3"/>
  <c r="D5" i="1" a="1"/>
  <c r="D6" i="1"/>
  <c r="J10" i="5" l="1"/>
  <c r="J12" i="5" s="1"/>
  <c r="J16" i="5" s="1"/>
  <c r="J18" i="5" s="1"/>
  <c r="D10" i="5"/>
  <c r="D12" i="5" s="1"/>
  <c r="D16" i="5" s="1"/>
  <c r="D18" i="5" s="1"/>
  <c r="L10" i="5"/>
  <c r="L12" i="5" s="1"/>
  <c r="L16" i="5" s="1"/>
  <c r="L18" i="5" s="1"/>
  <c r="F10" i="5"/>
  <c r="F12" i="5" s="1"/>
  <c r="F16" i="5" s="1"/>
  <c r="F18" i="5" s="1"/>
  <c r="N10" i="5"/>
  <c r="N12" i="5" s="1"/>
  <c r="N16" i="5" s="1"/>
  <c r="N18" i="5" s="1"/>
  <c r="K10" i="5"/>
  <c r="K12" i="5" s="1"/>
  <c r="K16" i="5" s="1"/>
  <c r="K18" i="5" s="1"/>
  <c r="E10" i="5"/>
  <c r="E12" i="5" s="1"/>
  <c r="E16" i="5" s="1"/>
  <c r="E18" i="5" s="1"/>
  <c r="C10" i="5"/>
  <c r="C12" i="5" s="1"/>
  <c r="C16" i="5" s="1"/>
  <c r="C18" i="5" s="1"/>
  <c r="C22" i="5" s="1"/>
  <c r="D20" i="5" s="1"/>
  <c r="M10" i="5"/>
  <c r="M12" i="5" s="1"/>
  <c r="M16" i="5" s="1"/>
  <c r="M18" i="5" s="1"/>
  <c r="G10" i="5"/>
  <c r="G12" i="5" s="1"/>
  <c r="G16" i="5" s="1"/>
  <c r="G18" i="5" s="1"/>
  <c r="H10" i="5"/>
  <c r="H12" i="5" s="1"/>
  <c r="H16" i="5" s="1"/>
  <c r="H18" i="5" s="1"/>
  <c r="I10" i="5"/>
  <c r="I12" i="5" s="1"/>
  <c r="I16" i="5" s="1"/>
  <c r="I18" i="5" s="1"/>
  <c r="F11" i="5"/>
  <c r="G11" i="5" s="1"/>
  <c r="H11" i="5" s="1"/>
  <c r="I11" i="5" s="1"/>
  <c r="J11" i="5" s="1"/>
  <c r="K11" i="5" s="1"/>
  <c r="L11" i="5" s="1"/>
  <c r="M11" i="5" s="1"/>
  <c r="N11" i="5" s="1"/>
  <c r="G7" i="6"/>
  <c r="C38" i="6" s="1"/>
  <c r="D23" i="6"/>
  <c r="G6" i="6"/>
  <c r="G12" i="6"/>
  <c r="D44" i="6" s="1"/>
  <c r="G8" i="6"/>
  <c r="G9" i="6"/>
  <c r="E35" i="4"/>
  <c r="C36" i="4"/>
  <c r="E36" i="4"/>
  <c r="E39" i="4"/>
  <c r="D37" i="4"/>
  <c r="E37" i="4"/>
  <c r="C38" i="4"/>
  <c r="D38" i="4"/>
  <c r="D42" i="4"/>
  <c r="E38" i="4"/>
  <c r="C39" i="4"/>
  <c r="D39" i="4"/>
  <c r="D41" i="4"/>
  <c r="C40" i="4"/>
  <c r="D40" i="4"/>
  <c r="E40" i="4"/>
  <c r="C41" i="4"/>
  <c r="E41" i="4"/>
  <c r="C42" i="4"/>
  <c r="E42" i="4"/>
  <c r="C37" i="4"/>
  <c r="D36" i="4"/>
  <c r="D35" i="4"/>
  <c r="C35" i="4"/>
  <c r="D22" i="5" l="1"/>
  <c r="E20" i="5" s="1"/>
  <c r="E22" i="5" s="1"/>
  <c r="F20" i="5" s="1"/>
  <c r="F22" i="5" s="1"/>
  <c r="G20" i="5" s="1"/>
  <c r="G22" i="5" s="1"/>
  <c r="H20" i="5" s="1"/>
  <c r="H22" i="5" s="1"/>
  <c r="I20" i="5" s="1"/>
  <c r="I22" i="5" s="1"/>
  <c r="J20" i="5" s="1"/>
  <c r="J22" i="5" s="1"/>
  <c r="K20" i="5" s="1"/>
  <c r="K22" i="5" s="1"/>
  <c r="L20" i="5" s="1"/>
  <c r="L22" i="5" s="1"/>
  <c r="M20" i="5" s="1"/>
  <c r="M22" i="5" s="1"/>
  <c r="N20" i="5" s="1"/>
  <c r="N22" i="5" s="1"/>
  <c r="D30" i="6"/>
  <c r="D34" i="6" s="1"/>
  <c r="D38" i="6"/>
  <c r="G10" i="6"/>
  <c r="C30" i="6"/>
  <c r="G11" i="6"/>
  <c r="C35" i="6" s="1"/>
  <c r="D35" i="6" s="1"/>
  <c r="D39" i="6" l="1"/>
  <c r="D42" i="6" s="1"/>
  <c r="D43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<sst xmlns="http://schemas.openxmlformats.org/spreadsheetml/2006/main" count="250" uniqueCount="206">
  <si>
    <t>RFC</t>
  </si>
  <si>
    <t>JBE981214FR0</t>
  </si>
  <si>
    <t>MEMC870203JY5</t>
  </si>
  <si>
    <t>ACF080302HY5</t>
  </si>
  <si>
    <t>TOM980302JU7</t>
  </si>
  <si>
    <t>=CONTARA(UNICOS(B4:B19))</t>
  </si>
  <si>
    <t>Cuenta valores únicos</t>
  </si>
  <si>
    <t>=SUMA(1/CONTAR.SI(B4:B19,B4:B19))</t>
  </si>
  <si>
    <t>Nombre</t>
  </si>
  <si>
    <t>🔵 1. Selecciona el rango donde NO quieres duplicados
Ejemplo:
B4:B19
Este rango será el área donde Excel bloqueará cualquier valor repetido.</t>
  </si>
  <si>
    <t>🔵 2. Abre la Validación de Datos
Ve a:
Datos → Validación de datos</t>
  </si>
  <si>
    <t>🔵 3. En “Permitir”, elige:
Personalizada
Es la única opción que acepta fórmulas.</t>
  </si>
  <si>
    <t>Fecha</t>
  </si>
  <si>
    <t>No. Factura</t>
  </si>
  <si>
    <t>Importe</t>
  </si>
  <si>
    <t>IVA</t>
  </si>
  <si>
    <t>Total</t>
  </si>
  <si>
    <t>JBE980302HY5</t>
  </si>
  <si>
    <t>MEMC870205JU7</t>
  </si>
  <si>
    <t>ACF050602JU7</t>
  </si>
  <si>
    <t>XEXX010101000</t>
  </si>
  <si>
    <t>TOM870306GT5</t>
  </si>
  <si>
    <t>XAXX010101000</t>
  </si>
  <si>
    <t>IAHJ890603KI8</t>
  </si>
  <si>
    <t>1.- Crear el formato para el visor</t>
  </si>
  <si>
    <t>Fecha inicial</t>
  </si>
  <si>
    <t>Fecha final</t>
  </si>
  <si>
    <t>Ventas nacionales</t>
  </si>
  <si>
    <t>Ventas extranjeras</t>
  </si>
  <si>
    <t>2. Revisar que fórmula se puede utilizar</t>
  </si>
  <si>
    <t>Rango suma</t>
  </si>
  <si>
    <r>
      <t>Columna</t>
    </r>
    <r>
      <rPr>
        <b/>
        <sz val="11"/>
        <color theme="1"/>
        <rFont val="Aptos Narrow"/>
        <family val="2"/>
        <scheme val="minor"/>
      </rPr>
      <t xml:space="preserve"> E</t>
    </r>
    <r>
      <rPr>
        <sz val="11"/>
        <color theme="1"/>
        <rFont val="Aptos Narrow"/>
        <family val="2"/>
        <scheme val="minor"/>
      </rPr>
      <t xml:space="preserve"> de la hoja BASE</t>
    </r>
  </si>
  <si>
    <t>Rango criterio 1</t>
  </si>
  <si>
    <r>
      <t>Columna</t>
    </r>
    <r>
      <rPr>
        <b/>
        <sz val="11"/>
        <color theme="1"/>
        <rFont val="Aptos Narrow"/>
        <family val="2"/>
        <scheme val="minor"/>
      </rPr>
      <t xml:space="preserve"> B</t>
    </r>
    <r>
      <rPr>
        <sz val="11"/>
        <color theme="1"/>
        <rFont val="Aptos Narrow"/>
        <family val="2"/>
        <scheme val="minor"/>
      </rPr>
      <t xml:space="preserve"> de la hoja BASE</t>
    </r>
  </si>
  <si>
    <t>Criterio 1</t>
  </si>
  <si>
    <t>Rango criterio 2</t>
  </si>
  <si>
    <t>Criterio 2</t>
  </si>
  <si>
    <r>
      <t xml:space="preserve">Celda </t>
    </r>
    <r>
      <rPr>
        <b/>
        <sz val="11"/>
        <color rgb="FFFF0000"/>
        <rFont val="Aptos Narrow"/>
        <family val="2"/>
        <scheme val="minor"/>
      </rPr>
      <t>C4</t>
    </r>
    <r>
      <rPr>
        <sz val="11"/>
        <color theme="1"/>
        <rFont val="Aptos Narrow"/>
        <family val="2"/>
        <scheme val="minor"/>
      </rPr>
      <t xml:space="preserve"> de la hoja VISOR</t>
    </r>
  </si>
  <si>
    <r>
      <t xml:space="preserve">Celda </t>
    </r>
    <r>
      <rPr>
        <b/>
        <sz val="11"/>
        <color rgb="FFFF0000"/>
        <rFont val="Aptos Narrow"/>
        <family val="2"/>
        <scheme val="minor"/>
      </rPr>
      <t>C5</t>
    </r>
    <r>
      <rPr>
        <sz val="11"/>
        <color theme="1"/>
        <rFont val="Aptos Narrow"/>
        <family val="2"/>
        <scheme val="minor"/>
      </rPr>
      <t xml:space="preserve"> de la hoja VISOR</t>
    </r>
  </si>
  <si>
    <t>Rango criterio 3</t>
  </si>
  <si>
    <t>Criterio 3</t>
  </si>
  <si>
    <r>
      <t>Columna</t>
    </r>
    <r>
      <rPr>
        <b/>
        <sz val="11"/>
        <color theme="1"/>
        <rFont val="Aptos Narrow"/>
        <family val="2"/>
        <scheme val="minor"/>
      </rPr>
      <t xml:space="preserve"> D</t>
    </r>
    <r>
      <rPr>
        <sz val="11"/>
        <color theme="1"/>
        <rFont val="Aptos Narrow"/>
        <family val="2"/>
        <scheme val="minor"/>
      </rPr>
      <t xml:space="preserve"> de la hoja BASE</t>
    </r>
  </si>
  <si>
    <t>&lt;&gt;XEXX010101000</t>
  </si>
  <si>
    <t>=SUMAR.SI.CONJUNTO(BASE!$E:$E,BASE!$B:$B,"&gt;="&amp;$C$4,BASE!$B:$B,"&lt;="&amp;$C$5,BASE!$D:$D,"&lt;&gt;XEXX010101000")</t>
  </si>
  <si>
    <t>=SUMAR.SI.CONJUNTO(BASE!$E:$E,BASE!$B:$B,"&gt;="&amp;$C$4,BASE!$B:$B,"&lt;="&amp;$C$5,BASE!$D:$D,"XEXX010101000")</t>
  </si>
  <si>
    <t>2. Traer datos unicos de los RFC</t>
  </si>
  <si>
    <t>Crear un nombre dinámico con la función DESREF</t>
  </si>
  <si>
    <t>FÓRMULAS + ASIGNAR NOMBRE</t>
  </si>
  <si>
    <t>ARG960302UJ7</t>
  </si>
  <si>
    <t>CALCULO DE FINIQUITO E INDEMNIZACIONES - LFT 2026</t>
  </si>
  <si>
    <t>Plantilla orientativa. Capture solo las celdas amarillas; los importes se calculan automaticamente.</t>
  </si>
  <si>
    <t>DATOS DE LA RELACION LABORAL</t>
  </si>
  <si>
    <t>Empresa</t>
  </si>
  <si>
    <t>Trabajador</t>
  </si>
  <si>
    <t>Fecha de ingreso</t>
  </si>
  <si>
    <t>Fecha de baja</t>
  </si>
  <si>
    <t>Tipo de relacion</t>
  </si>
  <si>
    <t>Aplicar indemnizacion Art. 50</t>
  </si>
  <si>
    <t>Salario diario ordinario</t>
  </si>
  <si>
    <t>Salario diario integrado (SDI)</t>
  </si>
  <si>
    <t>Dias de salario pendientes</t>
  </si>
  <si>
    <t>Dias de aguinaldo anual</t>
  </si>
  <si>
    <t>Dias de vacaciones pendientes/proporcionales</t>
  </si>
  <si>
    <t>Prima vacacional</t>
  </si>
  <si>
    <t>Otras percepciones</t>
  </si>
  <si>
    <t>Salarios vencidos e intereses (manual)</t>
  </si>
  <si>
    <t>Aplicar prima de antiguedad</t>
  </si>
  <si>
    <t>Salario diario base prima antiguedad</t>
  </si>
  <si>
    <t>Anios computables Art. 50 plataforma</t>
  </si>
  <si>
    <t>Deducciones autorizadas</t>
  </si>
  <si>
    <t>Observaciones</t>
  </si>
  <si>
    <t>DATOS CALCULADOS</t>
  </si>
  <si>
    <t>Dias de servicio</t>
  </si>
  <si>
    <t>Anios de servicio (decimal)</t>
  </si>
  <si>
    <t>Dias laborados en el anio de baja</t>
  </si>
  <si>
    <t>Dias del anio de baja</t>
  </si>
  <si>
    <t>Dias de vacaciones segun antiguedad</t>
  </si>
  <si>
    <t>Base de anios Art. 50</t>
  </si>
  <si>
    <t>Validacion de fechas</t>
  </si>
  <si>
    <t>Escenario Art. 50</t>
  </si>
  <si>
    <t>DESGLOSE DEL CALCULO</t>
  </si>
  <si>
    <t>Concepto</t>
  </si>
  <si>
    <t>Base / dias</t>
  </si>
  <si>
    <t>Fundamento / nota</t>
  </si>
  <si>
    <t>Salarios pendientes</t>
  </si>
  <si>
    <t>Dias pendientes x salario diario</t>
  </si>
  <si>
    <t>Aguinaldo proporcional</t>
  </si>
  <si>
    <t>Parte proporcional del anio de baja</t>
  </si>
  <si>
    <t>Vacaciones pendientes/proporcionales</t>
  </si>
  <si>
    <t>Dias capturados x salario diario</t>
  </si>
  <si>
    <t>Porcentaje sobre vacaciones</t>
  </si>
  <si>
    <t>Prestaciones contractuales u otros adeudos</t>
  </si>
  <si>
    <t>TOTAL FINIQUITO</t>
  </si>
  <si>
    <t>Suma de prestaciones devengadas</t>
  </si>
  <si>
    <t>Indemnizacion Art. 50 fracc. I, II o IV</t>
  </si>
  <si>
    <t>Segun tipo de relacion y anios de servicio</t>
  </si>
  <si>
    <t>Tres meses de salario Art. 50 fracc. III/IV</t>
  </si>
  <si>
    <t>90 dias de SDI cuando procede</t>
  </si>
  <si>
    <t>Salarios vencidos e intereses</t>
  </si>
  <si>
    <t>Captura manual; Art. 48, cuando proceda</t>
  </si>
  <si>
    <t>Prima de antiguedad</t>
  </si>
  <si>
    <t>12 dias por anio; revisar Arts. 162 y 486</t>
  </si>
  <si>
    <t>TOTAL INDEMNIZACIONES</t>
  </si>
  <si>
    <t>Solo si se selecciona aplicar Art. 50</t>
  </si>
  <si>
    <t>DEDUCCIONES</t>
  </si>
  <si>
    <t>Importe capturado</t>
  </si>
  <si>
    <t>TOTAL BRUTO</t>
  </si>
  <si>
    <t>TOTAL NETO ESTIMADO</t>
  </si>
  <si>
    <t>Resultado</t>
  </si>
  <si>
    <t>IMPORTANTE
- El finiquito incluye prestaciones devengadas aun sin indemnizacion.
- El Art. 50 no se aplica automaticamente a toda baja. Seleccione 'Si' solo cuando legalmente proceda.
- Para indemnizaciones se usa el SDI capturado.
- Salarios vencidos, intereses, prima de antiguedad, topes, impuestos y prestaciones superiores requieren revision del caso.
- Esta hoja es una estimacion y no sustituye asesoria juridica o fiscal.</t>
  </si>
  <si>
    <t>GUIA DE USO Y BASE LEGAL - LFT 2026</t>
  </si>
  <si>
    <t>Tema</t>
  </si>
  <si>
    <t>Regla incorporada</t>
  </si>
  <si>
    <t>Base de calculo</t>
  </si>
  <si>
    <t>Se activa cuando</t>
  </si>
  <si>
    <t>Revision necesaria</t>
  </si>
  <si>
    <t>Referencia</t>
  </si>
  <si>
    <t>Finiquito</t>
  </si>
  <si>
    <t>Salarios, aguinaldo, vacaciones, prima vacacional y otras prestaciones devengadas</t>
  </si>
  <si>
    <t>Toda terminacion laboral</t>
  </si>
  <si>
    <t>Prestaciones contractuales, ISR y descuentos</t>
  </si>
  <si>
    <t>LFT y guia PROFEDET</t>
  </si>
  <si>
    <t>Art. 50 fracc. I - determinado menor a un anio</t>
  </si>
  <si>
    <t>Importe de salarios de la mitad del tiempo de servicios</t>
  </si>
  <si>
    <t>SDI x mitad de dias de servicio</t>
  </si>
  <si>
    <t>Art. 50 = Si y tipo correspondiente</t>
  </si>
  <si>
    <t>Procedencia juridica del Art. 49/50</t>
  </si>
  <si>
    <t>LFT Art. 50-I</t>
  </si>
  <si>
    <t>Art. 50 fracc. I - determinado de un anio o mas</t>
  </si>
  <si>
    <t>Seis meses por el primer anio y 20 dias por cada anio posterior</t>
  </si>
  <si>
    <t>SDI x dias calculados</t>
  </si>
  <si>
    <t>Fracciones de anio y criterio aplicable</t>
  </si>
  <si>
    <t>Art. 50 fracc. II - indeterminado</t>
  </si>
  <si>
    <t>20 dias de salario por cada anio de servicio</t>
  </si>
  <si>
    <t>SDI x 20 x anios</t>
  </si>
  <si>
    <t>Art. 50 = Si e indeterminado</t>
  </si>
  <si>
    <t>Procedencia juridica</t>
  </si>
  <si>
    <t>LFT Art. 50-II</t>
  </si>
  <si>
    <t>Art. 50 fracc. III</t>
  </si>
  <si>
    <t>Tres meses de salario, mas salarios vencidos e intereses cuando procedan</t>
  </si>
  <si>
    <t>SDI x 90; vencidos manual</t>
  </si>
  <si>
    <t>Art. 50 = Si</t>
  </si>
  <si>
    <t>Art. 48, fechas y resolucion</t>
  </si>
  <si>
    <t>LFT Arts. 48 y 50-III</t>
  </si>
  <si>
    <t>Art. 50 fracc. IV - plataformas</t>
  </si>
  <si>
    <t>Tres meses mas 20 dias por cada anio efectivamente laborado</t>
  </si>
  <si>
    <t>SDI x (90 + 20 x anios computables)</t>
  </si>
  <si>
    <t>Art. 50 = Si y plataforma</t>
  </si>
  <si>
    <t>Tiempo efectivamente laborado Art. 291-D</t>
  </si>
  <si>
    <t>LFT Art. 50-IV</t>
  </si>
  <si>
    <t>12 dias por cada anio cuando proceda</t>
  </si>
  <si>
    <t>Base diaria capturada x 12 x anios</t>
  </si>
  <si>
    <t>Selector = Si</t>
  </si>
  <si>
    <t>Topes y supuestos legales</t>
  </si>
  <si>
    <t>LFT Arts. 162 y 486</t>
  </si>
  <si>
    <t>Vacaciones</t>
  </si>
  <si>
    <t>12 dias el primer anio, aumenta 2 por anio hasta 20 y despues 2 por cada 5 anios</t>
  </si>
  <si>
    <t>Solo referencia; capture dias pendientes</t>
  </si>
  <si>
    <t>Calculo informativo</t>
  </si>
  <si>
    <t>Dias ya disfrutados y periodo exacto</t>
  </si>
  <si>
    <t>LFT Art. 76</t>
  </si>
  <si>
    <t>VIGENCIA Y ADVERTENCIA</t>
  </si>
  <si>
    <t>Base normativa consultada: Ley Federal del Trabajo, texto vigente de la Camara de Diputados, ultima reforma publicada el 14-05-2026; y orientacion de PROFEDET sobre prestaciones y despido. El Art. 50 define indemnizaciones vinculadas a los supuestos legales correspondientes, no a cualquier terminacion. Esta herramienta es orientativa: valide procedencia, salario integrado, topes, impuestos, salarios vencidos, intereses y prestaciones contractuales con un profesional laboral y fiscal antes de firmar o pagar.</t>
  </si>
  <si>
    <t>Salario mínimo</t>
  </si>
  <si>
    <t>Si</t>
  </si>
  <si>
    <t>Indeterminado</t>
  </si>
  <si>
    <t>Determinación del pago provisional de ISR PM RGL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</si>
  <si>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</si>
  <si>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</si>
  <si>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</si>
  <si>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</si>
  <si>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</si>
  <si>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</si>
  <si>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</si>
  <si>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</si>
  <si>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</si>
  <si>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</si>
  <si>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</si>
  <si>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</si>
  <si>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 nominales facturados</t>
  </si>
  <si>
    <t>Año de cálculo</t>
  </si>
  <si>
    <t>(-) Otros ingresos a disminuir</t>
  </si>
  <si>
    <t>(+) Otros ingresos a adicionar</t>
  </si>
  <si>
    <t>(=) Ingresos nominales del mes</t>
  </si>
  <si>
    <t>(=) Ingresos nominales del periodo</t>
  </si>
  <si>
    <t>(x) Coeficiente de utilidad</t>
  </si>
  <si>
    <t>(=) Utilidad fiscal</t>
  </si>
  <si>
    <t>(-) Anticipos o rendimientos</t>
  </si>
  <si>
    <t>(-) PTU pagada</t>
  </si>
  <si>
    <t>(-) Pérdidas fiscales</t>
  </si>
  <si>
    <t>(=) Base gravable</t>
  </si>
  <si>
    <t>(x) Tasa de ISR artículo 9 LISR</t>
  </si>
  <si>
    <t>(=) PP ISR</t>
  </si>
  <si>
    <t>(-) ISR por dividendos</t>
  </si>
  <si>
    <t>(-) Pagos provisionales ant.</t>
  </si>
  <si>
    <t>(-) ISR retenido</t>
  </si>
  <si>
    <t>(=) ISR a cargo</t>
  </si>
  <si>
    <t>=DESREF(BASE!$B$3,0,0,CONTARA(BASE!$B:$B),6)</t>
  </si>
  <si>
    <t>Fórmula del nombre definido: CFDIE</t>
  </si>
  <si>
    <t>Total general</t>
  </si>
  <si>
    <t>2026</t>
  </si>
  <si>
    <t>Años (Fecha)</t>
  </si>
  <si>
    <t xml:space="preserve">RFC </t>
  </si>
  <si>
    <t xml:space="preserve">Importe </t>
  </si>
  <si>
    <t xml:space="preserve">IVA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</si>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</sst>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&quot;$&quot;#,##0.00"/>
    <numFmt numFmtId="165" formatCode="0.0000"/>
  </numFmts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"/>
    </font>
    <font>
      <sz val="10"/>
      <color theme="1"/>
      <name val="Aptos"/>
    </font>
    <font>
      <b/>
      <sz val="10"/>
      <color rgb="FFFFFFFF"/>
      <name val="Aptos"/>
    </font>
    <font>
      <b/>
      <sz val="18"/>
      <color rgb="FFFFFFFF"/>
      <name val="Aptos"/>
    </font>
    <font>
      <i/>
      <sz val="10"/>
      <color theme="1"/>
      <name val="Aptos"/>
    </font>
    <font>
      <b/>
      <sz val="10"/>
      <color theme="1"/>
      <name val="Aptos"/>
    </font>
    <font>
      <b/>
      <sz val="11"/>
      <color rgb="FFFFFFFF"/>
      <name val="Aptos"/>
    </font>
    <font>
      <b/>
      <sz val="17"/>
      <color rgb="FFFFFFFF"/>
      <name val="Aptos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/>
    <xf numFmtId="0" fontId="0" fillId="0" borderId="0" xfId="0" quotePrefix="1"/>
    <xf numFmtId="0" fontId="0" fillId="4" borderId="0" xfId="0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3" fillId="8" borderId="2" xfId="0" applyFont="1" applyFill="1" applyBorder="1" applyAlignment="1">
      <alignment horizontal="center"/>
    </xf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2" borderId="0" xfId="0" applyFont="1" applyFill="1"/>
    <xf numFmtId="0" fontId="2" fillId="9" borderId="0" xfId="0" applyFont="1" applyFill="1"/>
    <xf numFmtId="0" fontId="3" fillId="8" borderId="3" xfId="0" applyFont="1" applyFill="1" applyBorder="1" applyAlignment="1">
      <alignment horizontal="center"/>
    </xf>
    <xf numFmtId="14" fontId="0" fillId="6" borderId="1" xfId="0" applyNumberFormat="1" applyFill="1" applyBorder="1"/>
    <xf numFmtId="4" fontId="0" fillId="0" borderId="1" xfId="0" applyNumberFormat="1" applyBorder="1"/>
    <xf numFmtId="0" fontId="0" fillId="10" borderId="0" xfId="0" applyFill="1"/>
    <xf numFmtId="0" fontId="6" fillId="0" borderId="0" xfId="0" applyFont="1"/>
    <xf numFmtId="0" fontId="7" fillId="0" borderId="0" xfId="0" applyFont="1" applyAlignment="1">
      <alignment vertical="center"/>
    </xf>
    <xf numFmtId="0" fontId="8" fillId="11" borderId="4" xfId="0" applyFont="1" applyFill="1" applyBorder="1" applyAlignment="1">
      <alignment vertical="center"/>
    </xf>
    <xf numFmtId="0" fontId="11" fillId="15" borderId="4" xfId="0" applyFont="1" applyFill="1" applyBorder="1" applyAlignment="1">
      <alignment vertical="center"/>
    </xf>
    <xf numFmtId="8" fontId="7" fillId="0" borderId="0" xfId="0" applyNumberFormat="1" applyFont="1" applyAlignment="1">
      <alignment vertical="center"/>
    </xf>
    <xf numFmtId="8" fontId="8" fillId="11" borderId="4" xfId="0" applyNumberFormat="1" applyFont="1" applyFill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8" fillId="11" borderId="4" xfId="0" applyFont="1" applyFill="1" applyBorder="1" applyAlignment="1">
      <alignment vertical="center" wrapText="1"/>
    </xf>
    <xf numFmtId="2" fontId="7" fillId="0" borderId="4" xfId="0" applyNumberFormat="1" applyFont="1" applyBorder="1" applyAlignment="1">
      <alignment vertical="center" wrapText="1"/>
    </xf>
    <xf numFmtId="8" fontId="7" fillId="0" borderId="4" xfId="0" applyNumberFormat="1" applyFont="1" applyBorder="1" applyAlignment="1">
      <alignment vertical="center" wrapText="1"/>
    </xf>
    <xf numFmtId="0" fontId="11" fillId="14" borderId="4" xfId="0" applyFont="1" applyFill="1" applyBorder="1" applyAlignment="1">
      <alignment vertical="center" wrapText="1"/>
    </xf>
    <xf numFmtId="2" fontId="11" fillId="14" borderId="4" xfId="0" applyNumberFormat="1" applyFont="1" applyFill="1" applyBorder="1" applyAlignment="1">
      <alignment vertical="center" wrapText="1"/>
    </xf>
    <xf numFmtId="8" fontId="11" fillId="14" borderId="4" xfId="0" applyNumberFormat="1" applyFont="1" applyFill="1" applyBorder="1" applyAlignment="1">
      <alignment vertical="center" wrapText="1"/>
    </xf>
    <xf numFmtId="0" fontId="12" fillId="11" borderId="4" xfId="0" applyFont="1" applyFill="1" applyBorder="1"/>
    <xf numFmtId="0" fontId="6" fillId="0" borderId="4" xfId="0" applyFont="1" applyBorder="1" applyAlignment="1">
      <alignment vertical="top" wrapText="1"/>
    </xf>
    <xf numFmtId="0" fontId="15" fillId="12" borderId="4" xfId="0" applyFont="1" applyFill="1" applyBorder="1" applyAlignment="1">
      <alignment vertical="center"/>
    </xf>
    <xf numFmtId="0" fontId="15" fillId="13" borderId="4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165" fontId="15" fillId="0" borderId="4" xfId="0" applyNumberFormat="1" applyFont="1" applyBorder="1" applyAlignment="1">
      <alignment vertical="center"/>
    </xf>
    <xf numFmtId="14" fontId="15" fillId="13" borderId="4" xfId="0" applyNumberFormat="1" applyFont="1" applyFill="1" applyBorder="1" applyAlignment="1">
      <alignment vertical="center"/>
    </xf>
    <xf numFmtId="164" fontId="15" fillId="13" borderId="4" xfId="0" applyNumberFormat="1" applyFont="1" applyFill="1" applyBorder="1" applyAlignment="1">
      <alignment vertical="center"/>
    </xf>
    <xf numFmtId="10" fontId="15" fillId="13" borderId="4" xfId="0" applyNumberFormat="1" applyFont="1" applyFill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164" fontId="15" fillId="0" borderId="4" xfId="0" quotePrefix="1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right" indent="1"/>
    </xf>
    <xf numFmtId="0" fontId="0" fillId="6" borderId="1" xfId="0" applyFill="1" applyBorder="1"/>
    <xf numFmtId="4" fontId="0" fillId="6" borderId="1" xfId="0" applyNumberFormat="1" applyFill="1" applyBorder="1"/>
    <xf numFmtId="4" fontId="0" fillId="17" borderId="1" xfId="0" applyNumberFormat="1" applyFill="1" applyBorder="1"/>
    <xf numFmtId="9" fontId="0" fillId="6" borderId="1" xfId="1" applyFont="1" applyFill="1" applyBorder="1"/>
    <xf numFmtId="0" fontId="0" fillId="6" borderId="1" xfId="0" applyFill="1" applyBorder="1" applyAlignment="1">
      <alignment horizontal="justify" vertical="center" wrapText="1"/>
    </xf>
    <xf numFmtId="0" fontId="0" fillId="7" borderId="1" xfId="0" applyFill="1" applyBorder="1" applyAlignment="1">
      <alignment horizontal="justify" wrapText="1"/>
    </xf>
    <xf numFmtId="0" fontId="0" fillId="7" borderId="1" xfId="0" applyFill="1" applyBorder="1" applyAlignment="1">
      <alignment horizontal="justify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5" fillId="12" borderId="4" xfId="0" applyFont="1" applyFill="1" applyBorder="1" applyAlignment="1">
      <alignment vertical="center"/>
    </xf>
    <xf numFmtId="0" fontId="9" fillId="11" borderId="0" xfId="0" applyFont="1" applyFill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0" fontId="8" fillId="11" borderId="0" xfId="0" applyFont="1" applyFill="1" applyAlignment="1">
      <alignment vertical="center"/>
    </xf>
    <xf numFmtId="0" fontId="15" fillId="16" borderId="0" xfId="0" applyFont="1" applyFill="1" applyAlignment="1">
      <alignment vertical="top" wrapText="1"/>
    </xf>
    <xf numFmtId="0" fontId="15" fillId="12" borderId="4" xfId="0" applyFont="1" applyFill="1" applyBorder="1" applyAlignment="1">
      <alignment vertical="center" wrapText="1"/>
    </xf>
    <xf numFmtId="0" fontId="13" fillId="11" borderId="0" xfId="0" applyFont="1" applyFill="1" applyAlignment="1">
      <alignment horizontal="center"/>
    </xf>
    <xf numFmtId="0" fontId="12" fillId="11" borderId="0" xfId="0" applyFont="1" applyFill="1"/>
    <xf numFmtId="0" fontId="6" fillId="13" borderId="0" xfId="0" applyFont="1" applyFill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11/relationships/timelineCache" Target="timelineCaches/timeline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748393</xdr:colOff>
      <xdr:row>17</xdr:row>
      <xdr:rowOff>102053</xdr:rowOff>
    </xdr:from>
    <xdr:to>
      <xdr:col>8</xdr:col>
      <xdr:colOff>225083</xdr:colOff>
      <xdr:row>33</xdr:row>
      <xdr:rowOff>150110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7843CB-4F02-F795-B76A-0DF9627BD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2393" y="3442607"/>
          <a:ext cx="4048690" cy="3096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</xdr:row>
      <xdr:rowOff>127000</xdr:rowOff>
    </xdr:from>
    <xdr:to>
      <xdr:col>13</xdr:col>
      <xdr:colOff>146050</xdr:colOff>
      <xdr:row>9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6D551CC-75FE-E933-4DBF-18FE732695D0}"/>
            </a:ext>
          </a:extLst>
        </xdr:cNvPr>
        <xdr:cNvSpPr txBox="1"/>
      </xdr:nvSpPr>
      <xdr:spPr>
        <a:xfrm>
          <a:off x="6400800" y="508000"/>
          <a:ext cx="3917950" cy="1358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s-MX" b="1"/>
            <a:t>🧠 Qué es DESREF en lenguaje natural</a:t>
          </a:r>
        </a:p>
        <a:p>
          <a:pPr algn="just"/>
          <a:r>
            <a:rPr lang="es-MX">
              <a:effectLst/>
            </a:rPr>
            <a:t>DESREF es como decirle a Excel:</a:t>
          </a:r>
          <a:endParaRPr lang="es-MX"/>
        </a:p>
        <a:p>
          <a:pPr algn="just"/>
          <a:r>
            <a:rPr lang="es-MX">
              <a:effectLst/>
            </a:rPr>
            <a:t>“Toma esta celda como punto de partida, muévete cierta cantidad de filas y columnas, y dame lo que está ahí.”</a:t>
          </a:r>
          <a:endParaRPr lang="es-MX"/>
        </a:p>
        <a:p>
          <a:pPr algn="just"/>
          <a:r>
            <a:rPr lang="es-MX">
              <a:effectLst/>
            </a:rPr>
            <a:t>Eso es todo.</a:t>
          </a:r>
          <a:endParaRPr lang="es-MX"/>
        </a:p>
        <a:p>
          <a:pPr algn="just"/>
          <a:r>
            <a:rPr lang="es-MX">
              <a:effectLst/>
            </a:rPr>
            <a:t>No mueve nada en la hoja. No cambia datos. Solo </a:t>
          </a:r>
          <a:r>
            <a:rPr lang="es-MX" b="1">
              <a:effectLst/>
            </a:rPr>
            <a:t>calcula una dirección</a:t>
          </a:r>
          <a:r>
            <a:rPr lang="es-MX">
              <a:effectLst/>
            </a:rPr>
            <a:t>.</a:t>
          </a:r>
          <a:endParaRPr lang="es-MX"/>
        </a:p>
        <a:p>
          <a:pPr algn="just"/>
          <a:endParaRPr lang="es-MX" sz="1100"/>
        </a:p>
      </xdr:txBody>
    </xdr:sp>
    <xdr:clientData/>
  </xdr:twoCellAnchor>
  <xdr:twoCellAnchor editAs="oneCell">
    <xdr:from>
      <xdr:col>8</xdr:col>
      <xdr:colOff>12700</xdr:colOff>
      <xdr:row>12</xdr:row>
      <xdr:rowOff>38100</xdr:rowOff>
    </xdr:from>
    <xdr:to>
      <xdr:col>14</xdr:col>
      <xdr:colOff>670655</xdr:colOff>
      <xdr:row>24</xdr:row>
      <xdr:rowOff>9840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80D73C-3012-0C4A-1703-9652CAA32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5400" y="2324100"/>
          <a:ext cx="5229955" cy="2257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36634</xdr:colOff>
      <xdr:row>5</xdr:row>
      <xdr:rowOff>7327</xdr:rowOff>
    </xdr:from>
    <xdr:to>
      <xdr:col>13</xdr:col>
      <xdr:colOff>58616</xdr:colOff>
      <xdr:row>12</xdr:row>
      <xdr:rowOff>45427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2" name="Fecha">
              <a:extLst>
                <a:ext uri="{FF2B5EF4-FFF2-40B4-BE49-F238E27FC236}">
                  <a16:creationId xmlns:a16="http://schemas.microsoft.com/office/drawing/2014/main" id="{4B15864E-3709-5699-7A5E-2B284B786C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Fech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47846" y="959827"/>
              <a:ext cx="5355982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11</xdr:row>
      <xdr:rowOff>38100</xdr:rowOff>
    </xdr:from>
    <xdr:to>
      <xdr:col>8</xdr:col>
      <xdr:colOff>299285</xdr:colOff>
      <xdr:row>13</xdr:row>
      <xdr:rowOff>133416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145B1D-10BE-A213-475C-6A1C8098E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2133600"/>
          <a:ext cx="5982535" cy="47631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101600</xdr:rowOff>
    </xdr:from>
    <xdr:to>
      <xdr:col>5</xdr:col>
      <xdr:colOff>83037</xdr:colOff>
      <xdr:row>15</xdr:row>
      <xdr:rowOff>177837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F50992-2BDF-D48B-B9F3-F7098C62B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" y="2768600"/>
          <a:ext cx="3486637" cy="266737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5.489986111112" createdVersion="8" refreshedVersion="8" minRefreshableVersion="3" recordCount="14" xr:uid="{D45C1A8B-50FA-42EC-8CEE-8B3D8C7192E9}">
  <cacheSource type="worksheet">
    <worksheetSource name="CFDIE"/>
  </cacheSource>
  <cacheFields count="9">
    <cacheField name="Fecha" numFmtId="14">
      <sharedItems containsSemiMixedTypes="0" containsNonDate="0" containsDate="1" containsString="0" minDate="2026-01-08T00:00:00" maxDate="2026-05-16T00:00:00" count="14">
        <d v="2026-01-08T00:00:00"/>
        <d v="2026-01-20T00:00:00"/>
        <d v="2026-01-29T00:00:00"/>
        <d v="2026-02-03T00:00:00"/>
        <d v="2026-02-10T00:00:00"/>
        <d v="2026-02-18T00:00:00"/>
        <d v="2026-02-26T00:00:00"/>
        <d v="2026-03-06T00:00:00"/>
        <d v="2026-03-14T00:00:00"/>
        <d v="2026-03-22T00:00:00"/>
        <d v="2026-03-30T00:00:00"/>
        <d v="2026-04-01T00:00:00"/>
        <d v="2026-05-03T00:00:00"/>
        <d v="2026-05-15T00:00:00"/>
      </sharedItems>
      <fieldGroup par="8"/>
    </cacheField>
    <cacheField name="No. Factura" numFmtId="0">
      <sharedItems containsSemiMixedTypes="0" containsString="0" containsNumber="1" containsInteger="1" minValue="1000" maxValue="1013"/>
    </cacheField>
    <cacheField name="RFC" numFmtId="0">
      <sharedItems count="8">
        <s v="JBE980302HY5"/>
        <s v="MEMC870205JU7"/>
        <s v="ACF050602JU7"/>
        <s v="XEXX010101000"/>
        <s v="TOM870306GT5"/>
        <s v="XAXX010101000"/>
        <s v="IAHJ890603KI8"/>
        <s v="ARG960302UJ7"/>
      </sharedItems>
    </cacheField>
    <cacheField name="Importe" numFmtId="4">
      <sharedItems containsSemiMixedTypes="0" containsString="0" containsNumber="1" containsInteger="1" minValue="10000" maxValue="150000"/>
    </cacheField>
    <cacheField name="IVA" numFmtId="4">
      <sharedItems containsSemiMixedTypes="0" containsString="0" containsNumber="1" containsInteger="1" minValue="1600" maxValue="24000"/>
    </cacheField>
    <cacheField name="Total" numFmtId="4">
      <sharedItems containsSemiMixedTypes="0" containsString="0" containsNumber="1" containsInteger="1" minValue="11600" maxValue="174000"/>
    </cacheField>
    <cacheField name="Días (Fecha)" numFmtId="0" databaseField="0">
      <fieldGroup base="0">
        <rangePr autoStart="0" autoEnd="0" groupBy="days" startDate="2026-01-08T00:00:00" endDate="2026-05-04T00:00:00"/>
        <groupItems count="368">
          <s v="&lt;08/01/2026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4/05/2026"/>
        </groupItems>
      </fieldGroup>
    </cacheField>
    <cacheField name="Meses (Fecha)" numFmtId="0" databaseField="0">
      <fieldGroup base="0">
        <rangePr autoStart="0" autoEnd="0" groupBy="months" startDate="2026-01-08T00:00:00" endDate="2026-05-04T00:00:00"/>
        <groupItems count="14">
          <s v="&lt;08/01/2026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4/05/2026"/>
        </groupItems>
      </fieldGroup>
    </cacheField>
    <cacheField name="Años (Fecha)" numFmtId="0" databaseField="0">
      <fieldGroup base="0">
        <rangePr autoStart="0" autoEnd="0" groupBy="years" startDate="2026-01-08T00:00:00" endDate="2026-05-04T00:00:00"/>
        <groupItems count="3">
          <s v="&lt;08/01/2026"/>
          <s v="2026"/>
          <s v="&gt;04/05/2026"/>
        </groupItems>
      </fieldGroup>
    </cacheField>
  </cacheFields>
  <extLst>
    <ext xmlns:x14="http://schemas.microsoft.com/office/spreadsheetml/2009/9/main" uri="{725AE2AE-9491-48be-B2B4-4EB974FC3084}">
      <x14:pivotCacheDefinition pivotCacheId="1383695192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n v="1000"/>
    <x v="0"/>
    <n v="150000"/>
    <n v="24000"/>
    <n v="174000"/>
  </r>
  <r>
    <x v="1"/>
    <n v="1001"/>
    <x v="1"/>
    <n v="68000"/>
    <n v="10880"/>
    <n v="78880"/>
  </r>
  <r>
    <x v="2"/>
    <n v="1002"/>
    <x v="2"/>
    <n v="50000"/>
    <n v="8000"/>
    <n v="58000"/>
  </r>
  <r>
    <x v="3"/>
    <n v="1003"/>
    <x v="3"/>
    <n v="36000"/>
    <n v="5760"/>
    <n v="41760"/>
  </r>
  <r>
    <x v="4"/>
    <n v="1004"/>
    <x v="0"/>
    <n v="25000"/>
    <n v="4000"/>
    <n v="29000"/>
  </r>
  <r>
    <x v="5"/>
    <n v="1005"/>
    <x v="2"/>
    <n v="30000"/>
    <n v="4800"/>
    <n v="34800"/>
  </r>
  <r>
    <x v="6"/>
    <n v="1006"/>
    <x v="4"/>
    <n v="25000"/>
    <n v="4000"/>
    <n v="29000"/>
  </r>
  <r>
    <x v="7"/>
    <n v="1007"/>
    <x v="5"/>
    <n v="89000"/>
    <n v="14240"/>
    <n v="103240"/>
  </r>
  <r>
    <x v="8"/>
    <n v="1008"/>
    <x v="1"/>
    <n v="45000"/>
    <n v="7200"/>
    <n v="52200"/>
  </r>
  <r>
    <x v="9"/>
    <n v="1009"/>
    <x v="6"/>
    <n v="25000"/>
    <n v="4000"/>
    <n v="29000"/>
  </r>
  <r>
    <x v="10"/>
    <n v="1010"/>
    <x v="0"/>
    <n v="10000"/>
    <n v="1600"/>
    <n v="11600"/>
  </r>
  <r>
    <x v="11"/>
    <n v="1011"/>
    <x v="7"/>
    <n v="20000"/>
    <n v="3200"/>
    <n v="23200"/>
  </r>
  <r>
    <x v="12"/>
    <n v="1012"/>
    <x v="1"/>
    <n v="50000"/>
    <n v="8000"/>
    <n v="58000"/>
  </r>
  <r>
    <x v="13"/>
    <n v="1013"/>
    <x v="2"/>
    <n v="100000"/>
    <n v="16000"/>
    <n v="11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5CC717-619D-4D97-A664-7AB25F1FDE57}" name="TablaDinámica2" cacheId="25" applyNumberFormats="0" applyBorderFormats="0" applyFontFormats="0" applyPatternFormats="0" applyAlignmentFormats="0" applyWidthHeightFormats="1" dataCaption="Valores" updatedVersion="8" minRefreshableVersion="5" useAutoFormatting="1" itemPrintTitles="1" createdVersion="8" indent="0" outline="1" outlineData="1" multipleFieldFilters="0" rowHeaderCaption="RFC ">
  <location ref="B4:E13" firstHeaderRow="0" firstDataRow="1" firstDataCol="1" rowPageCount="1" colPageCount="1"/>
  <pivotFields count="9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axis="axisRow" showAll="0">
      <items count="9">
        <item x="2"/>
        <item x="7"/>
        <item x="6"/>
        <item x="0"/>
        <item x="1"/>
        <item x="4"/>
        <item x="5"/>
        <item x="3"/>
        <item t="default"/>
      </items>
    </pivotField>
    <pivotField dataField="1" numFmtId="4" showAll="0"/>
    <pivotField dataField="1" numFmtId="4" showAll="0"/>
    <pivotField dataField="1" numFmtId="4"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multipleItemSelectionAllowed="1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multipleItemSelectionAllowed="1" showAll="0">
      <items count="4">
        <item h="1" x="0"/>
        <item x="1"/>
        <item h="1" x="2"/>
        <item t="default"/>
      </items>
    </pivotField>
  </pivotFields>
  <rowFields count="1">
    <field x="2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8" hier="-1"/>
  </pageFields>
  <dataFields count="3">
    <dataField name="Importe " fld="3" baseField="0" baseItem="0" numFmtId="4"/>
    <dataField name="IVA " fld="4" baseField="0" baseItem="0" numFmtId="4"/>
    <dataField name="Total " fld="5" baseField="0" baseItem="0" numFmtId="4"/>
  </dataFields>
  <pivotTableStyleInfo name="PivotStyleDark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" xr10:uid="{16F4237D-AE63-445D-BB51-9A66EDE40A8B}" sourceName="Fecha">
  <pivotTables>
    <pivotTable tabId="10" name="TablaDinámica2"/>
  </pivotTables>
  <state minimalRefreshVersion="6" lastRefreshVersion="6" pivotCacheId="1383695192" filterType="unknown">
    <bounds startDate="2026-01-01T00:00:00" endDate="2027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" xr10:uid="{1A033B03-C0B5-45D6-BB2C-7602C47B170A}" cache="NativeTimeline_Fecha" caption="Fecha" level="2" selectionLevel="2" scrollPosition="2026-01-01T00:00:00"/>
</timeline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0B14-0A2A-49F2-9FA7-7D67AAA7C12A}">
  <dimension ref="B3:E19"/>
  <sheetViews>
    <sheetView zoomScale="140" zoomScaleNormal="140" workbookViewId="0">
      <selection activeCell="H11" sqref="H11"/>
    </sheetView>
  </sheetViews>
  <sheetFormatPr baseColWidth="10" defaultRowHeight="15" x14ac:dyDescent="0.25"/>
  <cols>
    <col min="2" max="2" width="17.28515625" customWidth="1"/>
  </cols>
  <sheetData>
    <row r="3" spans="2:5" x14ac:dyDescent="0.25">
      <c r="B3" s="1" t="s">
        <v>0</v>
      </c>
    </row>
    <row r="4" spans="2:5" x14ac:dyDescent="0.25">
      <c r="B4" t="s">
        <v>1</v>
      </c>
    </row>
    <row r="5" spans="2:5" x14ac:dyDescent="0.25">
      <c r="B5" t="s">
        <v>2</v>
      </c>
      <c r="D5" cm="1">
        <f t="array" ref="D5">SUM(1/COUNTIF(B4:B19,B4:B19))</f>
        <v>4</v>
      </c>
      <c r="E5" s="2" t="s">
        <v>7</v>
      </c>
    </row>
    <row r="6" spans="2:5" x14ac:dyDescent="0.25">
      <c r="B6" t="s">
        <v>3</v>
      </c>
      <c r="D6">
        <f>COUNTA(_xlfn.UNIQUE(B4:B19))</f>
        <v>4</v>
      </c>
      <c r="E6" s="2" t="s">
        <v>5</v>
      </c>
    </row>
    <row r="7" spans="2:5" x14ac:dyDescent="0.25">
      <c r="B7" t="s">
        <v>4</v>
      </c>
      <c r="D7" t="s">
        <v>6</v>
      </c>
    </row>
    <row r="8" spans="2:5" x14ac:dyDescent="0.25">
      <c r="B8" t="s">
        <v>1</v>
      </c>
    </row>
    <row r="9" spans="2:5" x14ac:dyDescent="0.25">
      <c r="B9" t="s">
        <v>2</v>
      </c>
    </row>
    <row r="10" spans="2:5" x14ac:dyDescent="0.25">
      <c r="B10" t="s">
        <v>3</v>
      </c>
    </row>
    <row r="11" spans="2:5" x14ac:dyDescent="0.25">
      <c r="B11" t="s">
        <v>4</v>
      </c>
    </row>
    <row r="12" spans="2:5" x14ac:dyDescent="0.25">
      <c r="B12" t="s">
        <v>1</v>
      </c>
    </row>
    <row r="13" spans="2:5" x14ac:dyDescent="0.25">
      <c r="B13" t="s">
        <v>2</v>
      </c>
    </row>
    <row r="14" spans="2:5" x14ac:dyDescent="0.25">
      <c r="B14" t="s">
        <v>3</v>
      </c>
    </row>
    <row r="15" spans="2:5" x14ac:dyDescent="0.25">
      <c r="B15" t="s">
        <v>4</v>
      </c>
    </row>
    <row r="16" spans="2:5" x14ac:dyDescent="0.25">
      <c r="B16" t="s">
        <v>1</v>
      </c>
    </row>
    <row r="17" spans="2:2" x14ac:dyDescent="0.25">
      <c r="B17" t="s">
        <v>2</v>
      </c>
    </row>
    <row r="18" spans="2:2" x14ac:dyDescent="0.25">
      <c r="B18" t="s">
        <v>3</v>
      </c>
    </row>
    <row r="19" spans="2:2" x14ac:dyDescent="0.25">
      <c r="B1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FB3E-4A29-4D0F-8C2A-49818D1471B8}">
  <dimension ref="B3:J19"/>
  <sheetViews>
    <sheetView zoomScale="140" zoomScaleNormal="140" workbookViewId="0">
      <selection activeCell="B7" sqref="B7"/>
    </sheetView>
  </sheetViews>
  <sheetFormatPr baseColWidth="10" defaultRowHeight="15" x14ac:dyDescent="0.25"/>
  <sheetData>
    <row r="3" spans="2:10" ht="15" customHeight="1" x14ac:dyDescent="0.25">
      <c r="B3" s="4" t="s">
        <v>8</v>
      </c>
      <c r="D3" s="48" t="s">
        <v>9</v>
      </c>
      <c r="E3" s="48"/>
      <c r="F3" s="48"/>
      <c r="G3" s="48"/>
      <c r="H3" s="48"/>
      <c r="I3" s="48"/>
      <c r="J3" s="5"/>
    </row>
    <row r="4" spans="2:10" x14ac:dyDescent="0.25">
      <c r="B4" s="3"/>
      <c r="D4" s="48"/>
      <c r="E4" s="48"/>
      <c r="F4" s="48"/>
      <c r="G4" s="48"/>
      <c r="H4" s="48"/>
      <c r="I4" s="48"/>
    </row>
    <row r="5" spans="2:10" x14ac:dyDescent="0.25">
      <c r="B5" s="3"/>
      <c r="D5" s="48"/>
      <c r="E5" s="48"/>
      <c r="F5" s="48"/>
      <c r="G5" s="48"/>
      <c r="H5" s="48"/>
      <c r="I5" s="48"/>
    </row>
    <row r="6" spans="2:10" x14ac:dyDescent="0.25">
      <c r="B6" s="3"/>
      <c r="D6" s="48"/>
      <c r="E6" s="48"/>
      <c r="F6" s="48"/>
      <c r="G6" s="48"/>
      <c r="H6" s="48"/>
      <c r="I6" s="48"/>
    </row>
    <row r="7" spans="2:10" x14ac:dyDescent="0.25">
      <c r="B7" s="3"/>
      <c r="D7" s="48"/>
      <c r="E7" s="48"/>
      <c r="F7" s="48"/>
      <c r="G7" s="48"/>
      <c r="H7" s="48"/>
      <c r="I7" s="48"/>
    </row>
    <row r="8" spans="2:10" x14ac:dyDescent="0.25">
      <c r="B8" s="3"/>
      <c r="D8" s="48"/>
      <c r="E8" s="48"/>
      <c r="F8" s="48"/>
      <c r="G8" s="48"/>
      <c r="H8" s="48"/>
      <c r="I8" s="48"/>
    </row>
    <row r="9" spans="2:10" x14ac:dyDescent="0.25">
      <c r="B9" s="3"/>
      <c r="D9" s="49" t="s">
        <v>10</v>
      </c>
      <c r="E9" s="50"/>
      <c r="F9" s="50"/>
      <c r="G9" s="50"/>
      <c r="H9" s="50"/>
      <c r="I9" s="50"/>
    </row>
    <row r="10" spans="2:10" x14ac:dyDescent="0.25">
      <c r="B10" s="3"/>
      <c r="D10" s="50"/>
      <c r="E10" s="50"/>
      <c r="F10" s="50"/>
      <c r="G10" s="50"/>
      <c r="H10" s="50"/>
      <c r="I10" s="50"/>
    </row>
    <row r="11" spans="2:10" x14ac:dyDescent="0.25">
      <c r="B11" s="3"/>
      <c r="D11" s="50"/>
      <c r="E11" s="50"/>
      <c r="F11" s="50"/>
      <c r="G11" s="50"/>
      <c r="H11" s="50"/>
      <c r="I11" s="50"/>
    </row>
    <row r="12" spans="2:10" x14ac:dyDescent="0.25">
      <c r="B12" s="3"/>
      <c r="D12" s="50"/>
      <c r="E12" s="50"/>
      <c r="F12" s="50"/>
      <c r="G12" s="50"/>
      <c r="H12" s="50"/>
      <c r="I12" s="50"/>
    </row>
    <row r="13" spans="2:10" x14ac:dyDescent="0.25">
      <c r="B13" s="3"/>
      <c r="D13" s="51" t="s">
        <v>11</v>
      </c>
      <c r="E13" s="52"/>
      <c r="F13" s="52"/>
      <c r="G13" s="52"/>
      <c r="H13" s="52"/>
      <c r="I13" s="52"/>
    </row>
    <row r="14" spans="2:10" x14ac:dyDescent="0.25">
      <c r="B14" s="3"/>
      <c r="D14" s="52"/>
      <c r="E14" s="52"/>
      <c r="F14" s="52"/>
      <c r="G14" s="52"/>
      <c r="H14" s="52"/>
      <c r="I14" s="52"/>
    </row>
    <row r="15" spans="2:10" x14ac:dyDescent="0.25">
      <c r="B15" s="3"/>
      <c r="D15" s="52"/>
      <c r="E15" s="52"/>
      <c r="F15" s="52"/>
      <c r="G15" s="52"/>
      <c r="H15" s="52"/>
      <c r="I15" s="52"/>
    </row>
    <row r="16" spans="2:10" x14ac:dyDescent="0.25">
      <c r="B16" s="3"/>
      <c r="D16" s="52"/>
      <c r="E16" s="52"/>
      <c r="F16" s="52"/>
      <c r="G16" s="52"/>
      <c r="H16" s="52"/>
      <c r="I16" s="52"/>
    </row>
    <row r="17" spans="2:9" x14ac:dyDescent="0.25">
      <c r="B17" s="3"/>
      <c r="D17" s="52"/>
      <c r="E17" s="52"/>
      <c r="F17" s="52"/>
      <c r="G17" s="52"/>
      <c r="H17" s="52"/>
      <c r="I17" s="52"/>
    </row>
    <row r="18" spans="2:9" x14ac:dyDescent="0.25">
      <c r="B18" s="3"/>
    </row>
    <row r="19" spans="2:9" x14ac:dyDescent="0.25">
      <c r="B19" s="3"/>
    </row>
  </sheetData>
  <mergeCells count="3">
    <mergeCell ref="D3:I8"/>
    <mergeCell ref="D9:I12"/>
    <mergeCell ref="D13:I17"/>
  </mergeCells>
  <dataValidations count="1">
    <dataValidation type="custom" allowBlank="1" showInputMessage="1" showErrorMessage="1" errorTitle="Duplicados" error="El valor ya existe" sqref="B4:B19" xr:uid="{E9792CAF-4BCE-4F13-B615-4C6A02672F90}">
      <formula1>COUNTIF($B$4:$B$19,B4)=1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BDDD-3D02-4ABC-AF9A-250458D4F57C}">
  <dimension ref="B2:I27"/>
  <sheetViews>
    <sheetView zoomScale="150" zoomScaleNormal="150" workbookViewId="0">
      <selection activeCell="H4" sqref="H4"/>
    </sheetView>
  </sheetViews>
  <sheetFormatPr baseColWidth="10" defaultRowHeight="15" x14ac:dyDescent="0.25"/>
  <cols>
    <col min="4" max="4" width="15.42578125" customWidth="1"/>
  </cols>
  <sheetData>
    <row r="2" spans="2:9" x14ac:dyDescent="0.25">
      <c r="I2" s="9" t="s">
        <v>46</v>
      </c>
    </row>
    <row r="3" spans="2:9" x14ac:dyDescent="0.25">
      <c r="B3" s="6" t="s">
        <v>12</v>
      </c>
      <c r="C3" s="6" t="s">
        <v>13</v>
      </c>
      <c r="D3" s="6" t="s">
        <v>0</v>
      </c>
      <c r="E3" s="6" t="s">
        <v>14</v>
      </c>
      <c r="F3" s="6" t="s">
        <v>15</v>
      </c>
      <c r="G3" s="6" t="s">
        <v>16</v>
      </c>
    </row>
    <row r="4" spans="2:9" x14ac:dyDescent="0.25">
      <c r="B4" s="7">
        <v>46030</v>
      </c>
      <c r="C4">
        <v>1000</v>
      </c>
      <c r="D4" t="s">
        <v>17</v>
      </c>
      <c r="E4" s="8">
        <v>150000</v>
      </c>
      <c r="F4" s="8">
        <f t="shared" ref="F4:F17" si="0">E4*0.16</f>
        <v>24000</v>
      </c>
      <c r="G4" s="8">
        <f>SUM(E4:F4)</f>
        <v>174000</v>
      </c>
    </row>
    <row r="5" spans="2:9" x14ac:dyDescent="0.25">
      <c r="B5" s="7">
        <v>46042</v>
      </c>
      <c r="C5">
        <v>1001</v>
      </c>
      <c r="D5" t="s">
        <v>18</v>
      </c>
      <c r="E5" s="8">
        <v>68000</v>
      </c>
      <c r="F5" s="8">
        <f t="shared" si="0"/>
        <v>10880</v>
      </c>
      <c r="G5" s="8">
        <f t="shared" ref="G5:G17" si="1">SUM(E5:F5)</f>
        <v>78880</v>
      </c>
    </row>
    <row r="6" spans="2:9" x14ac:dyDescent="0.25">
      <c r="B6" s="7">
        <v>46051</v>
      </c>
      <c r="C6">
        <v>1002</v>
      </c>
      <c r="D6" t="s">
        <v>19</v>
      </c>
      <c r="E6" s="8">
        <v>50000</v>
      </c>
      <c r="F6" s="8">
        <f t="shared" si="0"/>
        <v>8000</v>
      </c>
      <c r="G6" s="8">
        <f t="shared" si="1"/>
        <v>58000</v>
      </c>
    </row>
    <row r="7" spans="2:9" x14ac:dyDescent="0.25">
      <c r="B7" s="7">
        <v>46056</v>
      </c>
      <c r="C7">
        <v>1003</v>
      </c>
      <c r="D7" t="s">
        <v>20</v>
      </c>
      <c r="E7" s="8">
        <v>36000</v>
      </c>
      <c r="F7" s="8">
        <f t="shared" si="0"/>
        <v>5760</v>
      </c>
      <c r="G7" s="8">
        <f t="shared" si="1"/>
        <v>41760</v>
      </c>
    </row>
    <row r="8" spans="2:9" x14ac:dyDescent="0.25">
      <c r="B8" s="7">
        <v>46063</v>
      </c>
      <c r="C8">
        <v>1004</v>
      </c>
      <c r="D8" t="s">
        <v>17</v>
      </c>
      <c r="E8" s="8">
        <v>25000</v>
      </c>
      <c r="F8" s="8">
        <f t="shared" si="0"/>
        <v>4000</v>
      </c>
      <c r="G8" s="8">
        <f t="shared" si="1"/>
        <v>29000</v>
      </c>
    </row>
    <row r="9" spans="2:9" x14ac:dyDescent="0.25">
      <c r="B9" s="7">
        <v>46071</v>
      </c>
      <c r="C9">
        <v>1005</v>
      </c>
      <c r="D9" t="s">
        <v>19</v>
      </c>
      <c r="E9" s="8">
        <v>30000</v>
      </c>
      <c r="F9" s="8">
        <f t="shared" si="0"/>
        <v>4800</v>
      </c>
      <c r="G9" s="8">
        <f t="shared" si="1"/>
        <v>34800</v>
      </c>
    </row>
    <row r="10" spans="2:9" x14ac:dyDescent="0.25">
      <c r="B10" s="7">
        <v>46079</v>
      </c>
      <c r="C10">
        <v>1006</v>
      </c>
      <c r="D10" t="s">
        <v>21</v>
      </c>
      <c r="E10" s="8">
        <v>25000</v>
      </c>
      <c r="F10" s="8">
        <f t="shared" si="0"/>
        <v>4000</v>
      </c>
      <c r="G10" s="8">
        <f t="shared" si="1"/>
        <v>29000</v>
      </c>
    </row>
    <row r="11" spans="2:9" x14ac:dyDescent="0.25">
      <c r="B11" s="7">
        <v>46087</v>
      </c>
      <c r="C11">
        <v>1007</v>
      </c>
      <c r="D11" t="s">
        <v>22</v>
      </c>
      <c r="E11" s="8">
        <v>89000</v>
      </c>
      <c r="F11" s="8">
        <f t="shared" si="0"/>
        <v>14240</v>
      </c>
      <c r="G11" s="8">
        <f t="shared" si="1"/>
        <v>103240</v>
      </c>
    </row>
    <row r="12" spans="2:9" x14ac:dyDescent="0.25">
      <c r="B12" s="7">
        <v>46095</v>
      </c>
      <c r="C12">
        <v>1008</v>
      </c>
      <c r="D12" t="s">
        <v>18</v>
      </c>
      <c r="E12" s="8">
        <v>45000</v>
      </c>
      <c r="F12" s="8">
        <f t="shared" si="0"/>
        <v>7200</v>
      </c>
      <c r="G12" s="8">
        <f t="shared" si="1"/>
        <v>52200</v>
      </c>
      <c r="I12" t="s">
        <v>47</v>
      </c>
    </row>
    <row r="13" spans="2:9" x14ac:dyDescent="0.25">
      <c r="B13" s="7">
        <v>46103</v>
      </c>
      <c r="C13">
        <v>1009</v>
      </c>
      <c r="D13" t="s">
        <v>23</v>
      </c>
      <c r="E13" s="8">
        <v>25000</v>
      </c>
      <c r="F13" s="8">
        <f t="shared" si="0"/>
        <v>4000</v>
      </c>
      <c r="G13" s="8">
        <f t="shared" si="1"/>
        <v>29000</v>
      </c>
    </row>
    <row r="14" spans="2:9" x14ac:dyDescent="0.25">
      <c r="B14" s="7">
        <v>46111</v>
      </c>
      <c r="C14">
        <v>1010</v>
      </c>
      <c r="D14" t="s">
        <v>17</v>
      </c>
      <c r="E14" s="8">
        <v>10000</v>
      </c>
      <c r="F14" s="8">
        <f t="shared" si="0"/>
        <v>1600</v>
      </c>
      <c r="G14" s="8">
        <f t="shared" si="1"/>
        <v>11600</v>
      </c>
    </row>
    <row r="15" spans="2:9" x14ac:dyDescent="0.25">
      <c r="B15" s="7">
        <v>46113</v>
      </c>
      <c r="C15">
        <v>1011</v>
      </c>
      <c r="D15" t="s">
        <v>48</v>
      </c>
      <c r="E15" s="8">
        <v>20000</v>
      </c>
      <c r="F15" s="8">
        <f t="shared" si="0"/>
        <v>3200</v>
      </c>
      <c r="G15" s="8">
        <f t="shared" si="1"/>
        <v>23200</v>
      </c>
    </row>
    <row r="16" spans="2:9" x14ac:dyDescent="0.25">
      <c r="B16" s="7">
        <v>46145</v>
      </c>
      <c r="C16">
        <v>1012</v>
      </c>
      <c r="D16" t="s">
        <v>18</v>
      </c>
      <c r="E16" s="8">
        <v>50000</v>
      </c>
      <c r="F16" s="8">
        <f t="shared" si="0"/>
        <v>8000</v>
      </c>
      <c r="G16" s="8">
        <f t="shared" si="1"/>
        <v>58000</v>
      </c>
    </row>
    <row r="17" spans="2:9" x14ac:dyDescent="0.25">
      <c r="B17" s="7">
        <v>46157</v>
      </c>
      <c r="C17">
        <v>1013</v>
      </c>
      <c r="D17" t="s">
        <v>19</v>
      </c>
      <c r="E17" s="8">
        <v>100000</v>
      </c>
      <c r="F17" s="8">
        <f t="shared" si="0"/>
        <v>16000</v>
      </c>
      <c r="G17" s="8">
        <f t="shared" si="1"/>
        <v>116000</v>
      </c>
    </row>
    <row r="18" spans="2:9" x14ac:dyDescent="0.25">
      <c r="E18" s="8"/>
      <c r="F18" s="8"/>
      <c r="G18" s="8"/>
    </row>
    <row r="26" spans="2:9" x14ac:dyDescent="0.25">
      <c r="I26" s="9" t="s">
        <v>198</v>
      </c>
    </row>
    <row r="27" spans="2:9" x14ac:dyDescent="0.25">
      <c r="I27" s="2" t="s">
        <v>197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E411-6907-432D-9465-10527BC0EE46}">
  <dimension ref="B2:F13"/>
  <sheetViews>
    <sheetView showGridLines="0" tabSelected="1" zoomScale="130" zoomScaleNormal="130" workbookViewId="0">
      <selection activeCell="D7" sqref="D7"/>
    </sheetView>
  </sheetViews>
  <sheetFormatPr baseColWidth="10" defaultRowHeight="15" x14ac:dyDescent="0.25"/>
  <cols>
    <col min="2" max="2" width="16.140625" bestFit="1" customWidth="1"/>
    <col min="3" max="3" width="10.85546875" bestFit="1" customWidth="1"/>
    <col min="4" max="4" width="9.85546875" bestFit="1" customWidth="1"/>
    <col min="5" max="5" width="10.85546875" bestFit="1" customWidth="1"/>
  </cols>
  <sheetData>
    <row r="2" spans="2:6" x14ac:dyDescent="0.25">
      <c r="B2" s="62" t="s">
        <v>201</v>
      </c>
      <c r="C2" t="s">
        <v>200</v>
      </c>
    </row>
    <row r="4" spans="2:6" x14ac:dyDescent="0.25">
      <c r="B4" s="62" t="s">
        <v>202</v>
      </c>
      <c r="C4" t="s">
        <v>203</v>
      </c>
      <c r="D4" t="s">
        <v>204</v>
      </c>
      <c r="E4" t="s">
        <v>205</v>
      </c>
    </row>
    <row r="5" spans="2:6" x14ac:dyDescent="0.25">
      <c r="B5" s="63" t="s">
        <v>19</v>
      </c>
      <c r="C5" s="8">
        <v>80000</v>
      </c>
      <c r="D5" s="8">
        <v>12800</v>
      </c>
      <c r="E5" s="8">
        <v>92800</v>
      </c>
      <c r="F5" s="64"/>
    </row>
    <row r="6" spans="2:6" x14ac:dyDescent="0.25">
      <c r="B6" s="63" t="s">
        <v>48</v>
      </c>
      <c r="C6" s="8">
        <v>20000</v>
      </c>
      <c r="D6" s="8">
        <v>3200</v>
      </c>
      <c r="E6" s="8">
        <v>23200</v>
      </c>
      <c r="F6" s="64"/>
    </row>
    <row r="7" spans="2:6" x14ac:dyDescent="0.25">
      <c r="B7" s="63" t="s">
        <v>23</v>
      </c>
      <c r="C7" s="8">
        <v>25000</v>
      </c>
      <c r="D7" s="8">
        <v>4000</v>
      </c>
      <c r="E7" s="8">
        <v>29000</v>
      </c>
      <c r="F7" s="64"/>
    </row>
    <row r="8" spans="2:6" x14ac:dyDescent="0.25">
      <c r="B8" s="63" t="s">
        <v>17</v>
      </c>
      <c r="C8" s="8">
        <v>185000</v>
      </c>
      <c r="D8" s="8">
        <v>29600</v>
      </c>
      <c r="E8" s="8">
        <v>214600</v>
      </c>
      <c r="F8" s="64"/>
    </row>
    <row r="9" spans="2:6" x14ac:dyDescent="0.25">
      <c r="B9" s="63" t="s">
        <v>18</v>
      </c>
      <c r="C9" s="8">
        <v>163000</v>
      </c>
      <c r="D9" s="8">
        <v>26080</v>
      </c>
      <c r="E9" s="8">
        <v>189080</v>
      </c>
      <c r="F9" s="64"/>
    </row>
    <row r="10" spans="2:6" x14ac:dyDescent="0.25">
      <c r="B10" s="63" t="s">
        <v>21</v>
      </c>
      <c r="C10" s="8">
        <v>25000</v>
      </c>
      <c r="D10" s="8">
        <v>4000</v>
      </c>
      <c r="E10" s="8">
        <v>29000</v>
      </c>
      <c r="F10" s="64"/>
    </row>
    <row r="11" spans="2:6" x14ac:dyDescent="0.25">
      <c r="B11" s="63" t="s">
        <v>22</v>
      </c>
      <c r="C11" s="8">
        <v>89000</v>
      </c>
      <c r="D11" s="8">
        <v>14240</v>
      </c>
      <c r="E11" s="8">
        <v>103240</v>
      </c>
      <c r="F11" s="64"/>
    </row>
    <row r="12" spans="2:6" x14ac:dyDescent="0.25">
      <c r="B12" s="63" t="s">
        <v>20</v>
      </c>
      <c r="C12" s="8">
        <v>36000</v>
      </c>
      <c r="D12" s="8">
        <v>5760</v>
      </c>
      <c r="E12" s="8">
        <v>41760</v>
      </c>
      <c r="F12" s="64"/>
    </row>
    <row r="13" spans="2:6" x14ac:dyDescent="0.25">
      <c r="B13" s="63" t="s">
        <v>199</v>
      </c>
      <c r="C13" s="8">
        <v>623000</v>
      </c>
      <c r="D13" s="8">
        <v>99680</v>
      </c>
      <c r="E13" s="8">
        <v>722680</v>
      </c>
      <c r="F13" s="65"/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7DA3-7C2C-44E2-BF2F-FA31505C8446}">
  <dimension ref="A2:L42"/>
  <sheetViews>
    <sheetView topLeftCell="A27" zoomScale="150" zoomScaleNormal="150" workbookViewId="0">
      <selection activeCell="B35" sqref="B35"/>
    </sheetView>
  </sheetViews>
  <sheetFormatPr baseColWidth="10" defaultRowHeight="15" x14ac:dyDescent="0.25"/>
  <cols>
    <col min="2" max="2" width="17" customWidth="1"/>
  </cols>
  <sheetData>
    <row r="2" spans="2:4" x14ac:dyDescent="0.25">
      <c r="B2" s="9" t="s">
        <v>24</v>
      </c>
    </row>
    <row r="4" spans="2:4" x14ac:dyDescent="0.25">
      <c r="B4" s="9" t="s">
        <v>25</v>
      </c>
      <c r="C4" s="13">
        <v>46023</v>
      </c>
    </row>
    <row r="5" spans="2:4" x14ac:dyDescent="0.25">
      <c r="B5" s="9" t="s">
        <v>26</v>
      </c>
      <c r="C5" s="13">
        <v>46112</v>
      </c>
    </row>
    <row r="7" spans="2:4" x14ac:dyDescent="0.25">
      <c r="C7" s="12" t="s">
        <v>14</v>
      </c>
    </row>
    <row r="8" spans="2:4" x14ac:dyDescent="0.25">
      <c r="B8" s="11" t="s">
        <v>27</v>
      </c>
      <c r="C8" s="14">
        <f>SUMIFS(BASE!$E:$E,BASE!$B:$B,"&gt;="&amp;$C$4,BASE!$B:$B,"&lt;="&amp;$C$5,BASE!$D:$D,"&lt;&gt;XEXX010101000")</f>
        <v>517000</v>
      </c>
      <c r="D8" s="2" t="s">
        <v>43</v>
      </c>
    </row>
    <row r="9" spans="2:4" x14ac:dyDescent="0.25">
      <c r="B9" s="11" t="s">
        <v>28</v>
      </c>
      <c r="C9" s="14">
        <f>SUMIFS(BASE!$E:$E,BASE!$B:$B,"&gt;="&amp;$C$4,BASE!$B:$B,"&lt;="&amp;$C$5,BASE!$D:$D,"XEXX010101000")</f>
        <v>36000</v>
      </c>
      <c r="D9" s="2" t="s">
        <v>44</v>
      </c>
    </row>
    <row r="11" spans="2:4" x14ac:dyDescent="0.25">
      <c r="B11" s="9" t="s">
        <v>29</v>
      </c>
    </row>
    <row r="18" spans="1:12" x14ac:dyDescent="0.25">
      <c r="B18" s="10" t="s">
        <v>30</v>
      </c>
      <c r="C18" t="s">
        <v>31</v>
      </c>
    </row>
    <row r="19" spans="1:12" x14ac:dyDescent="0.25">
      <c r="B19" s="10" t="s">
        <v>32</v>
      </c>
      <c r="C19" t="s">
        <v>33</v>
      </c>
    </row>
    <row r="20" spans="1:12" x14ac:dyDescent="0.25">
      <c r="B20" s="10" t="s">
        <v>34</v>
      </c>
      <c r="C20" t="s">
        <v>37</v>
      </c>
    </row>
    <row r="21" spans="1:12" x14ac:dyDescent="0.25">
      <c r="B21" s="10" t="s">
        <v>35</v>
      </c>
      <c r="C21" t="s">
        <v>33</v>
      </c>
    </row>
    <row r="22" spans="1:12" x14ac:dyDescent="0.25">
      <c r="B22" s="10" t="s">
        <v>36</v>
      </c>
      <c r="C22" t="s">
        <v>38</v>
      </c>
    </row>
    <row r="23" spans="1:12" x14ac:dyDescent="0.25">
      <c r="B23" s="10" t="s">
        <v>39</v>
      </c>
      <c r="C23" t="s">
        <v>41</v>
      </c>
    </row>
    <row r="24" spans="1:12" x14ac:dyDescent="0.25">
      <c r="B24" s="10" t="s">
        <v>40</v>
      </c>
      <c r="C24" t="s">
        <v>42</v>
      </c>
    </row>
    <row r="27" spans="1:12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9" spans="1:12" x14ac:dyDescent="0.25">
      <c r="B29" s="9" t="s">
        <v>24</v>
      </c>
      <c r="E29" s="9" t="s">
        <v>45</v>
      </c>
    </row>
    <row r="31" spans="1:12" x14ac:dyDescent="0.25">
      <c r="B31" s="9" t="s">
        <v>25</v>
      </c>
      <c r="C31" s="13">
        <v>46023</v>
      </c>
    </row>
    <row r="32" spans="1:12" x14ac:dyDescent="0.25">
      <c r="B32" s="9" t="s">
        <v>26</v>
      </c>
      <c r="C32" s="13">
        <v>46053</v>
      </c>
    </row>
    <row r="34" spans="2:5" x14ac:dyDescent="0.25">
      <c r="B34" s="6" t="s">
        <v>0</v>
      </c>
      <c r="C34" s="6" t="s">
        <v>14</v>
      </c>
      <c r="D34" s="6" t="s">
        <v>15</v>
      </c>
      <c r="E34" s="6" t="s">
        <v>16</v>
      </c>
    </row>
    <row r="35" spans="2:5" x14ac:dyDescent="0.25">
      <c r="B35" t="str" cm="1">
        <f t="array" aca="1" ref="B35:B42" ca="1">_xlfn._xlws.SORT(_xlfn.UNIQUE(RFC))</f>
        <v>ACF050602JU7</v>
      </c>
      <c r="C35" s="8">
        <f ca="1">SUMIFS(BASE!$E:$E,BASE!$B:$B,"&gt;="&amp;$C$31,BASE!$B:$B,"&lt;="&amp;$C$32,BASE!$D:$D,$B35)</f>
        <v>50000</v>
      </c>
      <c r="D35" s="8">
        <f ca="1">SUMIFS(BASE!$F:$F,BASE!$B:$B,"&gt;="&amp;$C$31,BASE!$B:$B,"&lt;="&amp;$C$32,BASE!$D:$D,$B35)</f>
        <v>8000</v>
      </c>
      <c r="E35" s="8">
        <f ca="1">SUMIFS(BASE!$G:$G,BASE!$B:$B,"&gt;="&amp;$C$31,BASE!$B:$B,"&lt;="&amp;$C$32,BASE!$D:$D,$B35)</f>
        <v>58000</v>
      </c>
    </row>
    <row r="36" spans="2:5" x14ac:dyDescent="0.25">
      <c r="B36" t="str">
        <f ca="1"/>
        <v>ARG960302UJ7</v>
      </c>
      <c r="C36" s="8">
        <f ca="1">SUMIFS(BASE!$E:$E,BASE!$B:$B,"&gt;="&amp;$C$31,BASE!$B:$B,"&lt;="&amp;$C$32,BASE!$D:$D,$B36)</f>
        <v>0</v>
      </c>
      <c r="D36" s="8">
        <f ca="1">SUMIFS(BASE!$F:$F,BASE!$B:$B,"&gt;="&amp;$C$31,BASE!$B:$B,"&lt;="&amp;$C$32,BASE!$D:$D,$B36)</f>
        <v>0</v>
      </c>
      <c r="E36" s="8">
        <f ca="1">SUMIFS(BASE!$G:$G,BASE!$B:$B,"&gt;="&amp;$C$31,BASE!$B:$B,"&lt;="&amp;$C$32,BASE!$D:$D,$B36)</f>
        <v>0</v>
      </c>
    </row>
    <row r="37" spans="2:5" x14ac:dyDescent="0.25">
      <c r="B37" t="str">
        <f ca="1"/>
        <v>IAHJ890603KI8</v>
      </c>
      <c r="C37" s="8">
        <f ca="1">SUMIFS(BASE!$E:$E,BASE!$B:$B,"&gt;="&amp;$C$31,BASE!$B:$B,"&lt;="&amp;$C$32,BASE!$D:$D,$B37)</f>
        <v>0</v>
      </c>
      <c r="D37" s="8">
        <f ca="1">SUMIFS(BASE!$F:$F,BASE!$B:$B,"&gt;="&amp;$C$31,BASE!$B:$B,"&lt;="&amp;$C$32,BASE!$D:$D,$B37)</f>
        <v>0</v>
      </c>
      <c r="E37" s="8">
        <f ca="1">SUMIFS(BASE!$G:$G,BASE!$B:$B,"&gt;="&amp;$C$31,BASE!$B:$B,"&lt;="&amp;$C$32,BASE!$D:$D,$B37)</f>
        <v>0</v>
      </c>
    </row>
    <row r="38" spans="2:5" x14ac:dyDescent="0.25">
      <c r="B38" t="str">
        <f ca="1"/>
        <v>JBE980302HY5</v>
      </c>
      <c r="C38" s="8">
        <f ca="1">SUMIFS(BASE!$E:$E,BASE!$B:$B,"&gt;="&amp;$C$31,BASE!$B:$B,"&lt;="&amp;$C$32,BASE!$D:$D,$B38)</f>
        <v>150000</v>
      </c>
      <c r="D38" s="8">
        <f ca="1">SUMIFS(BASE!$F:$F,BASE!$B:$B,"&gt;="&amp;$C$31,BASE!$B:$B,"&lt;="&amp;$C$32,BASE!$D:$D,$B38)</f>
        <v>24000</v>
      </c>
      <c r="E38" s="8">
        <f ca="1">SUMIFS(BASE!$G:$G,BASE!$B:$B,"&gt;="&amp;$C$31,BASE!$B:$B,"&lt;="&amp;$C$32,BASE!$D:$D,$B38)</f>
        <v>174000</v>
      </c>
    </row>
    <row r="39" spans="2:5" x14ac:dyDescent="0.25">
      <c r="B39" t="str">
        <f ca="1"/>
        <v>MEMC870205JU7</v>
      </c>
      <c r="C39" s="8">
        <f ca="1">SUMIFS(BASE!$E:$E,BASE!$B:$B,"&gt;="&amp;$C$31,BASE!$B:$B,"&lt;="&amp;$C$32,BASE!$D:$D,$B39)</f>
        <v>68000</v>
      </c>
      <c r="D39" s="8">
        <f ca="1">SUMIFS(BASE!$F:$F,BASE!$B:$B,"&gt;="&amp;$C$31,BASE!$B:$B,"&lt;="&amp;$C$32,BASE!$D:$D,$B39)</f>
        <v>10880</v>
      </c>
      <c r="E39" s="8">
        <f ca="1">SUMIFS(BASE!$G:$G,BASE!$B:$B,"&gt;="&amp;$C$31,BASE!$B:$B,"&lt;="&amp;$C$32,BASE!$D:$D,$B39)</f>
        <v>78880</v>
      </c>
    </row>
    <row r="40" spans="2:5" x14ac:dyDescent="0.25">
      <c r="B40" t="str">
        <f ca="1"/>
        <v>TOM870306GT5</v>
      </c>
      <c r="C40" s="8">
        <f ca="1">SUMIFS(BASE!$E:$E,BASE!$B:$B,"&gt;="&amp;$C$31,BASE!$B:$B,"&lt;="&amp;$C$32,BASE!$D:$D,$B40)</f>
        <v>0</v>
      </c>
      <c r="D40" s="8">
        <f ca="1">SUMIFS(BASE!$F:$F,BASE!$B:$B,"&gt;="&amp;$C$31,BASE!$B:$B,"&lt;="&amp;$C$32,BASE!$D:$D,$B40)</f>
        <v>0</v>
      </c>
      <c r="E40" s="8">
        <f ca="1">SUMIFS(BASE!$G:$G,BASE!$B:$B,"&gt;="&amp;$C$31,BASE!$B:$B,"&lt;="&amp;$C$32,BASE!$D:$D,$B40)</f>
        <v>0</v>
      </c>
    </row>
    <row r="41" spans="2:5" x14ac:dyDescent="0.25">
      <c r="B41" t="str">
        <f ca="1"/>
        <v>XAXX010101000</v>
      </c>
      <c r="C41" s="8">
        <f ca="1">SUMIFS(BASE!$E:$E,BASE!$B:$B,"&gt;="&amp;$C$31,BASE!$B:$B,"&lt;="&amp;$C$32,BASE!$D:$D,$B41)</f>
        <v>0</v>
      </c>
      <c r="D41" s="8">
        <f ca="1">SUMIFS(BASE!$F:$F,BASE!$B:$B,"&gt;="&amp;$C$31,BASE!$B:$B,"&lt;="&amp;$C$32,BASE!$D:$D,$B41)</f>
        <v>0</v>
      </c>
      <c r="E41" s="8">
        <f ca="1">SUMIFS(BASE!$G:$G,BASE!$B:$B,"&gt;="&amp;$C$31,BASE!$B:$B,"&lt;="&amp;$C$32,BASE!$D:$D,$B41)</f>
        <v>0</v>
      </c>
    </row>
    <row r="42" spans="2:5" x14ac:dyDescent="0.25">
      <c r="B42" t="str">
        <f ca="1"/>
        <v>XEXX010101000</v>
      </c>
      <c r="C42" s="8">
        <f ca="1">SUMIFS(BASE!$E:$E,BASE!$B:$B,"&gt;="&amp;$C$31,BASE!$B:$B,"&lt;="&amp;$C$32,BASE!$D:$D,$B42)</f>
        <v>0</v>
      </c>
      <c r="D42" s="8">
        <f ca="1">SUMIFS(BASE!$F:$F,BASE!$B:$B,"&gt;="&amp;$C$31,BASE!$B:$B,"&lt;="&amp;$C$32,BASE!$D:$D,$B42)</f>
        <v>0</v>
      </c>
      <c r="E42" s="8">
        <f ca="1">SUMIFS(BASE!$G:$G,BASE!$B:$B,"&gt;="&amp;$C$31,BASE!$B:$B,"&lt;="&amp;$C$32,BASE!$D:$D,$B42)</f>
        <v>0</v>
      </c>
    </row>
  </sheetData>
  <phoneticPr fontId="4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2D3B-D3C2-400D-8EA8-CC14A734D1CE}">
  <dimension ref="B2:N22"/>
  <sheetViews>
    <sheetView zoomScale="150" zoomScaleNormal="150" workbookViewId="0">
      <selection activeCell="D6" sqref="D6"/>
    </sheetView>
  </sheetViews>
  <sheetFormatPr baseColWidth="10" defaultRowHeight="15" x14ac:dyDescent="0.25"/>
  <cols>
    <col min="1" max="1" width="2.85546875" customWidth="1"/>
    <col min="2" max="2" width="30.42578125" customWidth="1"/>
  </cols>
  <sheetData>
    <row r="2" spans="2:14" x14ac:dyDescent="0.25">
      <c r="B2" s="9" t="s">
        <v>166</v>
      </c>
    </row>
    <row r="4" spans="2:14" x14ac:dyDescent="0.25">
      <c r="B4" s="43" t="s">
        <v>180</v>
      </c>
      <c r="C4" s="44">
        <v>2026</v>
      </c>
    </row>
    <row r="5" spans="2:14" x14ac:dyDescent="0.25">
      <c r="C5" s="42" t="s">
        <v>167</v>
      </c>
      <c r="D5" s="42" t="s">
        <v>168</v>
      </c>
      <c r="E5" s="42" t="s">
        <v>169</v>
      </c>
      <c r="F5" s="42" t="s">
        <v>170</v>
      </c>
      <c r="G5" s="42" t="s">
        <v>171</v>
      </c>
      <c r="H5" s="42" t="s">
        <v>172</v>
      </c>
      <c r="I5" s="42" t="s">
        <v>173</v>
      </c>
      <c r="J5" s="42" t="s">
        <v>174</v>
      </c>
      <c r="K5" s="42" t="s">
        <v>175</v>
      </c>
      <c r="L5" s="42" t="s">
        <v>176</v>
      </c>
      <c r="M5" s="42" t="s">
        <v>177</v>
      </c>
      <c r="N5" s="42" t="s">
        <v>178</v>
      </c>
    </row>
    <row r="6" spans="2:14" x14ac:dyDescent="0.25">
      <c r="B6" t="s">
        <v>179</v>
      </c>
      <c r="C6" s="8">
        <f>SUMIFS(BASE!$E:$E,BASE!$B:$B,"&gt;="&amp;DATE($C$4,COLUMN(A1),1),BASE!$B:$B,"&lt;="&amp;EOMONTH(DATE($C$4,COLUMN(A1),1),0))</f>
        <v>268000</v>
      </c>
      <c r="D6" s="8">
        <f>SUMIFS(BASE!$E:$E,BASE!$B:$B,"&gt;="&amp;DATE($C$4,COLUMN(B1),1),BASE!$B:$B,"&lt;="&amp;EOMONTH(DATE($C$4,COLUMN(B1),1),0))</f>
        <v>116000</v>
      </c>
      <c r="E6" s="8">
        <f>SUMIFS(BASE!$E:$E,BASE!$B:$B,"&gt;="&amp;DATE($C$4,COLUMN(C1),1),BASE!$B:$B,"&lt;="&amp;EOMONTH(DATE($C$4,COLUMN(C1),1),0))</f>
        <v>169000</v>
      </c>
      <c r="F6" s="8">
        <f>SUMIFS(BASE!$E:$E,BASE!$B:$B,"&gt;="&amp;DATE($C$4,COLUMN(D1),1),BASE!$B:$B,"&lt;="&amp;EOMONTH(DATE($C$4,COLUMN(D1),1),0))</f>
        <v>20000</v>
      </c>
      <c r="G6" s="8">
        <f>SUMIFS(BASE!$E:$E,BASE!$B:$B,"&gt;="&amp;DATE($C$4,COLUMN(E1),1),BASE!$B:$B,"&lt;="&amp;EOMONTH(DATE($C$4,COLUMN(E1),1),0))</f>
        <v>150000</v>
      </c>
      <c r="H6" s="8">
        <f>SUMIFS(BASE!$E:$E,BASE!$B:$B,"&gt;="&amp;DATE($C$4,COLUMN(F1),1),BASE!$B:$B,"&lt;="&amp;EOMONTH(DATE($C$4,COLUMN(F1),1),0))</f>
        <v>0</v>
      </c>
      <c r="I6" s="8">
        <f>SUMIFS(BASE!$E:$E,BASE!$B:$B,"&gt;="&amp;DATE($C$4,COLUMN(G1),1),BASE!$B:$B,"&lt;="&amp;EOMONTH(DATE($C$4,COLUMN(G1),1),0))</f>
        <v>0</v>
      </c>
      <c r="J6" s="8">
        <f>SUMIFS(BASE!$E:$E,BASE!$B:$B,"&gt;="&amp;DATE($C$4,COLUMN(H1),1),BASE!$B:$B,"&lt;="&amp;EOMONTH(DATE($C$4,COLUMN(H1),1),0))</f>
        <v>0</v>
      </c>
      <c r="K6" s="8">
        <f>SUMIFS(BASE!$E:$E,BASE!$B:$B,"&gt;="&amp;DATE($C$4,COLUMN(I1),1),BASE!$B:$B,"&lt;="&amp;EOMONTH(DATE($C$4,COLUMN(I1),1),0))</f>
        <v>0</v>
      </c>
      <c r="L6" s="8">
        <f>SUMIFS(BASE!$E:$E,BASE!$B:$B,"&gt;="&amp;DATE($C$4,COLUMN(J1),1),BASE!$B:$B,"&lt;="&amp;EOMONTH(DATE($C$4,COLUMN(J1),1),0))</f>
        <v>0</v>
      </c>
      <c r="M6" s="8">
        <f>SUMIFS(BASE!$E:$E,BASE!$B:$B,"&gt;="&amp;DATE($C$4,COLUMN(K1),1),BASE!$B:$B,"&lt;="&amp;EOMONTH(DATE($C$4,COLUMN(K1),1),0))</f>
        <v>0</v>
      </c>
      <c r="N6" s="8">
        <f>SUMIFS(BASE!$E:$E,BASE!$B:$B,"&gt;="&amp;DATE($C$4,COLUMN(L1),1),BASE!$B:$B,"&lt;="&amp;EOMONTH(DATE($C$4,COLUMN(L1),1),0))</f>
        <v>0</v>
      </c>
    </row>
    <row r="7" spans="2:14" x14ac:dyDescent="0.25">
      <c r="B7" t="s">
        <v>181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2:14" x14ac:dyDescent="0.25">
      <c r="B8" t="s">
        <v>182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2:14" x14ac:dyDescent="0.25">
      <c r="B9" t="s">
        <v>183</v>
      </c>
      <c r="C9" s="8">
        <f>IFERROR(C6-C7+C8,0)</f>
        <v>268000</v>
      </c>
      <c r="D9" s="8">
        <f t="shared" ref="D9:N9" si="0">IFERROR(D6-D7+D8,0)</f>
        <v>116000</v>
      </c>
      <c r="E9" s="8">
        <f t="shared" si="0"/>
        <v>169000</v>
      </c>
      <c r="F9" s="8">
        <f t="shared" si="0"/>
        <v>20000</v>
      </c>
      <c r="G9" s="8">
        <f t="shared" si="0"/>
        <v>150000</v>
      </c>
      <c r="H9" s="8">
        <f t="shared" si="0"/>
        <v>0</v>
      </c>
      <c r="I9" s="8">
        <f t="shared" si="0"/>
        <v>0</v>
      </c>
      <c r="J9" s="8">
        <f t="shared" si="0"/>
        <v>0</v>
      </c>
      <c r="K9" s="8">
        <f t="shared" si="0"/>
        <v>0</v>
      </c>
      <c r="L9" s="8">
        <f t="shared" si="0"/>
        <v>0</v>
      </c>
      <c r="M9" s="8">
        <f t="shared" si="0"/>
        <v>0</v>
      </c>
      <c r="N9" s="8">
        <f t="shared" si="0"/>
        <v>0</v>
      </c>
    </row>
    <row r="10" spans="2:14" x14ac:dyDescent="0.25">
      <c r="B10" t="s">
        <v>184</v>
      </c>
      <c r="C10" s="8">
        <f>SUM($C$9:C9)</f>
        <v>268000</v>
      </c>
      <c r="D10" s="8">
        <f>SUM($C$9:D9)</f>
        <v>384000</v>
      </c>
      <c r="E10" s="8">
        <f>SUM($C$9:E9)</f>
        <v>553000</v>
      </c>
      <c r="F10" s="8">
        <f>SUM($C$9:F9)</f>
        <v>573000</v>
      </c>
      <c r="G10" s="8">
        <f>SUM($C$9:G9)</f>
        <v>723000</v>
      </c>
      <c r="H10" s="8">
        <f>SUM($C$9:H9)</f>
        <v>723000</v>
      </c>
      <c r="I10" s="8">
        <f>SUM($C$9:I9)</f>
        <v>723000</v>
      </c>
      <c r="J10" s="8">
        <f>SUM($C$9:J9)</f>
        <v>723000</v>
      </c>
      <c r="K10" s="8">
        <f>SUM($C$9:K9)</f>
        <v>723000</v>
      </c>
      <c r="L10" s="8">
        <f>SUM($C$9:L9)</f>
        <v>723000</v>
      </c>
      <c r="M10" s="8">
        <f>SUM($C$9:M9)</f>
        <v>723000</v>
      </c>
      <c r="N10" s="8">
        <f>SUM($C$9:N9)</f>
        <v>723000</v>
      </c>
    </row>
    <row r="11" spans="2:14" x14ac:dyDescent="0.25">
      <c r="B11" t="s">
        <v>185</v>
      </c>
      <c r="C11" s="44">
        <v>9.6299999999999997E-2</v>
      </c>
      <c r="D11" s="44">
        <f t="shared" ref="D11:N11" si="1">C11</f>
        <v>9.6299999999999997E-2</v>
      </c>
      <c r="E11" s="44">
        <f t="shared" si="1"/>
        <v>9.6299999999999997E-2</v>
      </c>
      <c r="F11" s="44">
        <f t="shared" si="1"/>
        <v>9.6299999999999997E-2</v>
      </c>
      <c r="G11" s="44">
        <f t="shared" si="1"/>
        <v>9.6299999999999997E-2</v>
      </c>
      <c r="H11" s="44">
        <f t="shared" si="1"/>
        <v>9.6299999999999997E-2</v>
      </c>
      <c r="I11" s="44">
        <f t="shared" si="1"/>
        <v>9.6299999999999997E-2</v>
      </c>
      <c r="J11" s="44">
        <f t="shared" si="1"/>
        <v>9.6299999999999997E-2</v>
      </c>
      <c r="K11" s="44">
        <f t="shared" si="1"/>
        <v>9.6299999999999997E-2</v>
      </c>
      <c r="L11" s="44">
        <f t="shared" si="1"/>
        <v>9.6299999999999997E-2</v>
      </c>
      <c r="M11" s="44">
        <f t="shared" si="1"/>
        <v>9.6299999999999997E-2</v>
      </c>
      <c r="N11" s="44">
        <f t="shared" si="1"/>
        <v>9.6299999999999997E-2</v>
      </c>
    </row>
    <row r="12" spans="2:14" x14ac:dyDescent="0.25">
      <c r="B12" t="s">
        <v>186</v>
      </c>
      <c r="C12" s="8">
        <f>IFERROR(C10*C11,0)</f>
        <v>25808.399999999998</v>
      </c>
      <c r="D12" s="8">
        <f t="shared" ref="D12:N12" si="2">IFERROR(D10*D11,0)</f>
        <v>36979.199999999997</v>
      </c>
      <c r="E12" s="8">
        <f t="shared" si="2"/>
        <v>53253.9</v>
      </c>
      <c r="F12" s="8">
        <f t="shared" si="2"/>
        <v>55179.9</v>
      </c>
      <c r="G12" s="8">
        <f t="shared" si="2"/>
        <v>69624.899999999994</v>
      </c>
      <c r="H12" s="8">
        <f t="shared" si="2"/>
        <v>69624.899999999994</v>
      </c>
      <c r="I12" s="8">
        <f t="shared" si="2"/>
        <v>69624.899999999994</v>
      </c>
      <c r="J12" s="8">
        <f t="shared" si="2"/>
        <v>69624.899999999994</v>
      </c>
      <c r="K12" s="8">
        <f t="shared" si="2"/>
        <v>69624.899999999994</v>
      </c>
      <c r="L12" s="8">
        <f t="shared" si="2"/>
        <v>69624.899999999994</v>
      </c>
      <c r="M12" s="8">
        <f t="shared" si="2"/>
        <v>69624.899999999994</v>
      </c>
      <c r="N12" s="8">
        <f t="shared" si="2"/>
        <v>69624.899999999994</v>
      </c>
    </row>
    <row r="13" spans="2:14" x14ac:dyDescent="0.25">
      <c r="B13" t="s">
        <v>187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2:14" x14ac:dyDescent="0.25">
      <c r="B14" t="s">
        <v>188</v>
      </c>
      <c r="C14" s="46"/>
      <c r="D14" s="46"/>
      <c r="E14" s="46"/>
      <c r="F14" s="46"/>
      <c r="G14" s="45"/>
      <c r="H14" s="45"/>
      <c r="I14" s="45"/>
      <c r="J14" s="45"/>
      <c r="K14" s="45"/>
      <c r="L14" s="45"/>
      <c r="M14" s="45"/>
      <c r="N14" s="45"/>
    </row>
    <row r="15" spans="2:14" x14ac:dyDescent="0.25">
      <c r="B15" t="s">
        <v>189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2:14" x14ac:dyDescent="0.25">
      <c r="B16" t="s">
        <v>190</v>
      </c>
      <c r="C16" s="8">
        <f>IFERROR(IF(C12&gt;=SUM(C13:C15),C12-C13-C14-C15,0),0)</f>
        <v>25808.399999999998</v>
      </c>
      <c r="D16" s="8">
        <f t="shared" ref="D16:N16" si="3">IFERROR(IF(D12&gt;=SUM(D13:D15),D12-D13-D14-D15,0),0)</f>
        <v>36979.199999999997</v>
      </c>
      <c r="E16" s="8">
        <f t="shared" si="3"/>
        <v>53253.9</v>
      </c>
      <c r="F16" s="8">
        <f t="shared" si="3"/>
        <v>55179.9</v>
      </c>
      <c r="G16" s="8">
        <f t="shared" si="3"/>
        <v>69624.899999999994</v>
      </c>
      <c r="H16" s="8">
        <f t="shared" si="3"/>
        <v>69624.899999999994</v>
      </c>
      <c r="I16" s="8">
        <f t="shared" si="3"/>
        <v>69624.899999999994</v>
      </c>
      <c r="J16" s="8">
        <f t="shared" si="3"/>
        <v>69624.899999999994</v>
      </c>
      <c r="K16" s="8">
        <f t="shared" si="3"/>
        <v>69624.899999999994</v>
      </c>
      <c r="L16" s="8">
        <f t="shared" si="3"/>
        <v>69624.899999999994</v>
      </c>
      <c r="M16" s="8">
        <f t="shared" si="3"/>
        <v>69624.899999999994</v>
      </c>
      <c r="N16" s="8">
        <f t="shared" si="3"/>
        <v>69624.899999999994</v>
      </c>
    </row>
    <row r="17" spans="2:14" x14ac:dyDescent="0.25">
      <c r="B17" t="s">
        <v>191</v>
      </c>
      <c r="C17" s="47">
        <v>0.3</v>
      </c>
      <c r="D17" s="47">
        <v>0.3</v>
      </c>
      <c r="E17" s="47">
        <v>0.3</v>
      </c>
      <c r="F17" s="47">
        <v>0.3</v>
      </c>
      <c r="G17" s="47">
        <v>0.3</v>
      </c>
      <c r="H17" s="47">
        <v>0.3</v>
      </c>
      <c r="I17" s="47">
        <v>0.3</v>
      </c>
      <c r="J17" s="47">
        <v>0.3</v>
      </c>
      <c r="K17" s="47">
        <v>0.3</v>
      </c>
      <c r="L17" s="47">
        <v>0.3</v>
      </c>
      <c r="M17" s="47">
        <v>0.3</v>
      </c>
      <c r="N17" s="47">
        <v>0.3</v>
      </c>
    </row>
    <row r="18" spans="2:14" x14ac:dyDescent="0.25">
      <c r="B18" t="s">
        <v>192</v>
      </c>
      <c r="C18" s="8">
        <f>IFERROR(ROUND(C16*C17,0),0)</f>
        <v>7743</v>
      </c>
      <c r="D18" s="8">
        <f t="shared" ref="D18:N18" si="4">IFERROR(ROUND(D16*D17,0),0)</f>
        <v>11094</v>
      </c>
      <c r="E18" s="8">
        <f t="shared" si="4"/>
        <v>15976</v>
      </c>
      <c r="F18" s="8">
        <f t="shared" si="4"/>
        <v>16554</v>
      </c>
      <c r="G18" s="8">
        <f t="shared" si="4"/>
        <v>20887</v>
      </c>
      <c r="H18" s="8">
        <f t="shared" si="4"/>
        <v>20887</v>
      </c>
      <c r="I18" s="8">
        <f t="shared" si="4"/>
        <v>20887</v>
      </c>
      <c r="J18" s="8">
        <f t="shared" si="4"/>
        <v>20887</v>
      </c>
      <c r="K18" s="8">
        <f t="shared" si="4"/>
        <v>20887</v>
      </c>
      <c r="L18" s="8">
        <f t="shared" si="4"/>
        <v>20887</v>
      </c>
      <c r="M18" s="8">
        <f t="shared" si="4"/>
        <v>20887</v>
      </c>
      <c r="N18" s="8">
        <f t="shared" si="4"/>
        <v>20887</v>
      </c>
    </row>
    <row r="19" spans="2:14" x14ac:dyDescent="0.25">
      <c r="B19" t="s">
        <v>193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2:14" x14ac:dyDescent="0.25">
      <c r="B20" t="s">
        <v>194</v>
      </c>
      <c r="C20" s="44"/>
      <c r="D20" s="45">
        <f>C22</f>
        <v>7743</v>
      </c>
      <c r="E20" s="45">
        <f t="shared" ref="E20:N20" si="5">D22</f>
        <v>3351</v>
      </c>
      <c r="F20" s="45">
        <f t="shared" si="5"/>
        <v>12625</v>
      </c>
      <c r="G20" s="45">
        <f t="shared" si="5"/>
        <v>3929</v>
      </c>
      <c r="H20" s="45">
        <f t="shared" si="5"/>
        <v>16958</v>
      </c>
      <c r="I20" s="45">
        <f t="shared" si="5"/>
        <v>3929</v>
      </c>
      <c r="J20" s="45">
        <f t="shared" si="5"/>
        <v>16958</v>
      </c>
      <c r="K20" s="45">
        <f t="shared" si="5"/>
        <v>3929</v>
      </c>
      <c r="L20" s="45">
        <f t="shared" si="5"/>
        <v>16958</v>
      </c>
      <c r="M20" s="45">
        <f t="shared" si="5"/>
        <v>3929</v>
      </c>
      <c r="N20" s="45">
        <f t="shared" si="5"/>
        <v>16958</v>
      </c>
    </row>
    <row r="21" spans="2:14" x14ac:dyDescent="0.25">
      <c r="B21" t="s">
        <v>195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2:14" x14ac:dyDescent="0.25">
      <c r="B22" t="s">
        <v>196</v>
      </c>
      <c r="C22" s="8">
        <f>IFERROR(IF(C18&gt;=SUM(C19:C21),C18-C19-C20-C21,0),0)</f>
        <v>7743</v>
      </c>
      <c r="D22" s="8">
        <f t="shared" ref="D22:N22" si="6">IFERROR(IF(D18&gt;=SUM(D19:D21),D18-D19-D20-D21,0),0)</f>
        <v>3351</v>
      </c>
      <c r="E22" s="8">
        <f t="shared" si="6"/>
        <v>12625</v>
      </c>
      <c r="F22" s="8">
        <f t="shared" si="6"/>
        <v>3929</v>
      </c>
      <c r="G22" s="8">
        <f t="shared" si="6"/>
        <v>16958</v>
      </c>
      <c r="H22" s="8">
        <f t="shared" si="6"/>
        <v>3929</v>
      </c>
      <c r="I22" s="8">
        <f t="shared" si="6"/>
        <v>16958</v>
      </c>
      <c r="J22" s="8">
        <f t="shared" si="6"/>
        <v>3929</v>
      </c>
      <c r="K22" s="8">
        <f t="shared" si="6"/>
        <v>16958</v>
      </c>
      <c r="L22" s="8">
        <f t="shared" si="6"/>
        <v>3929</v>
      </c>
      <c r="M22" s="8">
        <f t="shared" si="6"/>
        <v>16958</v>
      </c>
      <c r="N22" s="8">
        <f t="shared" si="6"/>
        <v>3929</v>
      </c>
    </row>
  </sheetData>
  <phoneticPr fontId="4" type="noConversion"/>
  <dataValidations count="3">
    <dataValidation type="decimal" operator="lessThanOrEqual" showInputMessage="1" showErrorMessage="1" errorTitle="Anticipos y rendimientos" error="El importe debe de ser igual o menor a la utilidad fiscal" sqref="C13:N13 G14:N14" xr:uid="{45BD81BC-E442-4509-8E7D-021BDBE5D97C}">
      <formula1>C12</formula1>
    </dataValidation>
    <dataValidation type="decimal" operator="lessThanOrEqual" showInputMessage="1" showErrorMessage="1" sqref="C14:F14" xr:uid="{C03CC1AF-EE63-4699-BDE3-006585DF97C2}">
      <formula1>C12-C13</formula1>
    </dataValidation>
    <dataValidation type="decimal" operator="lessThanOrEqual" showInputMessage="1" showErrorMessage="1" sqref="C15:N15" xr:uid="{D7D69CEA-F9DF-4425-ADB0-E2474432E089}">
      <formula1>C12-C13-C14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905F-FB08-4F41-9AE2-95BE73C11161}">
  <sheetPr>
    <pageSetUpPr fitToPage="1"/>
  </sheetPr>
  <dimension ref="B2:I44"/>
  <sheetViews>
    <sheetView zoomScale="110" zoomScaleNormal="110" workbookViewId="0">
      <selection activeCell="B17" sqref="B17:C17"/>
    </sheetView>
  </sheetViews>
  <sheetFormatPr baseColWidth="10" defaultRowHeight="15" x14ac:dyDescent="0.25"/>
  <cols>
    <col min="1" max="1" width="6.7109375" customWidth="1"/>
    <col min="2" max="3" width="21.28515625" customWidth="1"/>
    <col min="4" max="4" width="25.7109375" customWidth="1"/>
    <col min="5" max="5" width="40.85546875" customWidth="1"/>
    <col min="6" max="6" width="41.85546875" customWidth="1"/>
    <col min="7" max="7" width="21" customWidth="1"/>
    <col min="8" max="9" width="14.28515625" customWidth="1"/>
  </cols>
  <sheetData>
    <row r="2" spans="2:9" ht="30" customHeight="1" x14ac:dyDescent="0.25">
      <c r="B2" s="54" t="s">
        <v>49</v>
      </c>
      <c r="C2" s="54"/>
      <c r="D2" s="54"/>
      <c r="E2" s="54"/>
      <c r="F2" s="54"/>
      <c r="G2" s="54"/>
      <c r="H2" s="54"/>
      <c r="I2" s="54"/>
    </row>
    <row r="3" spans="2:9" ht="24" customHeight="1" x14ac:dyDescent="0.25">
      <c r="B3" s="55" t="s">
        <v>50</v>
      </c>
      <c r="C3" s="55"/>
      <c r="D3" s="55"/>
      <c r="E3" s="55"/>
      <c r="F3" s="55"/>
      <c r="G3" s="55"/>
      <c r="H3" s="55"/>
      <c r="I3" s="55"/>
    </row>
    <row r="4" spans="2:9" x14ac:dyDescent="0.25">
      <c r="B4" s="17"/>
      <c r="C4" s="17"/>
      <c r="D4" s="17"/>
      <c r="E4" s="17"/>
      <c r="F4" s="17"/>
      <c r="G4" s="17"/>
      <c r="H4" s="17"/>
      <c r="I4" s="17"/>
    </row>
    <row r="5" spans="2:9" x14ac:dyDescent="0.25">
      <c r="B5" s="56" t="s">
        <v>51</v>
      </c>
      <c r="C5" s="56"/>
      <c r="D5" s="56"/>
      <c r="E5" s="17"/>
      <c r="F5" s="56" t="s">
        <v>71</v>
      </c>
      <c r="G5" s="56"/>
      <c r="H5" s="56"/>
      <c r="I5" s="56"/>
    </row>
    <row r="6" spans="2:9" x14ac:dyDescent="0.25">
      <c r="B6" s="53" t="s">
        <v>52</v>
      </c>
      <c r="C6" s="53"/>
      <c r="D6" s="32"/>
      <c r="E6" s="33"/>
      <c r="F6" s="31" t="s">
        <v>72</v>
      </c>
      <c r="G6" s="34">
        <f ca="1">IF(OR(D9="",D10=""),"",MAX(0,D10-D9+1))</f>
        <v>2428</v>
      </c>
      <c r="H6" s="33"/>
      <c r="I6" s="33"/>
    </row>
    <row r="7" spans="2:9" x14ac:dyDescent="0.25">
      <c r="B7" s="53" t="s">
        <v>53</v>
      </c>
      <c r="C7" s="53"/>
      <c r="D7" s="32"/>
      <c r="E7" s="33"/>
      <c r="F7" s="31" t="s">
        <v>73</v>
      </c>
      <c r="G7" s="35">
        <f ca="1">IF(OR(D9="",D10="",D10&lt;D9),"",VALUE(DATEDIF(D9,D10,"Y")&amp;"."&amp;DATEDIF(D9,D10,"YM")&amp;DATEDIF(D9,D10,"MD")))</f>
        <v>6.7220000000000004</v>
      </c>
      <c r="H7" s="33"/>
      <c r="I7" s="33"/>
    </row>
    <row r="8" spans="2:9" x14ac:dyDescent="0.25">
      <c r="B8" s="53" t="s">
        <v>163</v>
      </c>
      <c r="C8" s="53"/>
      <c r="D8" s="32">
        <v>315.04000000000002</v>
      </c>
      <c r="E8" s="33"/>
      <c r="F8" s="31" t="s">
        <v>74</v>
      </c>
      <c r="G8" s="34">
        <f ca="1">IF(D10="","",D10-DATE(YEAR(D10),1,1)+1)</f>
        <v>303</v>
      </c>
      <c r="H8" s="33"/>
      <c r="I8" s="33"/>
    </row>
    <row r="9" spans="2:9" x14ac:dyDescent="0.25">
      <c r="B9" s="53" t="s">
        <v>54</v>
      </c>
      <c r="C9" s="53"/>
      <c r="D9" s="36">
        <v>43898</v>
      </c>
      <c r="E9" s="33"/>
      <c r="F9" s="31" t="s">
        <v>75</v>
      </c>
      <c r="G9" s="34">
        <f ca="1">IF(D10="","",DATE(YEAR(D10)+1,1,1)-DATE(YEAR(D10),1,1))</f>
        <v>365</v>
      </c>
      <c r="H9" s="33"/>
      <c r="I9" s="33"/>
    </row>
    <row r="10" spans="2:9" x14ac:dyDescent="0.25">
      <c r="B10" s="53" t="s">
        <v>55</v>
      </c>
      <c r="C10" s="53"/>
      <c r="D10" s="36">
        <f ca="1">TODAY()</f>
        <v>46325</v>
      </c>
      <c r="E10" s="33"/>
      <c r="F10" s="31" t="s">
        <v>76</v>
      </c>
      <c r="G10" s="34">
        <f ca="1">IF(G7="","",IF(INT(G7)&lt;1,12,IF(INT(G7)&lt;=5,10+2*INT(G7),20+2*ROUNDUP((INT(G7)-5)/5,0))))</f>
        <v>22</v>
      </c>
      <c r="H10" s="33"/>
      <c r="I10" s="33"/>
    </row>
    <row r="11" spans="2:9" x14ac:dyDescent="0.25">
      <c r="B11" s="53" t="s">
        <v>56</v>
      </c>
      <c r="C11" s="53"/>
      <c r="D11" s="32" t="s">
        <v>165</v>
      </c>
      <c r="E11" s="33"/>
      <c r="F11" s="31" t="s">
        <v>77</v>
      </c>
      <c r="G11" s="34">
        <f ca="1">IF(D11="Plataforma digital",IF(D23="",G7,D23),G7)</f>
        <v>6.7220000000000004</v>
      </c>
      <c r="H11" s="33"/>
      <c r="I11" s="33"/>
    </row>
    <row r="12" spans="2:9" x14ac:dyDescent="0.25">
      <c r="B12" s="53" t="s">
        <v>57</v>
      </c>
      <c r="C12" s="53"/>
      <c r="D12" s="32" t="s">
        <v>164</v>
      </c>
      <c r="E12" s="33"/>
      <c r="F12" s="31" t="s">
        <v>78</v>
      </c>
      <c r="G12" s="34" t="str">
        <f ca="1">IF(OR(D9="",D10=""),"Capture fechas",IF(D10&lt;D9,"ERROR: baja anterior al ingreso","OK"))</f>
        <v>OK</v>
      </c>
      <c r="H12" s="33"/>
      <c r="I12" s="33"/>
    </row>
    <row r="13" spans="2:9" x14ac:dyDescent="0.25">
      <c r="B13" s="53" t="s">
        <v>58</v>
      </c>
      <c r="C13" s="53"/>
      <c r="D13" s="37">
        <v>600</v>
      </c>
      <c r="E13" s="33"/>
      <c r="F13" s="31" t="s">
        <v>79</v>
      </c>
      <c r="G13" s="34" t="str">
        <f>IF(D12="No","Solo finiquito",IF(D11="","Seleccione tipo de relacion","Incluye Art. 50"))</f>
        <v>Incluye Art. 50</v>
      </c>
      <c r="H13" s="33"/>
      <c r="I13" s="33"/>
    </row>
    <row r="14" spans="2:9" x14ac:dyDescent="0.25">
      <c r="B14" s="53" t="s">
        <v>59</v>
      </c>
      <c r="C14" s="53"/>
      <c r="D14" s="37">
        <v>638.97</v>
      </c>
      <c r="E14" s="33"/>
      <c r="F14" s="33"/>
      <c r="G14" s="33"/>
      <c r="H14" s="33"/>
      <c r="I14" s="33"/>
    </row>
    <row r="15" spans="2:9" ht="23.1" customHeight="1" x14ac:dyDescent="0.25">
      <c r="B15" s="53" t="s">
        <v>60</v>
      </c>
      <c r="C15" s="53"/>
      <c r="D15" s="32">
        <v>3</v>
      </c>
      <c r="E15" s="33"/>
      <c r="F15" s="57" t="s">
        <v>109</v>
      </c>
      <c r="G15" s="57"/>
      <c r="H15" s="57"/>
      <c r="I15" s="57"/>
    </row>
    <row r="16" spans="2:9" ht="23.1" customHeight="1" x14ac:dyDescent="0.25">
      <c r="B16" s="53" t="s">
        <v>61</v>
      </c>
      <c r="C16" s="53"/>
      <c r="D16" s="32">
        <v>15</v>
      </c>
      <c r="E16" s="33"/>
      <c r="F16" s="57"/>
      <c r="G16" s="57"/>
      <c r="H16" s="57"/>
      <c r="I16" s="57"/>
    </row>
    <row r="17" spans="2:9" ht="23.1" customHeight="1" x14ac:dyDescent="0.25">
      <c r="B17" s="53" t="s">
        <v>62</v>
      </c>
      <c r="C17" s="53"/>
      <c r="D17" s="32">
        <v>18.36</v>
      </c>
      <c r="E17" s="33"/>
      <c r="F17" s="57"/>
      <c r="G17" s="57"/>
      <c r="H17" s="57"/>
      <c r="I17" s="57"/>
    </row>
    <row r="18" spans="2:9" ht="23.1" customHeight="1" x14ac:dyDescent="0.25">
      <c r="B18" s="53" t="s">
        <v>63</v>
      </c>
      <c r="C18" s="53"/>
      <c r="D18" s="38">
        <v>0.25</v>
      </c>
      <c r="E18" s="33"/>
      <c r="F18" s="57"/>
      <c r="G18" s="57"/>
      <c r="H18" s="57"/>
      <c r="I18" s="57"/>
    </row>
    <row r="19" spans="2:9" ht="23.1" customHeight="1" x14ac:dyDescent="0.25">
      <c r="B19" s="53" t="s">
        <v>64</v>
      </c>
      <c r="C19" s="53"/>
      <c r="D19" s="37"/>
      <c r="E19" s="33"/>
      <c r="F19" s="57"/>
      <c r="G19" s="57"/>
      <c r="H19" s="57"/>
      <c r="I19" s="57"/>
    </row>
    <row r="20" spans="2:9" ht="23.1" customHeight="1" x14ac:dyDescent="0.25">
      <c r="B20" s="53" t="s">
        <v>65</v>
      </c>
      <c r="C20" s="53"/>
      <c r="D20" s="37"/>
      <c r="E20" s="33"/>
      <c r="F20" s="57"/>
      <c r="G20" s="57"/>
      <c r="H20" s="57"/>
      <c r="I20" s="57"/>
    </row>
    <row r="21" spans="2:9" ht="23.1" customHeight="1" x14ac:dyDescent="0.25">
      <c r="B21" s="53" t="s">
        <v>66</v>
      </c>
      <c r="C21" s="53"/>
      <c r="D21" s="32" t="s">
        <v>164</v>
      </c>
      <c r="E21" s="33"/>
      <c r="F21" s="57"/>
      <c r="G21" s="57"/>
      <c r="H21" s="57"/>
      <c r="I21" s="57"/>
    </row>
    <row r="22" spans="2:9" ht="23.1" customHeight="1" x14ac:dyDescent="0.25">
      <c r="B22" s="53" t="s">
        <v>67</v>
      </c>
      <c r="C22" s="53"/>
      <c r="D22" s="40">
        <f>IFERROR(IF(D21="Si",IF(D13&gt;=(D8*2),D8*2,D13),""),"")</f>
        <v>600</v>
      </c>
      <c r="E22" s="33"/>
      <c r="F22" s="57"/>
      <c r="G22" s="57"/>
      <c r="H22" s="57"/>
      <c r="I22" s="57"/>
    </row>
    <row r="23" spans="2:9" ht="23.1" customHeight="1" x14ac:dyDescent="0.25">
      <c r="B23" s="53" t="s">
        <v>68</v>
      </c>
      <c r="C23" s="53"/>
      <c r="D23" s="34">
        <f ca="1">IFERROR(IF(D12="Si",DATEDIF(D9,D10,"y"),""),"")</f>
        <v>6</v>
      </c>
      <c r="E23" s="33"/>
      <c r="F23" s="57"/>
      <c r="G23" s="57"/>
      <c r="H23" s="57"/>
      <c r="I23" s="57"/>
    </row>
    <row r="24" spans="2:9" x14ac:dyDescent="0.25">
      <c r="B24" s="53" t="s">
        <v>69</v>
      </c>
      <c r="C24" s="53"/>
      <c r="D24" s="37"/>
      <c r="E24" s="33"/>
      <c r="F24" s="33"/>
      <c r="G24" s="33"/>
      <c r="H24" s="33"/>
      <c r="I24" s="33"/>
    </row>
    <row r="25" spans="2:9" x14ac:dyDescent="0.25">
      <c r="B25" s="58" t="s">
        <v>70</v>
      </c>
      <c r="C25" s="58"/>
      <c r="D25" s="39"/>
      <c r="E25" s="33"/>
      <c r="F25" s="33"/>
      <c r="G25" s="33"/>
      <c r="H25" s="33"/>
      <c r="I25" s="33"/>
    </row>
    <row r="26" spans="2:9" x14ac:dyDescent="0.25">
      <c r="B26" s="17"/>
      <c r="C26" s="17"/>
      <c r="D26" s="17"/>
      <c r="E26" s="17"/>
      <c r="F26" s="17"/>
      <c r="G26" s="17"/>
      <c r="H26" s="17"/>
      <c r="I26" s="17"/>
    </row>
    <row r="27" spans="2:9" x14ac:dyDescent="0.25">
      <c r="B27" s="56" t="s">
        <v>80</v>
      </c>
      <c r="C27" s="56"/>
      <c r="D27" s="56"/>
      <c r="E27" s="56"/>
      <c r="F27" s="56"/>
      <c r="G27" s="56"/>
      <c r="H27" s="56"/>
      <c r="I27" s="56"/>
    </row>
    <row r="28" spans="2:9" x14ac:dyDescent="0.25">
      <c r="B28" s="23" t="s">
        <v>81</v>
      </c>
      <c r="C28" s="23" t="s">
        <v>82</v>
      </c>
      <c r="D28" s="23" t="s">
        <v>14</v>
      </c>
      <c r="E28" s="23" t="s">
        <v>83</v>
      </c>
      <c r="F28" s="17"/>
      <c r="G28" s="17"/>
      <c r="H28" s="17"/>
      <c r="I28" s="17"/>
    </row>
    <row r="29" spans="2:9" x14ac:dyDescent="0.25">
      <c r="B29" s="22" t="s">
        <v>84</v>
      </c>
      <c r="C29" s="24">
        <f>D15</f>
        <v>3</v>
      </c>
      <c r="D29" s="25">
        <f>IF(OR(D13="",D15=""),0,D13*D15)</f>
        <v>1800</v>
      </c>
      <c r="E29" s="22" t="s">
        <v>85</v>
      </c>
      <c r="F29" s="17"/>
      <c r="G29" s="17"/>
      <c r="H29" s="17"/>
      <c r="I29" s="17"/>
    </row>
    <row r="30" spans="2:9" x14ac:dyDescent="0.25">
      <c r="B30" s="22" t="s">
        <v>86</v>
      </c>
      <c r="C30" s="24">
        <f ca="1">IF(OR(G8="",G9=""),"",D16*G8/G9)</f>
        <v>12.452054794520548</v>
      </c>
      <c r="D30" s="25">
        <f ca="1">IF(OR(D13="",G8="",G9=""),0,D13*D16*G8/G9)</f>
        <v>7471.232876712329</v>
      </c>
      <c r="E30" s="22" t="s">
        <v>87</v>
      </c>
      <c r="F30" s="17"/>
      <c r="G30" s="17"/>
      <c r="H30" s="17"/>
      <c r="I30" s="17"/>
    </row>
    <row r="31" spans="2:9" ht="40.5" x14ac:dyDescent="0.25">
      <c r="B31" s="22" t="s">
        <v>88</v>
      </c>
      <c r="C31" s="24">
        <f>D17</f>
        <v>18.36</v>
      </c>
      <c r="D31" s="25">
        <f>IF(OR(D13="",D17=""),0,D13*D17)</f>
        <v>11016</v>
      </c>
      <c r="E31" s="22" t="s">
        <v>89</v>
      </c>
      <c r="F31" s="17"/>
      <c r="G31" s="17"/>
      <c r="H31" s="17"/>
      <c r="I31" s="17"/>
    </row>
    <row r="32" spans="2:9" x14ac:dyDescent="0.25">
      <c r="B32" s="22" t="s">
        <v>63</v>
      </c>
      <c r="C32" s="24">
        <f>D18</f>
        <v>0.25</v>
      </c>
      <c r="D32" s="25">
        <f>D31*D18</f>
        <v>2754</v>
      </c>
      <c r="E32" s="22" t="s">
        <v>90</v>
      </c>
      <c r="F32" s="17"/>
      <c r="G32" s="17"/>
      <c r="H32" s="17"/>
      <c r="I32" s="17"/>
    </row>
    <row r="33" spans="2:9" x14ac:dyDescent="0.25">
      <c r="B33" s="22" t="s">
        <v>64</v>
      </c>
      <c r="C33" s="24">
        <f>D19</f>
        <v>0</v>
      </c>
      <c r="D33" s="25">
        <f>D19</f>
        <v>0</v>
      </c>
      <c r="E33" s="22" t="s">
        <v>91</v>
      </c>
      <c r="F33" s="17"/>
      <c r="G33" s="17"/>
      <c r="H33" s="17"/>
      <c r="I33" s="17"/>
    </row>
    <row r="34" spans="2:9" x14ac:dyDescent="0.25">
      <c r="B34" s="26" t="s">
        <v>92</v>
      </c>
      <c r="C34" s="27" t="str">
        <f>""</f>
        <v/>
      </c>
      <c r="D34" s="28">
        <f ca="1">SUM(D29:D33)</f>
        <v>23041.232876712329</v>
      </c>
      <c r="E34" s="26" t="s">
        <v>93</v>
      </c>
      <c r="F34" s="17"/>
      <c r="G34" s="17"/>
      <c r="H34" s="17"/>
      <c r="I34" s="17"/>
    </row>
    <row r="35" spans="2:9" ht="27" x14ac:dyDescent="0.25">
      <c r="B35" s="22" t="s">
        <v>94</v>
      </c>
      <c r="C35" s="24">
        <f ca="1">IF(D12="No",0,IF(D11="Determinado &lt; 1 anio",G6/2,IF(D11="Determinado &gt;= 1 anio",180+20*MAX(0,G11-1),IF(OR(D11="Indeterminado",D11="Plataforma digital"),20*INT(G11),0))))</f>
        <v>120</v>
      </c>
      <c r="D35" s="25">
        <f ca="1">IF(OR(D12&lt;&gt;"Si",D14=""),0,D14*C35)</f>
        <v>76676.400000000009</v>
      </c>
      <c r="E35" s="22" t="s">
        <v>95</v>
      </c>
      <c r="F35" s="41"/>
      <c r="G35" s="17"/>
      <c r="H35" s="17"/>
      <c r="I35" s="17"/>
    </row>
    <row r="36" spans="2:9" ht="27" x14ac:dyDescent="0.25">
      <c r="B36" s="22" t="s">
        <v>96</v>
      </c>
      <c r="C36" s="24">
        <f>IF(D12="Si",90,0)</f>
        <v>90</v>
      </c>
      <c r="D36" s="25">
        <f>IF(OR(D12&lt;&gt;"Si",D14=""),0,D14*C36)</f>
        <v>57507.3</v>
      </c>
      <c r="E36" s="22" t="s">
        <v>97</v>
      </c>
      <c r="F36" s="17"/>
      <c r="G36" s="17"/>
      <c r="H36" s="17"/>
      <c r="I36" s="17"/>
    </row>
    <row r="37" spans="2:9" ht="27" x14ac:dyDescent="0.25">
      <c r="B37" s="22" t="s">
        <v>98</v>
      </c>
      <c r="C37" s="24">
        <f>D20</f>
        <v>0</v>
      </c>
      <c r="D37" s="25">
        <f>IF(D12="Si",D20,0)</f>
        <v>0</v>
      </c>
      <c r="E37" s="22" t="s">
        <v>99</v>
      </c>
      <c r="F37" s="17"/>
      <c r="G37" s="17"/>
      <c r="H37" s="17"/>
      <c r="I37" s="17"/>
    </row>
    <row r="38" spans="2:9" x14ac:dyDescent="0.25">
      <c r="B38" s="22" t="s">
        <v>100</v>
      </c>
      <c r="C38" s="24">
        <f ca="1">IF(D21="Si",12*INT(G7),0)</f>
        <v>72</v>
      </c>
      <c r="D38" s="25">
        <f ca="1">IF(OR(D21&lt;&gt;"Si",D22=""),0,D22*C38)</f>
        <v>43200</v>
      </c>
      <c r="E38" s="22" t="s">
        <v>101</v>
      </c>
      <c r="F38" s="17"/>
      <c r="G38" s="17"/>
      <c r="H38" s="17"/>
      <c r="I38" s="17"/>
    </row>
    <row r="39" spans="2:9" ht="27" x14ac:dyDescent="0.25">
      <c r="B39" s="26" t="s">
        <v>102</v>
      </c>
      <c r="C39" s="27" t="str">
        <f>""</f>
        <v/>
      </c>
      <c r="D39" s="28">
        <f ca="1">SUM(D35:D38)</f>
        <v>177383.7</v>
      </c>
      <c r="E39" s="26" t="s">
        <v>103</v>
      </c>
      <c r="F39" s="17"/>
      <c r="G39" s="17"/>
      <c r="H39" s="17"/>
      <c r="I39" s="17"/>
    </row>
    <row r="40" spans="2:9" x14ac:dyDescent="0.25">
      <c r="B40" s="22" t="s">
        <v>104</v>
      </c>
      <c r="C40" s="24">
        <f>D24</f>
        <v>0</v>
      </c>
      <c r="D40" s="25">
        <f>D24</f>
        <v>0</v>
      </c>
      <c r="E40" s="22" t="s">
        <v>105</v>
      </c>
      <c r="F40" s="17"/>
      <c r="G40" s="17"/>
      <c r="H40" s="17"/>
      <c r="I40" s="17"/>
    </row>
    <row r="41" spans="2:9" x14ac:dyDescent="0.25">
      <c r="B41" s="17"/>
      <c r="C41" s="17"/>
      <c r="D41" s="20"/>
      <c r="E41" s="17"/>
      <c r="F41" s="17"/>
      <c r="G41" s="17"/>
      <c r="H41" s="17"/>
      <c r="I41" s="17"/>
    </row>
    <row r="42" spans="2:9" x14ac:dyDescent="0.25">
      <c r="B42" s="18" t="s">
        <v>106</v>
      </c>
      <c r="C42" s="18"/>
      <c r="D42" s="21">
        <f ca="1">D34+D39</f>
        <v>200424.93287671235</v>
      </c>
      <c r="E42" s="17"/>
      <c r="F42" s="17"/>
      <c r="G42" s="17"/>
      <c r="H42" s="17"/>
      <c r="I42" s="17"/>
    </row>
    <row r="43" spans="2:9" x14ac:dyDescent="0.25">
      <c r="B43" s="18" t="s">
        <v>107</v>
      </c>
      <c r="C43" s="18"/>
      <c r="D43" s="21">
        <f ca="1">D42-D40</f>
        <v>200424.93287671235</v>
      </c>
      <c r="E43" s="17"/>
      <c r="F43" s="17"/>
      <c r="G43" s="17"/>
      <c r="H43" s="17"/>
      <c r="I43" s="17"/>
    </row>
    <row r="44" spans="2:9" x14ac:dyDescent="0.25">
      <c r="B44" s="19" t="s">
        <v>108</v>
      </c>
      <c r="C44" s="19"/>
      <c r="D44" s="19" t="str">
        <f ca="1">IF(G12&lt;&gt;"OK",G12,IF(OR(D13="",D14=""),"Capture salarios","CALCULO LISTO"))</f>
        <v>CALCULO LISTO</v>
      </c>
      <c r="E44" s="17"/>
      <c r="F44" s="17"/>
      <c r="G44" s="17"/>
      <c r="H44" s="17"/>
      <c r="I44" s="17"/>
    </row>
  </sheetData>
  <mergeCells count="26">
    <mergeCell ref="B27:I27"/>
    <mergeCell ref="F15:I23"/>
    <mergeCell ref="B6:C6"/>
    <mergeCell ref="B7:C7"/>
    <mergeCell ref="B8:C8"/>
    <mergeCell ref="B9:C9"/>
    <mergeCell ref="B15:C15"/>
    <mergeCell ref="B11:C11"/>
    <mergeCell ref="B12:C12"/>
    <mergeCell ref="B13:C13"/>
    <mergeCell ref="B14:C14"/>
    <mergeCell ref="B22:C22"/>
    <mergeCell ref="B23:C23"/>
    <mergeCell ref="B24:C24"/>
    <mergeCell ref="B25:C25"/>
    <mergeCell ref="B16:C16"/>
    <mergeCell ref="B2:I2"/>
    <mergeCell ref="B3:I3"/>
    <mergeCell ref="B5:D5"/>
    <mergeCell ref="F5:I5"/>
    <mergeCell ref="B10:C10"/>
    <mergeCell ref="B17:C17"/>
    <mergeCell ref="B18:C18"/>
    <mergeCell ref="B19:C19"/>
    <mergeCell ref="B20:C20"/>
    <mergeCell ref="B21:C21"/>
  </mergeCells>
  <dataValidations count="4">
    <dataValidation type="list" allowBlank="1" showInputMessage="1" showErrorMessage="1" sqref="D11" xr:uid="{D35932A3-6CF1-44D7-9F4E-306476574E1F}">
      <formula1>"Indeterminado,Determinado &lt; 1 anio,Determinado &gt;= 1 anio,Plataforma digital"</formula1>
    </dataValidation>
    <dataValidation type="list" allowBlank="1" showInputMessage="1" showErrorMessage="1" sqref="D12 D21" xr:uid="{E9B1ECF6-2619-4670-8AAF-EB66CD43EA42}">
      <formula1>"Si,No"</formula1>
    </dataValidation>
    <dataValidation type="date" allowBlank="1" showInputMessage="1" showErrorMessage="1" sqref="D9:D10" xr:uid="{2C33E22B-A41C-45B2-B252-DA6895F0715C}">
      <formula1>DATE(1900,1,1)</formula1>
      <formula2>DATE(9999,12,31)</formula2>
    </dataValidation>
    <dataValidation type="decimal" operator="greaterThanOrEqual" allowBlank="1" showInputMessage="1" showErrorMessage="1" sqref="D13:D20 D23:D24" xr:uid="{57DC93E4-1775-4088-B88E-B7BD431B7605}">
      <formula1>0</formula1>
    </dataValidation>
  </dataValidations>
  <pageMargins left="0.7" right="0.7" top="0.75" bottom="0.75" header="0.3" footer="0.3"/>
  <pageSetup paperSize="9" scale="64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5D96-FE7F-436D-8EAC-C6741693F709}">
  <sheetPr>
    <pageSetUpPr fitToPage="1"/>
  </sheetPr>
  <dimension ref="A1:F17"/>
  <sheetViews>
    <sheetView workbookViewId="0">
      <selection sqref="A1:F1"/>
    </sheetView>
  </sheetViews>
  <sheetFormatPr baseColWidth="10" defaultRowHeight="15" x14ac:dyDescent="0.25"/>
  <cols>
    <col min="1" max="1" width="32.42578125" customWidth="1"/>
    <col min="2" max="2" width="45.7109375" customWidth="1"/>
    <col min="3" max="5" width="34.28515625" customWidth="1"/>
    <col min="6" max="6" width="24.7109375" customWidth="1"/>
  </cols>
  <sheetData>
    <row r="1" spans="1:6" ht="22.5" x14ac:dyDescent="0.35">
      <c r="A1" s="59" t="s">
        <v>110</v>
      </c>
      <c r="B1" s="59"/>
      <c r="C1" s="59"/>
      <c r="D1" s="59"/>
      <c r="E1" s="59"/>
      <c r="F1" s="59"/>
    </row>
    <row r="2" spans="1:6" x14ac:dyDescent="0.25">
      <c r="A2" s="16"/>
      <c r="B2" s="16"/>
      <c r="C2" s="16"/>
      <c r="D2" s="16"/>
      <c r="E2" s="16"/>
      <c r="F2" s="16"/>
    </row>
    <row r="3" spans="1:6" x14ac:dyDescent="0.25">
      <c r="A3" s="29" t="s">
        <v>111</v>
      </c>
      <c r="B3" s="29" t="s">
        <v>112</v>
      </c>
      <c r="C3" s="29" t="s">
        <v>113</v>
      </c>
      <c r="D3" s="29" t="s">
        <v>114</v>
      </c>
      <c r="E3" s="29" t="s">
        <v>115</v>
      </c>
      <c r="F3" s="29" t="s">
        <v>116</v>
      </c>
    </row>
    <row r="4" spans="1:6" ht="57.95" customHeight="1" x14ac:dyDescent="0.25">
      <c r="A4" s="30" t="s">
        <v>117</v>
      </c>
      <c r="B4" s="30" t="s">
        <v>118</v>
      </c>
      <c r="C4" s="30" t="s">
        <v>58</v>
      </c>
      <c r="D4" s="30" t="s">
        <v>119</v>
      </c>
      <c r="E4" s="30" t="s">
        <v>120</v>
      </c>
      <c r="F4" s="30" t="s">
        <v>121</v>
      </c>
    </row>
    <row r="5" spans="1:6" ht="57.95" customHeight="1" x14ac:dyDescent="0.25">
      <c r="A5" s="30" t="s">
        <v>122</v>
      </c>
      <c r="B5" s="30" t="s">
        <v>123</v>
      </c>
      <c r="C5" s="30" t="s">
        <v>124</v>
      </c>
      <c r="D5" s="30" t="s">
        <v>125</v>
      </c>
      <c r="E5" s="30" t="s">
        <v>126</v>
      </c>
      <c r="F5" s="30" t="s">
        <v>127</v>
      </c>
    </row>
    <row r="6" spans="1:6" ht="57.95" customHeight="1" x14ac:dyDescent="0.25">
      <c r="A6" s="30" t="s">
        <v>128</v>
      </c>
      <c r="B6" s="30" t="s">
        <v>129</v>
      </c>
      <c r="C6" s="30" t="s">
        <v>130</v>
      </c>
      <c r="D6" s="30" t="s">
        <v>125</v>
      </c>
      <c r="E6" s="30" t="s">
        <v>131</v>
      </c>
      <c r="F6" s="30" t="s">
        <v>127</v>
      </c>
    </row>
    <row r="7" spans="1:6" ht="57.95" customHeight="1" x14ac:dyDescent="0.25">
      <c r="A7" s="30" t="s">
        <v>132</v>
      </c>
      <c r="B7" s="30" t="s">
        <v>133</v>
      </c>
      <c r="C7" s="30" t="s">
        <v>134</v>
      </c>
      <c r="D7" s="30" t="s">
        <v>135</v>
      </c>
      <c r="E7" s="30" t="s">
        <v>136</v>
      </c>
      <c r="F7" s="30" t="s">
        <v>137</v>
      </c>
    </row>
    <row r="8" spans="1:6" ht="57.95" customHeight="1" x14ac:dyDescent="0.25">
      <c r="A8" s="30" t="s">
        <v>138</v>
      </c>
      <c r="B8" s="30" t="s">
        <v>139</v>
      </c>
      <c r="C8" s="30" t="s">
        <v>140</v>
      </c>
      <c r="D8" s="30" t="s">
        <v>141</v>
      </c>
      <c r="E8" s="30" t="s">
        <v>142</v>
      </c>
      <c r="F8" s="30" t="s">
        <v>143</v>
      </c>
    </row>
    <row r="9" spans="1:6" ht="57.95" customHeight="1" x14ac:dyDescent="0.25">
      <c r="A9" s="30" t="s">
        <v>144</v>
      </c>
      <c r="B9" s="30" t="s">
        <v>145</v>
      </c>
      <c r="C9" s="30" t="s">
        <v>146</v>
      </c>
      <c r="D9" s="30" t="s">
        <v>147</v>
      </c>
      <c r="E9" s="30" t="s">
        <v>148</v>
      </c>
      <c r="F9" s="30" t="s">
        <v>149</v>
      </c>
    </row>
    <row r="10" spans="1:6" ht="57.95" customHeight="1" x14ac:dyDescent="0.25">
      <c r="A10" s="30" t="s">
        <v>100</v>
      </c>
      <c r="B10" s="30" t="s">
        <v>150</v>
      </c>
      <c r="C10" s="30" t="s">
        <v>151</v>
      </c>
      <c r="D10" s="30" t="s">
        <v>152</v>
      </c>
      <c r="E10" s="30" t="s">
        <v>153</v>
      </c>
      <c r="F10" s="30" t="s">
        <v>154</v>
      </c>
    </row>
    <row r="11" spans="1:6" ht="57.95" customHeight="1" x14ac:dyDescent="0.25">
      <c r="A11" s="30" t="s">
        <v>155</v>
      </c>
      <c r="B11" s="30" t="s">
        <v>156</v>
      </c>
      <c r="C11" s="30" t="s">
        <v>157</v>
      </c>
      <c r="D11" s="30" t="s">
        <v>158</v>
      </c>
      <c r="E11" s="30" t="s">
        <v>159</v>
      </c>
      <c r="F11" s="30" t="s">
        <v>160</v>
      </c>
    </row>
    <row r="12" spans="1:6" x14ac:dyDescent="0.25">
      <c r="A12" s="16"/>
      <c r="B12" s="16"/>
      <c r="C12" s="16"/>
      <c r="D12" s="16"/>
      <c r="E12" s="16"/>
      <c r="F12" s="16"/>
    </row>
    <row r="13" spans="1:6" x14ac:dyDescent="0.25">
      <c r="A13" s="60" t="s">
        <v>161</v>
      </c>
      <c r="B13" s="60"/>
      <c r="C13" s="60"/>
      <c r="D13" s="60"/>
      <c r="E13" s="60"/>
      <c r="F13" s="60"/>
    </row>
    <row r="14" spans="1:6" ht="27.95" customHeight="1" x14ac:dyDescent="0.25">
      <c r="A14" s="61" t="s">
        <v>162</v>
      </c>
      <c r="B14" s="61"/>
      <c r="C14" s="61"/>
      <c r="D14" s="61"/>
      <c r="E14" s="61"/>
      <c r="F14" s="61"/>
    </row>
    <row r="15" spans="1:6" ht="27.95" customHeight="1" x14ac:dyDescent="0.25">
      <c r="A15" s="61"/>
      <c r="B15" s="61"/>
      <c r="C15" s="61"/>
      <c r="D15" s="61"/>
      <c r="E15" s="61"/>
      <c r="F15" s="61"/>
    </row>
    <row r="16" spans="1:6" ht="27.95" customHeight="1" x14ac:dyDescent="0.25">
      <c r="A16" s="61"/>
      <c r="B16" s="61"/>
      <c r="C16" s="61"/>
      <c r="D16" s="61"/>
      <c r="E16" s="61"/>
      <c r="F16" s="61"/>
    </row>
    <row r="17" spans="1:6" ht="27.95" customHeight="1" x14ac:dyDescent="0.25">
      <c r="A17" s="61"/>
      <c r="B17" s="61"/>
      <c r="C17" s="61"/>
      <c r="D17" s="61"/>
      <c r="E17" s="61"/>
      <c r="F17" s="61"/>
    </row>
  </sheetData>
  <mergeCells count="3">
    <mergeCell ref="A1:F1"/>
    <mergeCell ref="A13:F13"/>
    <mergeCell ref="A14:F17"/>
  </mergeCells>
  <pageMargins left="0.7" right="0.7" top="0.75" bottom="0.75" header="0.3" footer="0.3"/>
  <pageSetup paperSize="9" scale="6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UNICOS</vt:lpstr>
      <vt:lpstr>VALIDACION</vt:lpstr>
      <vt:lpstr>BASE</vt:lpstr>
      <vt:lpstr>TABLAD</vt:lpstr>
      <vt:lpstr>VISOR</vt:lpstr>
      <vt:lpstr>PP ISR</vt:lpstr>
      <vt:lpstr>FINIQUITO 2026</vt:lpstr>
      <vt:lpstr>GUIA LFT 2026</vt:lpstr>
      <vt:lpstr>'FINIQUITO 2026'!Área_de_impresión</vt:lpstr>
      <vt:lpstr>'GUIA LFT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MONROY</dc:creator>
  <cp:lastModifiedBy>ALBERTO MONROY</cp:lastModifiedBy>
  <dcterms:created xsi:type="dcterms:W3CDTF">2026-10-30T15:01:51Z</dcterms:created>
  <dcterms:modified xsi:type="dcterms:W3CDTF">2026-10-30T17:57:37Z</dcterms:modified>
</cp:coreProperties>
</file>