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 D\PERSONAL 2025\COFIDE\TEMARIO Y BIBLIOGRAFIA\290425\"/>
    </mc:Choice>
  </mc:AlternateContent>
  <bookViews>
    <workbookView xWindow="32760" yWindow="32760" windowWidth="20490" windowHeight="9105" tabRatio="866" activeTab="4"/>
  </bookViews>
  <sheets>
    <sheet name="N_Campos Generales" sheetId="1" r:id="rId1"/>
    <sheet name="DatosObra" sheetId="2" r:id="rId2"/>
    <sheet name="Programa" sheetId="3" r:id="rId3"/>
    <sheet name="a)Plantilla" sheetId="4" r:id="rId4"/>
    <sheet name="b)Indirectos Desglosados" sheetId="5" r:id="rId5"/>
    <sheet name="c)Resumen Indirectos" sheetId="6" r:id="rId6"/>
    <sheet name="d)Pers.Técnico" sheetId="7" r:id="rId7"/>
    <sheet name="e)Pers.Técnico$" sheetId="8" r:id="rId8"/>
    <sheet name="f)Financ_Horizontal" sheetId="9" r:id="rId9"/>
    <sheet name="f)Financiamiento" sheetId="10" state="hidden" r:id="rId10"/>
    <sheet name="g)Utilidad" sheetId="11" r:id="rId11"/>
    <sheet name="h)Cargos_Adicionales" sheetId="12" r:id="rId12"/>
    <sheet name="i)Resumen" sheetId="13" r:id="rId13"/>
    <sheet name="z)Documentacion" sheetId="14" r:id="rId14"/>
  </sheets>
  <definedNames>
    <definedName name="AInicio">Programa!$G$4</definedName>
    <definedName name="AnoPeriodo">Programa!$G$12</definedName>
    <definedName name="AnticipoInicialProveedor">DatosObra!$E$46</definedName>
    <definedName name="area">'N_Campos Generales'!$C$21</definedName>
    <definedName name="_xlnm.Print_Area" localSheetId="7">'e)Pers.Técnico$'!$A$1:$BN$178</definedName>
    <definedName name="_xlnm.Print_Area" localSheetId="12">'i)Resumen'!$A$1:$F$43</definedName>
    <definedName name="CalculoDelCargoAdicional">DatosObra!$D$40</definedName>
    <definedName name="cargo">'N_Campos Generales'!$C$18</definedName>
    <definedName name="cargoresponsabledelaobra">'N_Campos Generales'!$C$44</definedName>
    <definedName name="ciudad">'N_Campos Generales'!$C$9</definedName>
    <definedName name="ciudadcliente">'N_Campos Generales'!$C$26</definedName>
    <definedName name="ciudaddelaobra">'N_Campos Generales'!$C$38</definedName>
    <definedName name="cmic">'N_Campos Generales'!$C$14</definedName>
    <definedName name="codigopostalcliente">'N_Campos Generales'!$C$25</definedName>
    <definedName name="codigopostaldelaobra">'N_Campos Generales'!$C$40</definedName>
    <definedName name="colonia">'N_Campos Generales'!$C$8</definedName>
    <definedName name="coloniacliente">'N_Campos Generales'!$C$24</definedName>
    <definedName name="coloniadelaobra">'N_Campos Generales'!$C$37</definedName>
    <definedName name="contactocliente">'N_Campos Generales'!$C$29</definedName>
    <definedName name="Costo_directo">DatosObra!$E$3</definedName>
    <definedName name="CostoDirectoMasIndirecto">DatosObra!$D$91</definedName>
    <definedName name="decimalesredondeo">'N_Campos Generales'!$C$53</definedName>
    <definedName name="departamento">'N_Campos Generales'!$C$22</definedName>
    <definedName name="DIAS_DEL_AÑO">Programa!$G$5</definedName>
    <definedName name="DiasNaturales">Programa!$D$12</definedName>
    <definedName name="DiasPagoEstimaciones">DatosObra!$E$53</definedName>
    <definedName name="DiasPeriodos">Programa!$E$12</definedName>
    <definedName name="direccioncliente">'N_Campos Generales'!$C$23</definedName>
    <definedName name="direcciondeconcurso">'N_Campos Generales'!$C$33</definedName>
    <definedName name="direcciondelaobra">'N_Campos Generales'!$C$36</definedName>
    <definedName name="domicilio">'N_Campos Generales'!$C$7</definedName>
    <definedName name="EJERCICIO">DatosObra!$D$72:$D$72</definedName>
    <definedName name="EJERCICIO1">DatosObra!$D$83</definedName>
    <definedName name="EJERCICIO2">DatosObra!$D$84</definedName>
    <definedName name="email">'N_Campos Generales'!$C$13</definedName>
    <definedName name="emailcliente">'N_Campos Generales'!$C$28</definedName>
    <definedName name="emaildelaobra">'N_Campos Generales'!$C$42</definedName>
    <definedName name="estado">'N_Campos Generales'!$C$10</definedName>
    <definedName name="estadodelaobra">'N_Campos Generales'!$C$39</definedName>
    <definedName name="EXHIBICION1">DatosObra!$D$77</definedName>
    <definedName name="EXHIBICION2">DatosObra!$D$78</definedName>
    <definedName name="Factor_SFP">DatosObra!$E$6</definedName>
    <definedName name="fechaconvocatoria">'N_Campos Generales'!$C$60</definedName>
    <definedName name="fechadeconcurso">'N_Campos Generales'!$C$31</definedName>
    <definedName name="fechainicio">'N_Campos Generales'!$C$45</definedName>
    <definedName name="fechaterminacion">'N_Campos Generales'!$C$46</definedName>
    <definedName name="Hasta_Utilidad">'h)Cargos_Adicionales'!$D$22</definedName>
    <definedName name="Hjor">DatosObra!$E$67</definedName>
    <definedName name="Importe_Campo">'b)Indirectos Desglosados'!$G$74</definedName>
    <definedName name="Importe_CargoAdicional">'h)Cargos_Adicionales'!$D$36</definedName>
    <definedName name="Importe_Central">'b)Indirectos Desglosados'!$E$74</definedName>
    <definedName name="Importe_Financiamiento">'f)Financ_Horizontal'!$G$40</definedName>
    <definedName name="Importe_Indirecto">'b)Indirectos Desglosados'!$F$76</definedName>
    <definedName name="Importe_TotalObra">DatosObra!$E$5</definedName>
    <definedName name="Importe_Utilidad">'g)Utilidad'!$D$35</definedName>
    <definedName name="ImporteAnticipo1">DatosObra!$F$106</definedName>
    <definedName name="ImporteAnticipo2">DatosObra!$G$106</definedName>
    <definedName name="ImporteEjecutar2doAnt">'f)Financiamiento'!$R$27</definedName>
    <definedName name="ImporteEjercer1">DatosObra!$D$94</definedName>
    <definedName name="ImporteEjercer2">DatosObra!$D$95</definedName>
    <definedName name="ImporteEjercerEjercicio1">DatosObra!$E$83</definedName>
    <definedName name="ImporteParaFinanciamiento">DatosObra!$D$93</definedName>
    <definedName name="imss">'N_Campos Generales'!$C$16</definedName>
    <definedName name="IndicadorEcon1">DatosObra!$E$10</definedName>
    <definedName name="infonavit">'N_Campos Generales'!$C$15</definedName>
    <definedName name="Intereses_a_considerar">DatosObra!$D$34</definedName>
    <definedName name="ISR">DatosObra!$E$11</definedName>
    <definedName name="Mano_Gravable">DatosObra!$E$4</definedName>
    <definedName name="ModeloCalculoFinanciamiento">DatosObra!$E$28</definedName>
    <definedName name="MontoEjercer1">DatosObra!$D$106</definedName>
    <definedName name="MontoEjercer2">DatosObra!$E$106</definedName>
    <definedName name="nombrecliente">'N_Campos Generales'!$C$20</definedName>
    <definedName name="nombredelaobra">'N_Campos Generales'!$C$35</definedName>
    <definedName name="numconvocatoria">'N_Campos Generales'!$C$59</definedName>
    <definedName name="numerodeconcurso">'N_Campos Generales'!$C$32</definedName>
    <definedName name="PeriodoAmortizacionP2">DatosObra!$D$101</definedName>
    <definedName name="PeriodoEntrega2">DatosObra!$E$78</definedName>
    <definedName name="PeriodoEntrega3">DatosObra!$G$84</definedName>
    <definedName name="PeriodoEntregaAnticipo2">DatosObra!$E$58</definedName>
    <definedName name="PeriodoFinal">Programa!$E$9</definedName>
    <definedName name="PeriodoFinalCobro">DatosObra!$D$100</definedName>
    <definedName name="PeriodoInicial">Programa!$C$9</definedName>
    <definedName name="PeriodoInicialCobro">DatosObra!$E$56</definedName>
    <definedName name="Periodos">Programa!$B$13:$B$72</definedName>
    <definedName name="PeriodosProgramados">DatosObra!$D$99</definedName>
    <definedName name="plazocalculado">'N_Campos Generales'!$C$51</definedName>
    <definedName name="plazoreal">'N_Campos Generales'!$C$52</definedName>
    <definedName name="Porcentaje_Aplicable_TasaPasiva">'f)Financ_Horizontal'!$K$38</definedName>
    <definedName name="Porcentaje_Campo">'b)Indirectos Desglosados'!$H$74</definedName>
    <definedName name="Porcentaje_CargoAdicional">'h)Cargos_Adicionales'!$E$36</definedName>
    <definedName name="Porcentaje_Central">'b)Indirectos Desglosados'!$F$74</definedName>
    <definedName name="Porcentaje_Indirecto">'b)Indirectos Desglosados'!$H$76</definedName>
    <definedName name="Porcentaje_Utilidad">'g)Utilidad'!$E$37</definedName>
    <definedName name="Porcentaje_Utilidad_Propuesta">DatosObra!$E$7</definedName>
    <definedName name="PorcentajeAmortizacion1">'f)Financiamiento'!$E$27</definedName>
    <definedName name="PorcentajeAmortizacion2">'f)Financiamiento'!$S$27</definedName>
    <definedName name="PorcentajeAnticipo1">DatosObra!$B$106</definedName>
    <definedName name="PorcentajeAnticipo2">DatosObra!$C$106</definedName>
    <definedName name="PorcentajeAplicablePeriodo">'f)Financ_Horizontal'!$G$38</definedName>
    <definedName name="PorcentajeFinanciamiento">'f)Financ_Horizontal'!$I$40</definedName>
    <definedName name="porcentajeivapresupuesto">'N_Campos Generales'!$C$49</definedName>
    <definedName name="PorcentajeNomina">DatosObra!$E$47</definedName>
    <definedName name="primeramoneda">'N_Campos Generales'!$C$54</definedName>
    <definedName name="PTU">DatosObra!$E$12</definedName>
    <definedName name="PuntosBanco">DatosObra!$E$9</definedName>
    <definedName name="razonsocial">'N_Campos Generales'!$C$6</definedName>
    <definedName name="RedondeoPersonalTecnico">DatosObra!$E$60</definedName>
    <definedName name="remateprimeramoneda">'N_Campos Generales'!$C$56</definedName>
    <definedName name="rematesegundamoneda">'N_Campos Generales'!$C$57</definedName>
    <definedName name="responsable">'N_Campos Generales'!$C$17</definedName>
    <definedName name="responsabledelaobra">'N_Campos Generales'!$C$43</definedName>
    <definedName name="rfc">'N_Campos Generales'!$C$11</definedName>
    <definedName name="SaldoporAmortizar">'f)Financiamiento'!$R$25</definedName>
    <definedName name="segundamoneda">'N_Campos Generales'!$C$55</definedName>
    <definedName name="Suma_Financiamiento" localSheetId="9">'f)Financiamiento'!$U$101</definedName>
    <definedName name="TasaInteres">DatosObra!$E$8</definedName>
    <definedName name="TCostoDirecto">Programa!$I$12</definedName>
    <definedName name="telefono">'N_Campos Generales'!$C$12</definedName>
    <definedName name="telefonocliente">'N_Campos Generales'!$C$27</definedName>
    <definedName name="telefonodelaobra">'N_Campos Generales'!$C$41</definedName>
    <definedName name="TEquipo">Programa!$L$12</definedName>
    <definedName name="TImporte">Programa!$H$12</definedName>
    <definedName name="Tipo_Año">DatosObra!$F$40</definedName>
    <definedName name="Tipo_de_Tasa">DatosObra!$F$34</definedName>
    <definedName name="TipoDeAnticipo">DatosObra!$E$21</definedName>
    <definedName name="tipodelicitacion">'N_Campos Generales'!$C$61</definedName>
    <definedName name="TipoProgramaPersonalTecnico">DatosObra!$E$64</definedName>
    <definedName name="TituloPeriodo">Programa!$C$12</definedName>
    <definedName name="_xlnm.Print_Titles" localSheetId="4">'b)Indirectos Desglosados'!$1:$15</definedName>
    <definedName name="_xlnm.Print_Titles" localSheetId="5">'c)Resumen Indirectos'!$1:$18</definedName>
    <definedName name="_xlnm.Print_Titles" localSheetId="6">'d)Pers.Técnico'!$1:$15</definedName>
    <definedName name="_xlnm.Print_Titles" localSheetId="7">'e)Pers.Técnico$'!$1:$15</definedName>
    <definedName name="_xlnm.Print_Titles" localSheetId="9">'f)Financiamiento'!$29:$30</definedName>
    <definedName name="_xlnm.Print_Titles">'b)Indirectos Desglosados'!$1:$15</definedName>
    <definedName name="TManoObra">Programa!$K$12</definedName>
    <definedName name="TMateriales">Programa!$J$12</definedName>
    <definedName name="totalpresupuestoprimeramoneda">'N_Campos Generales'!$C$47</definedName>
    <definedName name="totalpresupuestosegundamoneda">'N_Campos Generales'!$C$48</definedName>
    <definedName name="TOtrosInsumos">Programa!$M$12</definedName>
    <definedName name="Utilidad_Neta">'g)Utilidad'!$E$24</definedName>
  </definedNames>
  <calcPr calcId="162913" fullPrecision="0"/>
</workbook>
</file>

<file path=xl/calcChain.xml><?xml version="1.0" encoding="utf-8"?>
<calcChain xmlns="http://schemas.openxmlformats.org/spreadsheetml/2006/main">
  <c r="J19" i="5" l="1"/>
  <c r="G38" i="9" l="1"/>
  <c r="C51" i="1" l="1"/>
  <c r="G20" i="5" l="1"/>
  <c r="G19" i="5"/>
  <c r="E20" i="5"/>
  <c r="E19" i="5"/>
  <c r="E18" i="5"/>
  <c r="G10" i="5"/>
  <c r="F31" i="2" l="1"/>
  <c r="E34" i="2"/>
  <c r="E35" i="2"/>
  <c r="E53" i="2"/>
  <c r="E78" i="2"/>
  <c r="F83" i="2"/>
  <c r="G84" i="2"/>
  <c r="D89" i="2"/>
  <c r="D92" i="2"/>
  <c r="D94" i="2"/>
  <c r="D101" i="2"/>
  <c r="N33" i="10" s="1"/>
  <c r="B105" i="2"/>
  <c r="C105" i="2"/>
  <c r="D105" i="2"/>
  <c r="E105" i="2"/>
  <c r="F105" i="2"/>
  <c r="G105" i="2"/>
  <c r="H105" i="2"/>
  <c r="B106" i="2" a="1"/>
  <c r="B106" i="2" s="1"/>
  <c r="G61" i="5" s="1"/>
  <c r="H61" i="5" s="1"/>
  <c r="C106" i="2"/>
  <c r="E106" i="2"/>
  <c r="Q22" i="10" s="1"/>
  <c r="G106" i="2"/>
  <c r="S22" i="10" s="1"/>
  <c r="H106" i="2"/>
  <c r="D4" i="3"/>
  <c r="D5" i="3"/>
  <c r="G5" i="3"/>
  <c r="D6" i="3"/>
  <c r="C9" i="3"/>
  <c r="E9" i="3"/>
  <c r="F13" i="3"/>
  <c r="N13" i="3"/>
  <c r="O13" i="3" s="1"/>
  <c r="F14" i="3"/>
  <c r="N14" i="3"/>
  <c r="F15" i="3"/>
  <c r="N15" i="3"/>
  <c r="F16" i="3"/>
  <c r="N16" i="3"/>
  <c r="O16" i="3"/>
  <c r="F17" i="3"/>
  <c r="N17" i="3"/>
  <c r="O17" i="3"/>
  <c r="F18" i="3"/>
  <c r="N18" i="3"/>
  <c r="O18" i="3"/>
  <c r="F19" i="3"/>
  <c r="N19" i="3"/>
  <c r="O19" i="3"/>
  <c r="F20" i="3"/>
  <c r="N20" i="3"/>
  <c r="O20" i="3"/>
  <c r="F21" i="3"/>
  <c r="N21" i="3"/>
  <c r="O21" i="3"/>
  <c r="F22" i="3"/>
  <c r="N22" i="3"/>
  <c r="O22" i="3"/>
  <c r="F23" i="3"/>
  <c r="N23" i="3"/>
  <c r="O23" i="3"/>
  <c r="F24" i="3"/>
  <c r="N24" i="3"/>
  <c r="O24" i="3"/>
  <c r="F25" i="3"/>
  <c r="N25" i="3"/>
  <c r="O25" i="3"/>
  <c r="F26" i="3"/>
  <c r="N26" i="3"/>
  <c r="O26" i="3"/>
  <c r="F27" i="3"/>
  <c r="N27" i="3"/>
  <c r="O27" i="3"/>
  <c r="F28" i="3"/>
  <c r="N28" i="3"/>
  <c r="O28" i="3"/>
  <c r="F29" i="3"/>
  <c r="N29" i="3"/>
  <c r="O29" i="3"/>
  <c r="F30" i="3"/>
  <c r="N30" i="3"/>
  <c r="O30" i="3"/>
  <c r="F31" i="3"/>
  <c r="N31" i="3"/>
  <c r="O31" i="3"/>
  <c r="F32" i="3"/>
  <c r="N32" i="3"/>
  <c r="O32" i="3"/>
  <c r="F33" i="3"/>
  <c r="N33" i="3"/>
  <c r="O33" i="3"/>
  <c r="F34" i="3"/>
  <c r="N34" i="3"/>
  <c r="O34" i="3"/>
  <c r="F35" i="3"/>
  <c r="N35" i="3"/>
  <c r="O35" i="3"/>
  <c r="F36" i="3"/>
  <c r="N36" i="3"/>
  <c r="O36" i="3"/>
  <c r="F37" i="3"/>
  <c r="N37" i="3"/>
  <c r="O37" i="3"/>
  <c r="F38" i="3"/>
  <c r="N38" i="3"/>
  <c r="O38" i="3"/>
  <c r="F39" i="3"/>
  <c r="N39" i="3"/>
  <c r="O39" i="3"/>
  <c r="F40" i="3"/>
  <c r="N40" i="3"/>
  <c r="O40" i="3"/>
  <c r="F41" i="3"/>
  <c r="N41" i="3"/>
  <c r="O41" i="3"/>
  <c r="F42" i="3"/>
  <c r="N42" i="3"/>
  <c r="O42" i="3"/>
  <c r="F43" i="3"/>
  <c r="N43" i="3"/>
  <c r="O43" i="3"/>
  <c r="F44" i="3"/>
  <c r="N44" i="3"/>
  <c r="O44" i="3"/>
  <c r="F45" i="3"/>
  <c r="N45" i="3"/>
  <c r="O45" i="3"/>
  <c r="F46" i="3"/>
  <c r="N46" i="3"/>
  <c r="O46" i="3"/>
  <c r="F47" i="3"/>
  <c r="N47" i="3"/>
  <c r="O47" i="3"/>
  <c r="F48" i="3"/>
  <c r="N48" i="3"/>
  <c r="O48" i="3"/>
  <c r="F49" i="3"/>
  <c r="N49" i="3"/>
  <c r="O49" i="3"/>
  <c r="F50" i="3"/>
  <c r="N50" i="3"/>
  <c r="O50" i="3"/>
  <c r="F51" i="3"/>
  <c r="N51" i="3"/>
  <c r="O51" i="3"/>
  <c r="F52" i="3"/>
  <c r="N52" i="3"/>
  <c r="O52" i="3"/>
  <c r="F53" i="3"/>
  <c r="N53" i="3"/>
  <c r="O53" i="3"/>
  <c r="F54" i="3"/>
  <c r="N54" i="3"/>
  <c r="O54" i="3"/>
  <c r="F55" i="3"/>
  <c r="N55" i="3"/>
  <c r="O55" i="3"/>
  <c r="F56" i="3"/>
  <c r="N56" i="3"/>
  <c r="O56" i="3"/>
  <c r="F57" i="3"/>
  <c r="N57" i="3"/>
  <c r="O57" i="3"/>
  <c r="F58" i="3"/>
  <c r="N58" i="3"/>
  <c r="O58" i="3"/>
  <c r="F59" i="3"/>
  <c r="N59" i="3"/>
  <c r="O59" i="3"/>
  <c r="F60" i="3"/>
  <c r="N60" i="3"/>
  <c r="O60" i="3"/>
  <c r="F61" i="3"/>
  <c r="N61" i="3"/>
  <c r="O61" i="3"/>
  <c r="F62" i="3"/>
  <c r="N62" i="3"/>
  <c r="O62" i="3"/>
  <c r="F63" i="3"/>
  <c r="N63" i="3"/>
  <c r="O63" i="3"/>
  <c r="F64" i="3"/>
  <c r="N64" i="3"/>
  <c r="O64" i="3"/>
  <c r="F65" i="3"/>
  <c r="N65" i="3"/>
  <c r="O65" i="3"/>
  <c r="F66" i="3"/>
  <c r="N66" i="3"/>
  <c r="O66" i="3"/>
  <c r="F67" i="3"/>
  <c r="N67" i="3"/>
  <c r="O67" i="3"/>
  <c r="F68" i="3"/>
  <c r="N68" i="3"/>
  <c r="O68" i="3"/>
  <c r="F69" i="3"/>
  <c r="N69" i="3"/>
  <c r="O69" i="3"/>
  <c r="F70" i="3"/>
  <c r="N70" i="3"/>
  <c r="O70" i="3"/>
  <c r="F71" i="3"/>
  <c r="N71" i="3"/>
  <c r="O71" i="3"/>
  <c r="F72" i="3"/>
  <c r="N72" i="3"/>
  <c r="O72" i="3"/>
  <c r="E2" i="4"/>
  <c r="E8" i="4" s="1"/>
  <c r="E22" i="4"/>
  <c r="E44" i="4"/>
  <c r="E59" i="4"/>
  <c r="A1" i="5"/>
  <c r="C2" i="5"/>
  <c r="C5" i="5"/>
  <c r="F5" i="5"/>
  <c r="C6" i="5"/>
  <c r="C9" i="5"/>
  <c r="C10" i="5"/>
  <c r="E10" i="5"/>
  <c r="E22" i="5"/>
  <c r="E21" i="5"/>
  <c r="E23" i="5"/>
  <c r="E27" i="5"/>
  <c r="G27" i="5"/>
  <c r="E28" i="5"/>
  <c r="G28" i="5"/>
  <c r="E29" i="5"/>
  <c r="G29" i="5"/>
  <c r="E30" i="5"/>
  <c r="G30" i="5"/>
  <c r="E31" i="5"/>
  <c r="G31" i="5"/>
  <c r="E32" i="5"/>
  <c r="G32" i="5"/>
  <c r="G33" i="5"/>
  <c r="E36" i="5"/>
  <c r="G36" i="5"/>
  <c r="E37" i="5"/>
  <c r="G37" i="5"/>
  <c r="E40" i="5"/>
  <c r="G40" i="5"/>
  <c r="E41" i="5"/>
  <c r="G41" i="5"/>
  <c r="E42" i="5"/>
  <c r="G42" i="5"/>
  <c r="E43" i="5"/>
  <c r="G43" i="5"/>
  <c r="E46" i="5"/>
  <c r="G46" i="5"/>
  <c r="E47" i="5"/>
  <c r="G47" i="5"/>
  <c r="E48" i="5"/>
  <c r="G48" i="5"/>
  <c r="E49" i="5"/>
  <c r="G49" i="5"/>
  <c r="E50" i="5"/>
  <c r="G50" i="5"/>
  <c r="E51" i="5"/>
  <c r="G51" i="5"/>
  <c r="E52" i="5"/>
  <c r="G52" i="5"/>
  <c r="E55" i="5"/>
  <c r="D30" i="6" s="1"/>
  <c r="E30" i="6" s="1"/>
  <c r="G55" i="5"/>
  <c r="F30" i="6" s="1"/>
  <c r="G30" i="6" s="1"/>
  <c r="E57" i="5"/>
  <c r="D32" i="6" s="1"/>
  <c r="G57" i="5"/>
  <c r="F32" i="6" s="1"/>
  <c r="G32" i="6" s="1"/>
  <c r="E60" i="5"/>
  <c r="G60" i="5"/>
  <c r="E61" i="5"/>
  <c r="E65" i="5"/>
  <c r="G65" i="5"/>
  <c r="E66" i="5"/>
  <c r="G66" i="5"/>
  <c r="E68" i="5"/>
  <c r="G68" i="5"/>
  <c r="E69" i="5"/>
  <c r="G69" i="5"/>
  <c r="E70" i="5"/>
  <c r="G70" i="5"/>
  <c r="E71" i="5"/>
  <c r="G71" i="5"/>
  <c r="A75" i="5"/>
  <c r="A76" i="5"/>
  <c r="A77" i="5"/>
  <c r="A1" i="6"/>
  <c r="C3" i="6"/>
  <c r="C7" i="6"/>
  <c r="E7" i="6"/>
  <c r="C8" i="6"/>
  <c r="C11" i="6"/>
  <c r="C12" i="6"/>
  <c r="E12" i="6"/>
  <c r="G12" i="6"/>
  <c r="F15" i="6"/>
  <c r="B51" i="6"/>
  <c r="B52" i="6"/>
  <c r="B53" i="6"/>
  <c r="B2" i="7"/>
  <c r="R2" i="7"/>
  <c r="AD2" i="7"/>
  <c r="AP2" i="7"/>
  <c r="BB2" i="7"/>
  <c r="B5" i="7"/>
  <c r="F5" i="7"/>
  <c r="R5" i="7"/>
  <c r="Z5" i="7"/>
  <c r="AD5" i="7"/>
  <c r="AL5" i="7"/>
  <c r="AP5" i="7"/>
  <c r="AX5" i="7"/>
  <c r="BB5" i="7"/>
  <c r="BJ5" i="7"/>
  <c r="B6" i="7"/>
  <c r="R6" i="7"/>
  <c r="AD6" i="7"/>
  <c r="AP6" i="7"/>
  <c r="BB6" i="7"/>
  <c r="AA7" i="7"/>
  <c r="AM7" i="7"/>
  <c r="AY7" i="7"/>
  <c r="BK7" i="7"/>
  <c r="B9" i="7"/>
  <c r="L9" i="7"/>
  <c r="N9" i="7"/>
  <c r="P9" i="7"/>
  <c r="R9" i="7"/>
  <c r="Z9" i="7"/>
  <c r="AA9" i="7"/>
  <c r="AB9" i="7"/>
  <c r="AD9" i="7"/>
  <c r="AL9" i="7"/>
  <c r="AM9" i="7"/>
  <c r="AN9" i="7"/>
  <c r="AP9" i="7"/>
  <c r="AX9" i="7"/>
  <c r="AY9" i="7"/>
  <c r="AZ9" i="7"/>
  <c r="BB9" i="7"/>
  <c r="BJ9" i="7"/>
  <c r="BK9" i="7"/>
  <c r="BL9" i="7"/>
  <c r="A10" i="7"/>
  <c r="G10" i="7"/>
  <c r="Q10" i="7"/>
  <c r="V10" i="7"/>
  <c r="AC10" i="7"/>
  <c r="AH10" i="7"/>
  <c r="AO10" i="7"/>
  <c r="AT10" i="7"/>
  <c r="BA10" i="7"/>
  <c r="BF10" i="7"/>
  <c r="G11" i="7"/>
  <c r="V11" i="7"/>
  <c r="AH11" i="7"/>
  <c r="AT11" i="7"/>
  <c r="BF11" i="7"/>
  <c r="Q12" i="7"/>
  <c r="AC12" i="7"/>
  <c r="AO12" i="7"/>
  <c r="BA12" i="7" s="1"/>
  <c r="A13" i="7"/>
  <c r="AO13" i="7" s="1"/>
  <c r="Q13" i="7"/>
  <c r="AC13" i="7"/>
  <c r="BA13" i="7"/>
  <c r="E14" i="7"/>
  <c r="G14" i="8" s="1"/>
  <c r="F14" i="7"/>
  <c r="H14" i="8" s="1"/>
  <c r="G14" i="7"/>
  <c r="H14" i="7"/>
  <c r="J14" i="8" s="1"/>
  <c r="I14" i="7"/>
  <c r="K14" i="8" s="1"/>
  <c r="J14" i="7"/>
  <c r="L14" i="8" s="1"/>
  <c r="K14" i="7"/>
  <c r="L14" i="7"/>
  <c r="M14" i="7"/>
  <c r="O14" i="8" s="1"/>
  <c r="N14" i="7"/>
  <c r="O14" i="7"/>
  <c r="P14" i="7"/>
  <c r="R14" i="8" s="1"/>
  <c r="Q14" i="7"/>
  <c r="S14" i="8" s="1"/>
  <c r="R14" i="7"/>
  <c r="S14" i="7"/>
  <c r="T14" i="7"/>
  <c r="V14" i="8" s="1"/>
  <c r="U14" i="7"/>
  <c r="W14" i="8" s="1"/>
  <c r="V14" i="7"/>
  <c r="X14" i="8" s="1"/>
  <c r="W14" i="7"/>
  <c r="X14" i="7"/>
  <c r="Y14" i="7"/>
  <c r="AA14" i="8" s="1"/>
  <c r="Z14" i="7"/>
  <c r="AB14" i="8" s="1"/>
  <c r="AA14" i="7"/>
  <c r="AB14" i="7"/>
  <c r="AD14" i="8" s="1"/>
  <c r="AC14" i="7"/>
  <c r="AE14" i="8" s="1"/>
  <c r="AD14" i="7"/>
  <c r="AE14" i="7"/>
  <c r="AF14" i="7"/>
  <c r="AH14" i="8" s="1"/>
  <c r="AG14" i="7"/>
  <c r="AI14" i="8" s="1"/>
  <c r="AH14" i="7"/>
  <c r="AI14" i="7"/>
  <c r="AJ14" i="7"/>
  <c r="AK14" i="7"/>
  <c r="AM14" i="8" s="1"/>
  <c r="AL14" i="7"/>
  <c r="AN14" i="8" s="1"/>
  <c r="AM14" i="7"/>
  <c r="AN14" i="7"/>
  <c r="AP14" i="8" s="1"/>
  <c r="AO14" i="7"/>
  <c r="AQ14" i="8" s="1"/>
  <c r="AP14" i="7"/>
  <c r="AR14" i="8" s="1"/>
  <c r="AQ14" i="7"/>
  <c r="AR14" i="7"/>
  <c r="AS14" i="7"/>
  <c r="AU14" i="8" s="1"/>
  <c r="AT14" i="7"/>
  <c r="AU14" i="7"/>
  <c r="AV14" i="7"/>
  <c r="AX14" i="8" s="1"/>
  <c r="AW14" i="7"/>
  <c r="AY14" i="8" s="1"/>
  <c r="AX14" i="7"/>
  <c r="AY14" i="7"/>
  <c r="AZ14" i="7"/>
  <c r="BB14" i="8" s="1"/>
  <c r="BA14" i="7"/>
  <c r="BC14" i="8" s="1"/>
  <c r="BB14" i="7"/>
  <c r="BD14" i="8" s="1"/>
  <c r="BC14" i="7"/>
  <c r="BD14" i="7"/>
  <c r="BE14" i="7"/>
  <c r="BG14" i="8" s="1"/>
  <c r="BF14" i="7"/>
  <c r="BH14" i="8" s="1"/>
  <c r="BG14" i="7"/>
  <c r="BH14" i="7"/>
  <c r="BJ14" i="8" s="1"/>
  <c r="BI14" i="7"/>
  <c r="BK14" i="8" s="1"/>
  <c r="BJ14" i="7"/>
  <c r="BK14" i="7"/>
  <c r="BL14" i="7"/>
  <c r="BN14" i="8" s="1"/>
  <c r="E15" i="7"/>
  <c r="G15" i="8" s="1"/>
  <c r="F15" i="7"/>
  <c r="G15" i="7"/>
  <c r="H15" i="7"/>
  <c r="I15" i="7"/>
  <c r="K15" i="8" s="1"/>
  <c r="J15" i="7"/>
  <c r="L15" i="8" s="1"/>
  <c r="K15" i="7"/>
  <c r="L15" i="7"/>
  <c r="N15" i="8" s="1"/>
  <c r="M15" i="7"/>
  <c r="O15" i="8" s="1"/>
  <c r="N15" i="7"/>
  <c r="P15" i="8" s="1"/>
  <c r="O15" i="7"/>
  <c r="P15" i="7"/>
  <c r="Q15" i="7"/>
  <c r="S15" i="8" s="1"/>
  <c r="R15" i="7"/>
  <c r="S15" i="7"/>
  <c r="T15" i="7"/>
  <c r="V15" i="8" s="1"/>
  <c r="U15" i="7"/>
  <c r="W15" i="8" s="1"/>
  <c r="V15" i="7"/>
  <c r="W15" i="7"/>
  <c r="X15" i="7"/>
  <c r="Z15" i="8" s="1"/>
  <c r="Y15" i="7"/>
  <c r="AA15" i="8" s="1"/>
  <c r="Z15" i="7"/>
  <c r="AB15" i="8" s="1"/>
  <c r="AA15" i="7"/>
  <c r="AB15" i="7"/>
  <c r="AC15" i="7"/>
  <c r="AE15" i="8" s="1"/>
  <c r="AD15" i="7"/>
  <c r="AF15" i="8" s="1"/>
  <c r="AE15" i="7"/>
  <c r="AF15" i="7"/>
  <c r="AH15" i="8" s="1"/>
  <c r="AG15" i="7"/>
  <c r="AI15" i="8" s="1"/>
  <c r="AH15" i="7"/>
  <c r="AI15" i="7"/>
  <c r="AJ15" i="7"/>
  <c r="AL15" i="8" s="1"/>
  <c r="AK15" i="7"/>
  <c r="AM15" i="8" s="1"/>
  <c r="AL15" i="7"/>
  <c r="AM15" i="7"/>
  <c r="AN15" i="7"/>
  <c r="AO15" i="7"/>
  <c r="AQ15" i="8" s="1"/>
  <c r="AP15" i="7"/>
  <c r="AR15" i="8" s="1"/>
  <c r="AQ15" i="7"/>
  <c r="AR15" i="7"/>
  <c r="AT15" i="8" s="1"/>
  <c r="AS15" i="7"/>
  <c r="AT15" i="7"/>
  <c r="AV15" i="8" s="1"/>
  <c r="AU15" i="7"/>
  <c r="AV15" i="7"/>
  <c r="AX15" i="8" s="1"/>
  <c r="AW15" i="7"/>
  <c r="AX15" i="7"/>
  <c r="AZ15" i="8" s="1"/>
  <c r="AY15" i="7"/>
  <c r="AZ15" i="7"/>
  <c r="BA15" i="7"/>
  <c r="BB15" i="7"/>
  <c r="BD15" i="8" s="1"/>
  <c r="BC15" i="7"/>
  <c r="BD15" i="7"/>
  <c r="BF15" i="8" s="1"/>
  <c r="BE15" i="7"/>
  <c r="BF15" i="7"/>
  <c r="BH15" i="8" s="1"/>
  <c r="BG15" i="7"/>
  <c r="BH15" i="7"/>
  <c r="BJ15" i="8" s="1"/>
  <c r="BI15" i="7"/>
  <c r="BJ15" i="7"/>
  <c r="BL15" i="8" s="1"/>
  <c r="BK15" i="7"/>
  <c r="BL15" i="7"/>
  <c r="BN15" i="8" s="1"/>
  <c r="A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A18" i="7"/>
  <c r="A18" i="8" s="1"/>
  <c r="B20" i="7"/>
  <c r="C20" i="7"/>
  <c r="C21" i="8" s="1"/>
  <c r="E20" i="7"/>
  <c r="G20" i="8" s="1"/>
  <c r="F20" i="7"/>
  <c r="G20" i="7"/>
  <c r="H20" i="7"/>
  <c r="J20" i="8" s="1"/>
  <c r="I20" i="7"/>
  <c r="K20" i="8" s="1"/>
  <c r="J20" i="7"/>
  <c r="L20" i="8" s="1"/>
  <c r="K20" i="7"/>
  <c r="L20" i="7"/>
  <c r="N20" i="8" s="1"/>
  <c r="M20" i="7"/>
  <c r="O20" i="8" s="1"/>
  <c r="N20" i="7"/>
  <c r="P20" i="8" s="1"/>
  <c r="O20" i="7"/>
  <c r="P20" i="7"/>
  <c r="R20" i="8" s="1"/>
  <c r="Q20" i="7"/>
  <c r="S20" i="8" s="1"/>
  <c r="R20" i="7"/>
  <c r="T20" i="8" s="1"/>
  <c r="S20" i="7"/>
  <c r="T20" i="7"/>
  <c r="V20" i="8" s="1"/>
  <c r="U20" i="7"/>
  <c r="W20" i="8" s="1"/>
  <c r="V20" i="7"/>
  <c r="X20" i="8" s="1"/>
  <c r="W20" i="7"/>
  <c r="X20" i="7"/>
  <c r="Z20" i="8" s="1"/>
  <c r="Y20" i="7"/>
  <c r="AA20" i="8" s="1"/>
  <c r="Z20" i="7"/>
  <c r="AB20" i="8" s="1"/>
  <c r="AA20" i="7"/>
  <c r="AB20" i="7"/>
  <c r="AD20" i="8" s="1"/>
  <c r="AC20" i="7"/>
  <c r="AE20" i="8" s="1"/>
  <c r="AD20" i="7"/>
  <c r="AF20" i="8" s="1"/>
  <c r="AE20" i="7"/>
  <c r="AF20" i="7"/>
  <c r="AH20" i="8" s="1"/>
  <c r="AG20" i="7"/>
  <c r="AI20" i="8" s="1"/>
  <c r="AH20" i="7"/>
  <c r="AJ20" i="8" s="1"/>
  <c r="AI20" i="7"/>
  <c r="AJ20" i="7"/>
  <c r="AL20" i="8" s="1"/>
  <c r="AK20" i="7"/>
  <c r="AM20" i="8" s="1"/>
  <c r="AL20" i="7"/>
  <c r="AN20" i="8" s="1"/>
  <c r="AM20" i="7"/>
  <c r="AN20" i="7"/>
  <c r="AP20" i="8" s="1"/>
  <c r="AO20" i="7"/>
  <c r="AQ20" i="8" s="1"/>
  <c r="AP20" i="7"/>
  <c r="AR20" i="8" s="1"/>
  <c r="AQ20" i="7"/>
  <c r="AR20" i="7"/>
  <c r="AT20" i="8" s="1"/>
  <c r="AS20" i="7"/>
  <c r="AU20" i="8" s="1"/>
  <c r="AT20" i="7"/>
  <c r="AV20" i="8" s="1"/>
  <c r="AU20" i="7"/>
  <c r="AV20" i="7"/>
  <c r="AX20" i="8" s="1"/>
  <c r="AW20" i="7"/>
  <c r="AY20" i="8" s="1"/>
  <c r="AX20" i="7"/>
  <c r="AZ20" i="8" s="1"/>
  <c r="AY20" i="7"/>
  <c r="AZ20" i="7"/>
  <c r="BB20" i="8" s="1"/>
  <c r="BA20" i="7"/>
  <c r="BC20" i="8" s="1"/>
  <c r="BB20" i="7"/>
  <c r="BD20" i="8" s="1"/>
  <c r="BC20" i="7"/>
  <c r="BD20" i="7"/>
  <c r="BF20" i="8" s="1"/>
  <c r="BE20" i="7"/>
  <c r="BG20" i="8" s="1"/>
  <c r="BF20" i="7"/>
  <c r="BH20" i="8" s="1"/>
  <c r="BG20" i="7"/>
  <c r="BH20" i="7"/>
  <c r="BJ20" i="8" s="1"/>
  <c r="BI20" i="7"/>
  <c r="BK20" i="8" s="1"/>
  <c r="BJ20" i="7"/>
  <c r="BL20" i="8" s="1"/>
  <c r="BK20" i="7"/>
  <c r="BL20" i="7"/>
  <c r="BN20" i="8" s="1"/>
  <c r="B22" i="7"/>
  <c r="B24" i="8" s="1"/>
  <c r="C22" i="7"/>
  <c r="C24" i="8" s="1"/>
  <c r="E22" i="7"/>
  <c r="G23" i="8" s="1"/>
  <c r="F22" i="7"/>
  <c r="G22" i="7"/>
  <c r="I23" i="8" s="1"/>
  <c r="H22" i="7"/>
  <c r="J23" i="8" s="1"/>
  <c r="I22" i="7"/>
  <c r="J22" i="7"/>
  <c r="L23" i="8" s="1"/>
  <c r="K22" i="7"/>
  <c r="L22" i="7"/>
  <c r="N23" i="8" s="1"/>
  <c r="M22" i="7"/>
  <c r="O23" i="8" s="1"/>
  <c r="N22" i="7"/>
  <c r="P23" i="8" s="1"/>
  <c r="O22" i="7"/>
  <c r="Q23" i="8" s="1"/>
  <c r="P22" i="7"/>
  <c r="R23" i="8" s="1"/>
  <c r="Q22" i="7"/>
  <c r="R22" i="7"/>
  <c r="T23" i="8" s="1"/>
  <c r="S22" i="7"/>
  <c r="U23" i="8" s="1"/>
  <c r="T22" i="7"/>
  <c r="V23" i="8" s="1"/>
  <c r="U22" i="7"/>
  <c r="V22" i="7"/>
  <c r="X23" i="8" s="1"/>
  <c r="W22" i="7"/>
  <c r="Y23" i="8" s="1"/>
  <c r="X22" i="7"/>
  <c r="Z23" i="8" s="1"/>
  <c r="Y22" i="7"/>
  <c r="Z22" i="7"/>
  <c r="AB23" i="8" s="1"/>
  <c r="AA22" i="7"/>
  <c r="AC23" i="8" s="1"/>
  <c r="AB22" i="7"/>
  <c r="AD23" i="8" s="1"/>
  <c r="AC22" i="7"/>
  <c r="AE23" i="8" s="1"/>
  <c r="AD22" i="7"/>
  <c r="AF23" i="8" s="1"/>
  <c r="AE22" i="7"/>
  <c r="AG23" i="8" s="1"/>
  <c r="AF22" i="7"/>
  <c r="AH23" i="8" s="1"/>
  <c r="AG22" i="7"/>
  <c r="AH22" i="7"/>
  <c r="AJ23" i="8" s="1"/>
  <c r="AI22" i="7"/>
  <c r="AK23" i="8" s="1"/>
  <c r="AJ22" i="7"/>
  <c r="AL23" i="8" s="1"/>
  <c r="AK22" i="7"/>
  <c r="AL22" i="7"/>
  <c r="AN23" i="8" s="1"/>
  <c r="AM22" i="7"/>
  <c r="AO23" i="8" s="1"/>
  <c r="AN22" i="7"/>
  <c r="AP23" i="8" s="1"/>
  <c r="AO22" i="7"/>
  <c r="AP22" i="7"/>
  <c r="AR23" i="8" s="1"/>
  <c r="AQ22" i="7"/>
  <c r="AS23" i="8" s="1"/>
  <c r="AR22" i="7"/>
  <c r="AT23" i="8" s="1"/>
  <c r="AS22" i="7"/>
  <c r="AU23" i="8" s="1"/>
  <c r="AT22" i="7"/>
  <c r="AV23" i="8" s="1"/>
  <c r="AU22" i="7"/>
  <c r="AW23" i="8" s="1"/>
  <c r="AV22" i="7"/>
  <c r="AX23" i="8" s="1"/>
  <c r="AW22" i="7"/>
  <c r="AY23" i="8" s="1"/>
  <c r="AX22" i="7"/>
  <c r="AZ23" i="8" s="1"/>
  <c r="AY22" i="7"/>
  <c r="BA23" i="8" s="1"/>
  <c r="AZ22" i="7"/>
  <c r="BB23" i="8" s="1"/>
  <c r="BA22" i="7"/>
  <c r="BB22" i="7"/>
  <c r="BD23" i="8" s="1"/>
  <c r="BC22" i="7"/>
  <c r="BE23" i="8" s="1"/>
  <c r="BD22" i="7"/>
  <c r="BF23" i="8" s="1"/>
  <c r="BE22" i="7"/>
  <c r="BG23" i="8" s="1"/>
  <c r="BF22" i="7"/>
  <c r="BH23" i="8" s="1"/>
  <c r="BG22" i="7"/>
  <c r="BI23" i="8" s="1"/>
  <c r="BH22" i="7"/>
  <c r="BJ23" i="8" s="1"/>
  <c r="BI22" i="7"/>
  <c r="BJ22" i="7"/>
  <c r="BL23" i="8" s="1"/>
  <c r="BK22" i="7"/>
  <c r="BM23" i="8" s="1"/>
  <c r="BL22" i="7"/>
  <c r="BN23" i="8" s="1"/>
  <c r="B24" i="7"/>
  <c r="C24" i="7"/>
  <c r="C27" i="8" s="1"/>
  <c r="E24" i="7"/>
  <c r="F24" i="7"/>
  <c r="H26" i="8" s="1"/>
  <c r="G24" i="7"/>
  <c r="H24" i="7"/>
  <c r="J26" i="8" s="1"/>
  <c r="I24" i="7"/>
  <c r="K26" i="8" s="1"/>
  <c r="J24" i="7"/>
  <c r="L26" i="8" s="1"/>
  <c r="K24" i="7"/>
  <c r="L24" i="7"/>
  <c r="N26" i="8" s="1"/>
  <c r="M24" i="7"/>
  <c r="O26" i="8" s="1"/>
  <c r="N24" i="7"/>
  <c r="P26" i="8" s="1"/>
  <c r="P27" i="8" s="1"/>
  <c r="O24" i="7"/>
  <c r="P24" i="7"/>
  <c r="R26" i="8" s="1"/>
  <c r="Q24" i="7"/>
  <c r="S26" i="8" s="1"/>
  <c r="R24" i="7"/>
  <c r="T26" i="8" s="1"/>
  <c r="S24" i="7"/>
  <c r="T24" i="7"/>
  <c r="V26" i="8" s="1"/>
  <c r="U24" i="7"/>
  <c r="W26" i="8" s="1"/>
  <c r="V24" i="7"/>
  <c r="X26" i="8" s="1"/>
  <c r="W24" i="7"/>
  <c r="X24" i="7"/>
  <c r="Z26" i="8" s="1"/>
  <c r="Y24" i="7"/>
  <c r="AA26" i="8" s="1"/>
  <c r="Z24" i="7"/>
  <c r="AB26" i="8" s="1"/>
  <c r="AA24" i="7"/>
  <c r="AB24" i="7"/>
  <c r="AD26" i="8" s="1"/>
  <c r="AC24" i="7"/>
  <c r="AE26" i="8" s="1"/>
  <c r="AD24" i="7"/>
  <c r="AF26" i="8" s="1"/>
  <c r="AE24" i="7"/>
  <c r="AF24" i="7"/>
  <c r="AH26" i="8" s="1"/>
  <c r="AG24" i="7"/>
  <c r="AI26" i="8" s="1"/>
  <c r="AH24" i="7"/>
  <c r="AJ26" i="8" s="1"/>
  <c r="AI24" i="7"/>
  <c r="AJ24" i="7"/>
  <c r="AL26" i="8" s="1"/>
  <c r="AK24" i="7"/>
  <c r="AM26" i="8" s="1"/>
  <c r="AL24" i="7"/>
  <c r="AN26" i="8" s="1"/>
  <c r="AM24" i="7"/>
  <c r="AN24" i="7"/>
  <c r="AP26" i="8" s="1"/>
  <c r="AO24" i="7"/>
  <c r="AQ26" i="8" s="1"/>
  <c r="AP24" i="7"/>
  <c r="AR26" i="8" s="1"/>
  <c r="AQ24" i="7"/>
  <c r="AR24" i="7"/>
  <c r="AT26" i="8" s="1"/>
  <c r="AS24" i="7"/>
  <c r="AU26" i="8" s="1"/>
  <c r="AT24" i="7"/>
  <c r="AV26" i="8" s="1"/>
  <c r="AU24" i="7"/>
  <c r="AV24" i="7"/>
  <c r="AX26" i="8" s="1"/>
  <c r="AW24" i="7"/>
  <c r="AY26" i="8" s="1"/>
  <c r="AX24" i="7"/>
  <c r="AZ26" i="8" s="1"/>
  <c r="AY24" i="7"/>
  <c r="AZ24" i="7"/>
  <c r="BB26" i="8" s="1"/>
  <c r="BA24" i="7"/>
  <c r="BC26" i="8" s="1"/>
  <c r="BB24" i="7"/>
  <c r="BD26" i="8" s="1"/>
  <c r="BC24" i="7"/>
  <c r="BD24" i="7"/>
  <c r="BF26" i="8" s="1"/>
  <c r="BE24" i="7"/>
  <c r="BG26" i="8" s="1"/>
  <c r="BF24" i="7"/>
  <c r="BH26" i="8" s="1"/>
  <c r="BH27" i="8" s="1"/>
  <c r="BG24" i="7"/>
  <c r="BH24" i="7"/>
  <c r="BJ26" i="8" s="1"/>
  <c r="BI24" i="7"/>
  <c r="BK26" i="8" s="1"/>
  <c r="BJ24" i="7"/>
  <c r="BL26" i="8" s="1"/>
  <c r="BK24" i="7"/>
  <c r="BL24" i="7"/>
  <c r="BN26" i="8" s="1"/>
  <c r="B26" i="7"/>
  <c r="B30" i="8" s="1"/>
  <c r="C26" i="7"/>
  <c r="C30" i="8" s="1"/>
  <c r="E26" i="7"/>
  <c r="F26" i="7"/>
  <c r="H29" i="8" s="1"/>
  <c r="G26" i="7"/>
  <c r="I29" i="8" s="1"/>
  <c r="H26" i="7"/>
  <c r="J29" i="8" s="1"/>
  <c r="I26" i="7"/>
  <c r="J26" i="7"/>
  <c r="L29" i="8" s="1"/>
  <c r="K26" i="7"/>
  <c r="M29" i="8" s="1"/>
  <c r="L26" i="7"/>
  <c r="M26" i="7"/>
  <c r="N26" i="7"/>
  <c r="P29" i="8" s="1"/>
  <c r="O26" i="7"/>
  <c r="Q29" i="8" s="1"/>
  <c r="P26" i="7"/>
  <c r="R29" i="8" s="1"/>
  <c r="Q26" i="7"/>
  <c r="R26" i="7"/>
  <c r="T29" i="8" s="1"/>
  <c r="S26" i="7"/>
  <c r="U29" i="8" s="1"/>
  <c r="T26" i="7"/>
  <c r="U26" i="7"/>
  <c r="V26" i="7"/>
  <c r="X29" i="8" s="1"/>
  <c r="W26" i="7"/>
  <c r="Y29" i="8" s="1"/>
  <c r="X26" i="7"/>
  <c r="Z29" i="8" s="1"/>
  <c r="Y26" i="7"/>
  <c r="Z26" i="7"/>
  <c r="AB29" i="8" s="1"/>
  <c r="AA26" i="7"/>
  <c r="AC29" i="8" s="1"/>
  <c r="AB26" i="7"/>
  <c r="AC26" i="7"/>
  <c r="AD26" i="7"/>
  <c r="AF29" i="8" s="1"/>
  <c r="AE26" i="7"/>
  <c r="AF26" i="7"/>
  <c r="AH29" i="8" s="1"/>
  <c r="AG26" i="7"/>
  <c r="AH26" i="7"/>
  <c r="AJ29" i="8" s="1"/>
  <c r="AI26" i="7"/>
  <c r="AK29" i="8" s="1"/>
  <c r="AJ26" i="7"/>
  <c r="AL29" i="8" s="1"/>
  <c r="AK26" i="7"/>
  <c r="AL26" i="7"/>
  <c r="AN29" i="8" s="1"/>
  <c r="AM26" i="7"/>
  <c r="AO29" i="8" s="1"/>
  <c r="AN26" i="7"/>
  <c r="AP29" i="8" s="1"/>
  <c r="AO26" i="7"/>
  <c r="AP26" i="7"/>
  <c r="AR29" i="8" s="1"/>
  <c r="AQ26" i="7"/>
  <c r="AS29" i="8" s="1"/>
  <c r="AR26" i="7"/>
  <c r="AT29" i="8" s="1"/>
  <c r="AS26" i="7"/>
  <c r="AT26" i="7"/>
  <c r="AV29" i="8" s="1"/>
  <c r="AU26" i="7"/>
  <c r="AW29" i="8" s="1"/>
  <c r="AV26" i="7"/>
  <c r="AX29" i="8" s="1"/>
  <c r="AW26" i="7"/>
  <c r="AX26" i="7"/>
  <c r="AZ29" i="8" s="1"/>
  <c r="AY26" i="7"/>
  <c r="BA29" i="8" s="1"/>
  <c r="AZ26" i="7"/>
  <c r="BB29" i="8" s="1"/>
  <c r="BA26" i="7"/>
  <c r="BB26" i="7"/>
  <c r="BD29" i="8" s="1"/>
  <c r="BC26" i="7"/>
  <c r="BE29" i="8" s="1"/>
  <c r="BD26" i="7"/>
  <c r="BF29" i="8" s="1"/>
  <c r="BE26" i="7"/>
  <c r="BF26" i="7"/>
  <c r="BH29" i="8" s="1"/>
  <c r="BG26" i="7"/>
  <c r="BI29" i="8" s="1"/>
  <c r="BH26" i="7"/>
  <c r="BJ29" i="8" s="1"/>
  <c r="BI26" i="7"/>
  <c r="BJ26" i="7"/>
  <c r="BL29" i="8" s="1"/>
  <c r="BK26" i="7"/>
  <c r="BL26" i="7"/>
  <c r="B28" i="7"/>
  <c r="C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30" i="7"/>
  <c r="C30" i="7"/>
  <c r="C36" i="8" s="1"/>
  <c r="E30" i="7"/>
  <c r="F30" i="7"/>
  <c r="G30" i="7"/>
  <c r="I35" i="8" s="1"/>
  <c r="H30" i="7"/>
  <c r="J35" i="8" s="1"/>
  <c r="J36" i="8" s="1"/>
  <c r="I30" i="7"/>
  <c r="J30" i="7"/>
  <c r="K30" i="7"/>
  <c r="M35" i="8" s="1"/>
  <c r="L30" i="7"/>
  <c r="N35" i="8" s="1"/>
  <c r="M30" i="7"/>
  <c r="N30" i="7"/>
  <c r="O30" i="7"/>
  <c r="Q35" i="8" s="1"/>
  <c r="P30" i="7"/>
  <c r="Q30" i="7"/>
  <c r="R30" i="7"/>
  <c r="S30" i="7"/>
  <c r="U35" i="8" s="1"/>
  <c r="T30" i="7"/>
  <c r="V35" i="8" s="1"/>
  <c r="U30" i="7"/>
  <c r="V30" i="7"/>
  <c r="W30" i="7"/>
  <c r="Y35" i="8" s="1"/>
  <c r="X30" i="7"/>
  <c r="Z35" i="8" s="1"/>
  <c r="Z36" i="8" s="1"/>
  <c r="Y30" i="7"/>
  <c r="Z30" i="7"/>
  <c r="AA30" i="7"/>
  <c r="AC35" i="8" s="1"/>
  <c r="AB30" i="7"/>
  <c r="AD35" i="8" s="1"/>
  <c r="AC30" i="7"/>
  <c r="AD30" i="7"/>
  <c r="AE30" i="7"/>
  <c r="AG35" i="8" s="1"/>
  <c r="AF30" i="7"/>
  <c r="AG30" i="7"/>
  <c r="AH30" i="7"/>
  <c r="AI30" i="7"/>
  <c r="AK35" i="8" s="1"/>
  <c r="AJ30" i="7"/>
  <c r="AL35" i="8" s="1"/>
  <c r="AL36" i="8" s="1"/>
  <c r="AK30" i="7"/>
  <c r="AL30" i="7"/>
  <c r="AM30" i="7"/>
  <c r="AO35" i="8" s="1"/>
  <c r="AN30" i="7"/>
  <c r="AP35" i="8" s="1"/>
  <c r="AP36" i="8" s="1"/>
  <c r="AO30" i="7"/>
  <c r="AP30" i="7"/>
  <c r="AQ30" i="7"/>
  <c r="AS35" i="8" s="1"/>
  <c r="AR30" i="7"/>
  <c r="AT35" i="8" s="1"/>
  <c r="AS30" i="7"/>
  <c r="AT30" i="7"/>
  <c r="AU30" i="7"/>
  <c r="AW35" i="8" s="1"/>
  <c r="AV30" i="7"/>
  <c r="AW30" i="7"/>
  <c r="AX30" i="7"/>
  <c r="AY30" i="7"/>
  <c r="BA35" i="8" s="1"/>
  <c r="AZ30" i="7"/>
  <c r="BB35" i="8" s="1"/>
  <c r="BB36" i="8" s="1"/>
  <c r="BA30" i="7"/>
  <c r="BB30" i="7"/>
  <c r="BC30" i="7"/>
  <c r="BE35" i="8" s="1"/>
  <c r="BD30" i="7"/>
  <c r="BF35" i="8" s="1"/>
  <c r="BF36" i="8" s="1"/>
  <c r="BE30" i="7"/>
  <c r="BF30" i="7"/>
  <c r="BG30" i="7"/>
  <c r="BI35" i="8" s="1"/>
  <c r="BH30" i="7"/>
  <c r="BJ35" i="8" s="1"/>
  <c r="BI30" i="7"/>
  <c r="BJ30" i="7"/>
  <c r="BK30" i="7"/>
  <c r="BM35" i="8" s="1"/>
  <c r="BL30" i="7"/>
  <c r="B32" i="7"/>
  <c r="C32" i="7"/>
  <c r="E32" i="7"/>
  <c r="G38" i="8" s="1"/>
  <c r="F32" i="7"/>
  <c r="H38" i="8" s="1"/>
  <c r="G32" i="7"/>
  <c r="H32" i="7"/>
  <c r="J38" i="8" s="1"/>
  <c r="I32" i="7"/>
  <c r="K38" i="8" s="1"/>
  <c r="J32" i="7"/>
  <c r="L38" i="8" s="1"/>
  <c r="K32" i="7"/>
  <c r="L32" i="7"/>
  <c r="N38" i="8" s="1"/>
  <c r="M32" i="7"/>
  <c r="O38" i="8" s="1"/>
  <c r="N32" i="7"/>
  <c r="P38" i="8" s="1"/>
  <c r="O32" i="7"/>
  <c r="P32" i="7"/>
  <c r="Q32" i="7"/>
  <c r="S38" i="8" s="1"/>
  <c r="R32" i="7"/>
  <c r="T38" i="8" s="1"/>
  <c r="S32" i="7"/>
  <c r="T32" i="7"/>
  <c r="V38" i="8" s="1"/>
  <c r="U32" i="7"/>
  <c r="W38" i="8" s="1"/>
  <c r="V32" i="7"/>
  <c r="X38" i="8" s="1"/>
  <c r="W32" i="7"/>
  <c r="X32" i="7"/>
  <c r="Z38" i="8" s="1"/>
  <c r="Y32" i="7"/>
  <c r="AA38" i="8" s="1"/>
  <c r="Z32" i="7"/>
  <c r="AB38" i="8" s="1"/>
  <c r="AA32" i="7"/>
  <c r="AB32" i="7"/>
  <c r="AD38" i="8" s="1"/>
  <c r="AC32" i="7"/>
  <c r="AD32" i="7"/>
  <c r="AF38" i="8" s="1"/>
  <c r="AE32" i="7"/>
  <c r="AF32" i="7"/>
  <c r="AG32" i="7"/>
  <c r="AI38" i="8" s="1"/>
  <c r="AH32" i="7"/>
  <c r="AJ38" i="8" s="1"/>
  <c r="AI32" i="7"/>
  <c r="AJ32" i="7"/>
  <c r="AL38" i="8" s="1"/>
  <c r="AK32" i="7"/>
  <c r="AM38" i="8" s="1"/>
  <c r="AL32" i="7"/>
  <c r="AN38" i="8" s="1"/>
  <c r="AN39" i="8" s="1"/>
  <c r="AM32" i="7"/>
  <c r="AN32" i="7"/>
  <c r="AP38" i="8" s="1"/>
  <c r="AO32" i="7"/>
  <c r="AQ38" i="8" s="1"/>
  <c r="AP32" i="7"/>
  <c r="AR38" i="8" s="1"/>
  <c r="AQ32" i="7"/>
  <c r="AR32" i="7"/>
  <c r="AS32" i="7"/>
  <c r="AU38" i="8" s="1"/>
  <c r="AT32" i="7"/>
  <c r="AV38" i="8" s="1"/>
  <c r="AU32" i="7"/>
  <c r="AV32" i="7"/>
  <c r="AX38" i="8" s="1"/>
  <c r="AW32" i="7"/>
  <c r="AY38" i="8" s="1"/>
  <c r="AX32" i="7"/>
  <c r="AZ38" i="8" s="1"/>
  <c r="AY32" i="7"/>
  <c r="AZ32" i="7"/>
  <c r="BB38" i="8" s="1"/>
  <c r="BA32" i="7"/>
  <c r="BC38" i="8" s="1"/>
  <c r="BB32" i="7"/>
  <c r="BD38" i="8" s="1"/>
  <c r="BC32" i="7"/>
  <c r="BD32" i="7"/>
  <c r="BE32" i="7"/>
  <c r="BG38" i="8" s="1"/>
  <c r="BF32" i="7"/>
  <c r="BH38" i="8" s="1"/>
  <c r="BG32" i="7"/>
  <c r="BH32" i="7"/>
  <c r="BJ38" i="8" s="1"/>
  <c r="BI32" i="7"/>
  <c r="BK38" i="8" s="1"/>
  <c r="BJ32" i="7"/>
  <c r="BL38" i="8" s="1"/>
  <c r="BK32" i="7"/>
  <c r="BL32" i="7"/>
  <c r="B34" i="7"/>
  <c r="B42" i="8" s="1"/>
  <c r="C34" i="7"/>
  <c r="C42" i="8" s="1"/>
  <c r="E34" i="7"/>
  <c r="F34" i="7"/>
  <c r="H41" i="8" s="1"/>
  <c r="G34" i="7"/>
  <c r="I41" i="8" s="1"/>
  <c r="H34" i="7"/>
  <c r="J41" i="8" s="1"/>
  <c r="I34" i="7"/>
  <c r="J34" i="7"/>
  <c r="L41" i="8" s="1"/>
  <c r="K34" i="7"/>
  <c r="M41" i="8" s="1"/>
  <c r="L34" i="7"/>
  <c r="M34" i="7"/>
  <c r="N34" i="7"/>
  <c r="P41" i="8" s="1"/>
  <c r="O34" i="7"/>
  <c r="P34" i="7"/>
  <c r="R41" i="8" s="1"/>
  <c r="Q34" i="7"/>
  <c r="R34" i="7"/>
  <c r="T41" i="8" s="1"/>
  <c r="S34" i="7"/>
  <c r="U41" i="8" s="1"/>
  <c r="T34" i="7"/>
  <c r="V41" i="8" s="1"/>
  <c r="U34" i="7"/>
  <c r="V34" i="7"/>
  <c r="X41" i="8" s="1"/>
  <c r="W34" i="7"/>
  <c r="Y41" i="8" s="1"/>
  <c r="X34" i="7"/>
  <c r="Z41" i="8" s="1"/>
  <c r="Y34" i="7"/>
  <c r="Z34" i="7"/>
  <c r="AB41" i="8" s="1"/>
  <c r="AA34" i="7"/>
  <c r="AC41" i="8" s="1"/>
  <c r="AB34" i="7"/>
  <c r="AD41" i="8" s="1"/>
  <c r="AC34" i="7"/>
  <c r="AD34" i="7"/>
  <c r="AF41" i="8" s="1"/>
  <c r="AE34" i="7"/>
  <c r="AG41" i="8" s="1"/>
  <c r="AF34" i="7"/>
  <c r="AH41" i="8" s="1"/>
  <c r="AG34" i="7"/>
  <c r="AH34" i="7"/>
  <c r="AJ41" i="8" s="1"/>
  <c r="AI34" i="7"/>
  <c r="AK41" i="8" s="1"/>
  <c r="AJ34" i="7"/>
  <c r="AL41" i="8" s="1"/>
  <c r="AK34" i="7"/>
  <c r="AL34" i="7"/>
  <c r="AN41" i="8" s="1"/>
  <c r="AM34" i="7"/>
  <c r="AO41" i="8" s="1"/>
  <c r="AN34" i="7"/>
  <c r="AP41" i="8" s="1"/>
  <c r="AO34" i="7"/>
  <c r="AP34" i="7"/>
  <c r="AR41" i="8" s="1"/>
  <c r="AQ34" i="7"/>
  <c r="AS41" i="8" s="1"/>
  <c r="AR34" i="7"/>
  <c r="AT41" i="8" s="1"/>
  <c r="AS34" i="7"/>
  <c r="AT34" i="7"/>
  <c r="AV41" i="8" s="1"/>
  <c r="AU34" i="7"/>
  <c r="AV34" i="7"/>
  <c r="AW34" i="7"/>
  <c r="AX34" i="7"/>
  <c r="AZ41" i="8" s="1"/>
  <c r="AY34" i="7"/>
  <c r="BA41" i="8" s="1"/>
  <c r="AZ34" i="7"/>
  <c r="BB41" i="8" s="1"/>
  <c r="BA34" i="7"/>
  <c r="BB34" i="7"/>
  <c r="BD41" i="8" s="1"/>
  <c r="BC34" i="7"/>
  <c r="BE41" i="8" s="1"/>
  <c r="BD34" i="7"/>
  <c r="BE34" i="7"/>
  <c r="BF34" i="7"/>
  <c r="BH41" i="8" s="1"/>
  <c r="BG34" i="7"/>
  <c r="BI41" i="8" s="1"/>
  <c r="BH34" i="7"/>
  <c r="BJ41" i="8" s="1"/>
  <c r="BI34" i="7"/>
  <c r="BJ34" i="7"/>
  <c r="BL41" i="8" s="1"/>
  <c r="BK34" i="7"/>
  <c r="BM41" i="8" s="1"/>
  <c r="BL34" i="7"/>
  <c r="B36" i="7"/>
  <c r="C36" i="7"/>
  <c r="E36" i="7"/>
  <c r="G44" i="8" s="1"/>
  <c r="F36" i="7"/>
  <c r="H44" i="8" s="1"/>
  <c r="G36" i="7"/>
  <c r="H36" i="7"/>
  <c r="I36" i="7"/>
  <c r="K44" i="8" s="1"/>
  <c r="J36" i="7"/>
  <c r="L44" i="8" s="1"/>
  <c r="K36" i="7"/>
  <c r="L36" i="7"/>
  <c r="M36" i="7"/>
  <c r="O44" i="8" s="1"/>
  <c r="N36" i="7"/>
  <c r="P44" i="8" s="1"/>
  <c r="O36" i="7"/>
  <c r="P36" i="7"/>
  <c r="Q36" i="7"/>
  <c r="S44" i="8" s="1"/>
  <c r="R36" i="7"/>
  <c r="S36" i="7"/>
  <c r="T36" i="7"/>
  <c r="U36" i="7"/>
  <c r="W44" i="8" s="1"/>
  <c r="V36" i="7"/>
  <c r="X44" i="8" s="1"/>
  <c r="W36" i="7"/>
  <c r="X36" i="7"/>
  <c r="Y36" i="7"/>
  <c r="AA44" i="8" s="1"/>
  <c r="Z36" i="7"/>
  <c r="AB44" i="8" s="1"/>
  <c r="AA36" i="7"/>
  <c r="AB36" i="7"/>
  <c r="AC36" i="7"/>
  <c r="AE44" i="8" s="1"/>
  <c r="AD36" i="7"/>
  <c r="AF44" i="8" s="1"/>
  <c r="AE36" i="7"/>
  <c r="AF36" i="7"/>
  <c r="AG36" i="7"/>
  <c r="AI44" i="8" s="1"/>
  <c r="AH36" i="7"/>
  <c r="AI36" i="7"/>
  <c r="AJ36" i="7"/>
  <c r="AK36" i="7"/>
  <c r="AM44" i="8" s="1"/>
  <c r="AL36" i="7"/>
  <c r="AN44" i="8" s="1"/>
  <c r="AM36" i="7"/>
  <c r="AN36" i="7"/>
  <c r="AO36" i="7"/>
  <c r="AQ44" i="8" s="1"/>
  <c r="AP36" i="7"/>
  <c r="AR44" i="8" s="1"/>
  <c r="AQ36" i="7"/>
  <c r="AR36" i="7"/>
  <c r="AS36" i="7"/>
  <c r="AU44" i="8" s="1"/>
  <c r="AT36" i="7"/>
  <c r="AV44" i="8" s="1"/>
  <c r="AV45" i="8" s="1"/>
  <c r="AU36" i="7"/>
  <c r="AV36" i="7"/>
  <c r="AW36" i="7"/>
  <c r="AY44" i="8" s="1"/>
  <c r="AX36" i="7"/>
  <c r="AY36" i="7"/>
  <c r="AZ36" i="7"/>
  <c r="BA36" i="7"/>
  <c r="BC44" i="8" s="1"/>
  <c r="BB36" i="7"/>
  <c r="BD44" i="8" s="1"/>
  <c r="BC36" i="7"/>
  <c r="BD36" i="7"/>
  <c r="BE36" i="7"/>
  <c r="BG44" i="8" s="1"/>
  <c r="BF36" i="7"/>
  <c r="BH44" i="8" s="1"/>
  <c r="BG36" i="7"/>
  <c r="BH36" i="7"/>
  <c r="BI36" i="7"/>
  <c r="BK44" i="8" s="1"/>
  <c r="BJ36" i="7"/>
  <c r="BL44" i="8" s="1"/>
  <c r="BK36" i="7"/>
  <c r="BL36" i="7"/>
  <c r="A37" i="7"/>
  <c r="B39" i="7"/>
  <c r="B50" i="8" s="1"/>
  <c r="C39" i="7"/>
  <c r="E39" i="7"/>
  <c r="G49" i="8" s="1"/>
  <c r="F39" i="7"/>
  <c r="H49" i="8" s="1"/>
  <c r="G39" i="7"/>
  <c r="I49" i="8" s="1"/>
  <c r="H39" i="7"/>
  <c r="J49" i="8" s="1"/>
  <c r="I39" i="7"/>
  <c r="K49" i="8" s="1"/>
  <c r="J39" i="7"/>
  <c r="L49" i="8" s="1"/>
  <c r="K39" i="7"/>
  <c r="M49" i="8" s="1"/>
  <c r="L39" i="7"/>
  <c r="M39" i="7"/>
  <c r="O49" i="8" s="1"/>
  <c r="N39" i="7"/>
  <c r="P49" i="8" s="1"/>
  <c r="O39" i="7"/>
  <c r="Q49" i="8" s="1"/>
  <c r="P39" i="7"/>
  <c r="Q39" i="7"/>
  <c r="S49" i="8" s="1"/>
  <c r="R39" i="7"/>
  <c r="T49" i="8" s="1"/>
  <c r="S39" i="7"/>
  <c r="U49" i="8" s="1"/>
  <c r="T39" i="7"/>
  <c r="V49" i="8" s="1"/>
  <c r="U39" i="7"/>
  <c r="W49" i="8" s="1"/>
  <c r="V39" i="7"/>
  <c r="X49" i="8" s="1"/>
  <c r="W39" i="7"/>
  <c r="Y49" i="8" s="1"/>
  <c r="X39" i="7"/>
  <c r="Y39" i="7"/>
  <c r="AA49" i="8" s="1"/>
  <c r="Z39" i="7"/>
  <c r="AB49" i="8" s="1"/>
  <c r="AA39" i="7"/>
  <c r="AC49" i="8" s="1"/>
  <c r="AB39" i="7"/>
  <c r="AC39" i="7"/>
  <c r="AE49" i="8" s="1"/>
  <c r="AD39" i="7"/>
  <c r="AF49" i="8" s="1"/>
  <c r="AE39" i="7"/>
  <c r="AG49" i="8" s="1"/>
  <c r="AF39" i="7"/>
  <c r="AG39" i="7"/>
  <c r="AI49" i="8" s="1"/>
  <c r="AH39" i="7"/>
  <c r="AJ49" i="8" s="1"/>
  <c r="AI39" i="7"/>
  <c r="AK49" i="8" s="1"/>
  <c r="AJ39" i="7"/>
  <c r="AK39" i="7"/>
  <c r="AM49" i="8" s="1"/>
  <c r="AL39" i="7"/>
  <c r="AN49" i="8" s="1"/>
  <c r="AM39" i="7"/>
  <c r="AO49" i="8" s="1"/>
  <c r="AN39" i="7"/>
  <c r="AP49" i="8" s="1"/>
  <c r="AO39" i="7"/>
  <c r="AQ49" i="8" s="1"/>
  <c r="AP39" i="7"/>
  <c r="AR49" i="8" s="1"/>
  <c r="AQ39" i="7"/>
  <c r="AS49" i="8" s="1"/>
  <c r="AR39" i="7"/>
  <c r="AS39" i="7"/>
  <c r="AU49" i="8" s="1"/>
  <c r="AT39" i="7"/>
  <c r="AV49" i="8" s="1"/>
  <c r="AU39" i="7"/>
  <c r="AW49" i="8" s="1"/>
  <c r="AV39" i="7"/>
  <c r="AW39" i="7"/>
  <c r="AY49" i="8" s="1"/>
  <c r="AX39" i="7"/>
  <c r="AZ49" i="8" s="1"/>
  <c r="AY39" i="7"/>
  <c r="BA49" i="8" s="1"/>
  <c r="AZ39" i="7"/>
  <c r="BB49" i="8" s="1"/>
  <c r="BA39" i="7"/>
  <c r="BC49" i="8" s="1"/>
  <c r="BB39" i="7"/>
  <c r="BD49" i="8" s="1"/>
  <c r="BC39" i="7"/>
  <c r="BE49" i="8" s="1"/>
  <c r="BD39" i="7"/>
  <c r="BE39" i="7"/>
  <c r="BG49" i="8" s="1"/>
  <c r="BF39" i="7"/>
  <c r="BH49" i="8" s="1"/>
  <c r="BG39" i="7"/>
  <c r="BI49" i="8" s="1"/>
  <c r="BH39" i="7"/>
  <c r="BI39" i="7"/>
  <c r="BK49" i="8" s="1"/>
  <c r="BJ39" i="7"/>
  <c r="BL49" i="8" s="1"/>
  <c r="BK39" i="7"/>
  <c r="BM49" i="8" s="1"/>
  <c r="BL39" i="7"/>
  <c r="B41" i="7"/>
  <c r="C41" i="7"/>
  <c r="C53" i="8" s="1"/>
  <c r="E41" i="7"/>
  <c r="G52" i="8" s="1"/>
  <c r="F41" i="7"/>
  <c r="G41" i="7"/>
  <c r="H41" i="7"/>
  <c r="J52" i="8" s="1"/>
  <c r="I41" i="7"/>
  <c r="J41" i="7"/>
  <c r="K41" i="7"/>
  <c r="L41" i="7"/>
  <c r="N52" i="8" s="1"/>
  <c r="M41" i="7"/>
  <c r="O52" i="8" s="1"/>
  <c r="N41" i="7"/>
  <c r="O41" i="7"/>
  <c r="P41" i="7"/>
  <c r="R52" i="8" s="1"/>
  <c r="Q41" i="7"/>
  <c r="S52" i="8" s="1"/>
  <c r="R41" i="7"/>
  <c r="S41" i="7"/>
  <c r="T41" i="7"/>
  <c r="V52" i="8" s="1"/>
  <c r="U41" i="7"/>
  <c r="W52" i="8" s="1"/>
  <c r="V41" i="7"/>
  <c r="W41" i="7"/>
  <c r="X41" i="7"/>
  <c r="Z52" i="8" s="1"/>
  <c r="Y41" i="7"/>
  <c r="Z41" i="7"/>
  <c r="AA41" i="7"/>
  <c r="AB41" i="7"/>
  <c r="AD52" i="8" s="1"/>
  <c r="AC41" i="7"/>
  <c r="AE52" i="8" s="1"/>
  <c r="AD41" i="7"/>
  <c r="AE41" i="7"/>
  <c r="AF41" i="7"/>
  <c r="AH52" i="8" s="1"/>
  <c r="AG41" i="7"/>
  <c r="AI52" i="8" s="1"/>
  <c r="AH41" i="7"/>
  <c r="AI41" i="7"/>
  <c r="AJ41" i="7"/>
  <c r="AL52" i="8" s="1"/>
  <c r="AK41" i="7"/>
  <c r="AM52" i="8" s="1"/>
  <c r="AL41" i="7"/>
  <c r="AM41" i="7"/>
  <c r="AN41" i="7"/>
  <c r="AP52" i="8" s="1"/>
  <c r="AO41" i="7"/>
  <c r="AP41" i="7"/>
  <c r="AQ41" i="7"/>
  <c r="AR41" i="7"/>
  <c r="AT52" i="8" s="1"/>
  <c r="AS41" i="7"/>
  <c r="AU52" i="8" s="1"/>
  <c r="AT41" i="7"/>
  <c r="AU41" i="7"/>
  <c r="AV41" i="7"/>
  <c r="AX52" i="8" s="1"/>
  <c r="AW41" i="7"/>
  <c r="AY52" i="8" s="1"/>
  <c r="AX41" i="7"/>
  <c r="AY41" i="7"/>
  <c r="AZ41" i="7"/>
  <c r="BB52" i="8" s="1"/>
  <c r="BA41" i="7"/>
  <c r="BC52" i="8" s="1"/>
  <c r="BB41" i="7"/>
  <c r="BC41" i="7"/>
  <c r="BD41" i="7"/>
  <c r="BF52" i="8" s="1"/>
  <c r="BE41" i="7"/>
  <c r="BF41" i="7"/>
  <c r="BG41" i="7"/>
  <c r="BH41" i="7"/>
  <c r="BJ52" i="8" s="1"/>
  <c r="BI41" i="7"/>
  <c r="BK52" i="8" s="1"/>
  <c r="BJ41" i="7"/>
  <c r="BK41" i="7"/>
  <c r="BL41" i="7"/>
  <c r="BN52" i="8" s="1"/>
  <c r="B43" i="7"/>
  <c r="B56" i="8" s="1"/>
  <c r="C43" i="7"/>
  <c r="E43" i="7"/>
  <c r="F43" i="7"/>
  <c r="G43" i="7"/>
  <c r="I55" i="8" s="1"/>
  <c r="I56" i="8" s="1"/>
  <c r="H43" i="7"/>
  <c r="I43" i="7"/>
  <c r="J43" i="7"/>
  <c r="K43" i="7"/>
  <c r="M55" i="8" s="1"/>
  <c r="M56" i="8" s="1"/>
  <c r="L43" i="7"/>
  <c r="M43" i="7"/>
  <c r="N43" i="7"/>
  <c r="O43" i="7"/>
  <c r="Q55" i="8" s="1"/>
  <c r="Q56" i="8" s="1"/>
  <c r="P43" i="7"/>
  <c r="Q43" i="7"/>
  <c r="R43" i="7"/>
  <c r="S43" i="7"/>
  <c r="U55" i="8" s="1"/>
  <c r="U56" i="8" s="1"/>
  <c r="T43" i="7"/>
  <c r="U43" i="7"/>
  <c r="V43" i="7"/>
  <c r="W43" i="7"/>
  <c r="Y55" i="8" s="1"/>
  <c r="Y56" i="8" s="1"/>
  <c r="X43" i="7"/>
  <c r="Y43" i="7"/>
  <c r="Z43" i="7"/>
  <c r="AA43" i="7"/>
  <c r="AC55" i="8" s="1"/>
  <c r="AC56" i="8" s="1"/>
  <c r="AB43" i="7"/>
  <c r="AC43" i="7"/>
  <c r="AD43" i="7"/>
  <c r="AE43" i="7"/>
  <c r="AG55" i="8" s="1"/>
  <c r="AG56" i="8" s="1"/>
  <c r="AF43" i="7"/>
  <c r="AG43" i="7"/>
  <c r="AH43" i="7"/>
  <c r="AI43" i="7"/>
  <c r="AK55" i="8" s="1"/>
  <c r="AK56" i="8" s="1"/>
  <c r="AJ43" i="7"/>
  <c r="AK43" i="7"/>
  <c r="AL43" i="7"/>
  <c r="AM43" i="7"/>
  <c r="AO55" i="8" s="1"/>
  <c r="AO56" i="8" s="1"/>
  <c r="AN43" i="7"/>
  <c r="AO43" i="7"/>
  <c r="AP43" i="7"/>
  <c r="AQ43" i="7"/>
  <c r="AS55" i="8" s="1"/>
  <c r="AS56" i="8" s="1"/>
  <c r="AR43" i="7"/>
  <c r="AS43" i="7"/>
  <c r="AT43" i="7"/>
  <c r="AU43" i="7"/>
  <c r="AW55" i="8" s="1"/>
  <c r="AW56" i="8" s="1"/>
  <c r="AV43" i="7"/>
  <c r="AW43" i="7"/>
  <c r="AX43" i="7"/>
  <c r="AY43" i="7"/>
  <c r="BA55" i="8" s="1"/>
  <c r="BA56" i="8" s="1"/>
  <c r="AZ43" i="7"/>
  <c r="BA43" i="7"/>
  <c r="BB43" i="7"/>
  <c r="BC43" i="7"/>
  <c r="BE55" i="8" s="1"/>
  <c r="BE56" i="8" s="1"/>
  <c r="BD43" i="7"/>
  <c r="BE43" i="7"/>
  <c r="BF43" i="7"/>
  <c r="BG43" i="7"/>
  <c r="BI55" i="8" s="1"/>
  <c r="BI56" i="8" s="1"/>
  <c r="BH43" i="7"/>
  <c r="BI43" i="7"/>
  <c r="BJ43" i="7"/>
  <c r="BK43" i="7"/>
  <c r="BM55" i="8" s="1"/>
  <c r="BM56" i="8" s="1"/>
  <c r="BL43" i="7"/>
  <c r="B45" i="7"/>
  <c r="C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B45" i="7"/>
  <c r="AC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BA45" i="7"/>
  <c r="BB45" i="7"/>
  <c r="BC45" i="7"/>
  <c r="BD45" i="7"/>
  <c r="BE45" i="7"/>
  <c r="BF45" i="7"/>
  <c r="BG45" i="7"/>
  <c r="BH45" i="7"/>
  <c r="BI45" i="7"/>
  <c r="BJ45" i="7"/>
  <c r="BK45" i="7"/>
  <c r="BL45" i="7"/>
  <c r="B47" i="7"/>
  <c r="C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BA47" i="7"/>
  <c r="BB47" i="7"/>
  <c r="BC47" i="7"/>
  <c r="BD47" i="7"/>
  <c r="BE47" i="7"/>
  <c r="BF47" i="7"/>
  <c r="BG47" i="7"/>
  <c r="BH47" i="7"/>
  <c r="BI47" i="7"/>
  <c r="BJ47" i="7"/>
  <c r="BK47" i="7"/>
  <c r="BL47" i="7"/>
  <c r="B49" i="7"/>
  <c r="C49" i="7"/>
  <c r="E49" i="7"/>
  <c r="F49" i="7"/>
  <c r="G49" i="7"/>
  <c r="H49" i="7"/>
  <c r="I49" i="7"/>
  <c r="K64" i="8" s="1"/>
  <c r="J49" i="7"/>
  <c r="K49" i="7"/>
  <c r="L49" i="7"/>
  <c r="M49" i="7"/>
  <c r="O64" i="8" s="1"/>
  <c r="N49" i="7"/>
  <c r="O49" i="7"/>
  <c r="P49" i="7"/>
  <c r="Q49" i="7"/>
  <c r="S64" i="8" s="1"/>
  <c r="R49" i="7"/>
  <c r="S49" i="7"/>
  <c r="T49" i="7"/>
  <c r="U49" i="7"/>
  <c r="W64" i="8" s="1"/>
  <c r="V49" i="7"/>
  <c r="W49" i="7"/>
  <c r="X49" i="7"/>
  <c r="Y49" i="7"/>
  <c r="AA64" i="8" s="1"/>
  <c r="Z49" i="7"/>
  <c r="AA49" i="7"/>
  <c r="AB49" i="7"/>
  <c r="AC49" i="7"/>
  <c r="AE64" i="8" s="1"/>
  <c r="AD49" i="7"/>
  <c r="AE49" i="7"/>
  <c r="AF49" i="7"/>
  <c r="AG49" i="7"/>
  <c r="AI64" i="8" s="1"/>
  <c r="AH49" i="7"/>
  <c r="AI49" i="7"/>
  <c r="AJ49" i="7"/>
  <c r="AK49" i="7"/>
  <c r="AM64" i="8" s="1"/>
  <c r="AL49" i="7"/>
  <c r="AM49" i="7"/>
  <c r="AN49" i="7"/>
  <c r="AO49" i="7"/>
  <c r="AQ64" i="8" s="1"/>
  <c r="AP49" i="7"/>
  <c r="AQ49" i="7"/>
  <c r="AR49" i="7"/>
  <c r="AS49" i="7"/>
  <c r="AU64" i="8" s="1"/>
  <c r="AT49" i="7"/>
  <c r="AU49" i="7"/>
  <c r="AV49" i="7"/>
  <c r="AW49" i="7"/>
  <c r="AY64" i="8" s="1"/>
  <c r="AX49" i="7"/>
  <c r="AY49" i="7"/>
  <c r="AZ49" i="7"/>
  <c r="BA49" i="7"/>
  <c r="BC64" i="8" s="1"/>
  <c r="BB49" i="7"/>
  <c r="BC49" i="7"/>
  <c r="BD49" i="7"/>
  <c r="BE49" i="7"/>
  <c r="BG64" i="8" s="1"/>
  <c r="BF49" i="7"/>
  <c r="BG49" i="7"/>
  <c r="BH49" i="7"/>
  <c r="BI49" i="7"/>
  <c r="BK64" i="8" s="1"/>
  <c r="BJ49" i="7"/>
  <c r="BK49" i="7"/>
  <c r="BL49" i="7"/>
  <c r="B51" i="7"/>
  <c r="B68" i="8" s="1"/>
  <c r="C51" i="7"/>
  <c r="E51" i="7"/>
  <c r="F51" i="7"/>
  <c r="G51" i="7"/>
  <c r="I67" i="8" s="1"/>
  <c r="H51" i="7"/>
  <c r="I51" i="7"/>
  <c r="J51" i="7"/>
  <c r="K51" i="7"/>
  <c r="M67" i="8" s="1"/>
  <c r="L51" i="7"/>
  <c r="M51" i="7"/>
  <c r="N51" i="7"/>
  <c r="O51" i="7"/>
  <c r="Q67" i="8" s="1"/>
  <c r="P51" i="7"/>
  <c r="Q51" i="7"/>
  <c r="R51" i="7"/>
  <c r="S51" i="7"/>
  <c r="U67" i="8" s="1"/>
  <c r="T51" i="7"/>
  <c r="U51" i="7"/>
  <c r="V51" i="7"/>
  <c r="W51" i="7"/>
  <c r="Y67" i="8" s="1"/>
  <c r="X51" i="7"/>
  <c r="Y51" i="7"/>
  <c r="Z51" i="7"/>
  <c r="AA51" i="7"/>
  <c r="AC67" i="8" s="1"/>
  <c r="AB51" i="7"/>
  <c r="AC51" i="7"/>
  <c r="AD51" i="7"/>
  <c r="AE51" i="7"/>
  <c r="AG67" i="8" s="1"/>
  <c r="AF51" i="7"/>
  <c r="AG51" i="7"/>
  <c r="AH51" i="7"/>
  <c r="AI51" i="7"/>
  <c r="AK67" i="8" s="1"/>
  <c r="AJ51" i="7"/>
  <c r="AK51" i="7"/>
  <c r="AL51" i="7"/>
  <c r="AM51" i="7"/>
  <c r="AO67" i="8" s="1"/>
  <c r="AN51" i="7"/>
  <c r="AO51" i="7"/>
  <c r="AP51" i="7"/>
  <c r="AQ51" i="7"/>
  <c r="AS67" i="8" s="1"/>
  <c r="AR51" i="7"/>
  <c r="AS51" i="7"/>
  <c r="AT51" i="7"/>
  <c r="AU51" i="7"/>
  <c r="AW67" i="8" s="1"/>
  <c r="AV51" i="7"/>
  <c r="AW51" i="7"/>
  <c r="AX51" i="7"/>
  <c r="AY51" i="7"/>
  <c r="BA67" i="8" s="1"/>
  <c r="AZ51" i="7"/>
  <c r="BA51" i="7"/>
  <c r="BB51" i="7"/>
  <c r="BC51" i="7"/>
  <c r="BE67" i="8" s="1"/>
  <c r="BD51" i="7"/>
  <c r="BE51" i="7"/>
  <c r="BF51" i="7"/>
  <c r="BG51" i="7"/>
  <c r="BI67" i="8" s="1"/>
  <c r="BH51" i="7"/>
  <c r="BI51" i="7"/>
  <c r="BJ51" i="7"/>
  <c r="BK51" i="7"/>
  <c r="BM67" i="8" s="1"/>
  <c r="BL51" i="7"/>
  <c r="B53" i="7"/>
  <c r="C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55" i="7"/>
  <c r="C55" i="7"/>
  <c r="E55" i="7"/>
  <c r="F55" i="7"/>
  <c r="G55" i="7"/>
  <c r="H55" i="7"/>
  <c r="I55" i="7"/>
  <c r="J55" i="7"/>
  <c r="K55" i="7"/>
  <c r="L55" i="7"/>
  <c r="M55" i="7"/>
  <c r="N55" i="7"/>
  <c r="O55" i="7"/>
  <c r="P55" i="7"/>
  <c r="Q55" i="7"/>
  <c r="R55" i="7"/>
  <c r="S55" i="7"/>
  <c r="T55" i="7"/>
  <c r="U55" i="7"/>
  <c r="V55" i="7"/>
  <c r="W55" i="7"/>
  <c r="X55" i="7"/>
  <c r="Y55" i="7"/>
  <c r="Z55" i="7"/>
  <c r="AA55" i="7"/>
  <c r="AB55" i="7"/>
  <c r="AC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57" i="7"/>
  <c r="C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AG57" i="7"/>
  <c r="AH57" i="7"/>
  <c r="AI57" i="7"/>
  <c r="AJ57" i="7"/>
  <c r="AK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AX57" i="7"/>
  <c r="AY57" i="7"/>
  <c r="AZ57" i="7"/>
  <c r="BA57" i="7"/>
  <c r="BB57" i="7"/>
  <c r="BC57" i="7"/>
  <c r="BD57" i="7"/>
  <c r="BE57" i="7"/>
  <c r="BF57" i="7"/>
  <c r="BG57" i="7"/>
  <c r="BH57" i="7"/>
  <c r="BI57" i="7"/>
  <c r="BJ57" i="7"/>
  <c r="BK57" i="7"/>
  <c r="BL57" i="7"/>
  <c r="B59" i="7"/>
  <c r="C59" i="7"/>
  <c r="E59" i="7"/>
  <c r="F59" i="7"/>
  <c r="G59" i="7"/>
  <c r="H59" i="7"/>
  <c r="I59" i="7"/>
  <c r="J59" i="7"/>
  <c r="K59" i="7"/>
  <c r="L59" i="7"/>
  <c r="M59" i="7"/>
  <c r="N59" i="7"/>
  <c r="O59" i="7"/>
  <c r="P59" i="7"/>
  <c r="Q59" i="7"/>
  <c r="R59" i="7"/>
  <c r="S59" i="7"/>
  <c r="T59" i="7"/>
  <c r="U59" i="7"/>
  <c r="V59" i="7"/>
  <c r="W59" i="7"/>
  <c r="X59" i="7"/>
  <c r="Y59" i="7"/>
  <c r="Z59" i="7"/>
  <c r="AA59" i="7"/>
  <c r="AB59" i="7"/>
  <c r="AC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BI59" i="7"/>
  <c r="BJ59" i="7"/>
  <c r="BK59" i="7"/>
  <c r="BL59" i="7"/>
  <c r="A60" i="7"/>
  <c r="A61" i="7"/>
  <c r="B63" i="7"/>
  <c r="C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AH63" i="7"/>
  <c r="AI63" i="7"/>
  <c r="AJ63" i="7"/>
  <c r="AK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AX63" i="7"/>
  <c r="AY63" i="7"/>
  <c r="AZ63" i="7"/>
  <c r="BA63" i="7"/>
  <c r="BB63" i="7"/>
  <c r="BC63" i="7"/>
  <c r="BD63" i="7"/>
  <c r="BE63" i="7"/>
  <c r="BF63" i="7"/>
  <c r="BG63" i="7"/>
  <c r="BH63" i="7"/>
  <c r="BI63" i="7"/>
  <c r="BJ63" i="7"/>
  <c r="BK63" i="7"/>
  <c r="BL63" i="7"/>
  <c r="B65" i="7"/>
  <c r="C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X65" i="7"/>
  <c r="Y65" i="7"/>
  <c r="Z65" i="7"/>
  <c r="AA65" i="7"/>
  <c r="AB65" i="7"/>
  <c r="AC65" i="7"/>
  <c r="AD65" i="7"/>
  <c r="AE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67" i="7"/>
  <c r="B92" i="8" s="1"/>
  <c r="C67" i="7"/>
  <c r="E67" i="7"/>
  <c r="G91" i="8" s="1"/>
  <c r="F67" i="7"/>
  <c r="H91" i="8" s="1"/>
  <c r="G67" i="7"/>
  <c r="I91" i="8" s="1"/>
  <c r="H67" i="7"/>
  <c r="I67" i="7"/>
  <c r="K91" i="8" s="1"/>
  <c r="J67" i="7"/>
  <c r="L91" i="8" s="1"/>
  <c r="K67" i="7"/>
  <c r="M91" i="8" s="1"/>
  <c r="L67" i="7"/>
  <c r="N91" i="8" s="1"/>
  <c r="M67" i="7"/>
  <c r="O91" i="8" s="1"/>
  <c r="N67" i="7"/>
  <c r="P91" i="8" s="1"/>
  <c r="O67" i="7"/>
  <c r="Q91" i="8" s="1"/>
  <c r="P67" i="7"/>
  <c r="Q67" i="7"/>
  <c r="S91" i="8" s="1"/>
  <c r="R67" i="7"/>
  <c r="T91" i="8" s="1"/>
  <c r="S67" i="7"/>
  <c r="U91" i="8" s="1"/>
  <c r="T67" i="7"/>
  <c r="U67" i="7"/>
  <c r="W91" i="8" s="1"/>
  <c r="V67" i="7"/>
  <c r="X91" i="8" s="1"/>
  <c r="W67" i="7"/>
  <c r="Y91" i="8" s="1"/>
  <c r="X67" i="7"/>
  <c r="Z91" i="8" s="1"/>
  <c r="Y67" i="7"/>
  <c r="AA91" i="8" s="1"/>
  <c r="Z67" i="7"/>
  <c r="AB91" i="8" s="1"/>
  <c r="AA67" i="7"/>
  <c r="AC91" i="8" s="1"/>
  <c r="AB67" i="7"/>
  <c r="AC67" i="7"/>
  <c r="AE91" i="8" s="1"/>
  <c r="AD67" i="7"/>
  <c r="AF91" i="8" s="1"/>
  <c r="AE67" i="7"/>
  <c r="AG91" i="8" s="1"/>
  <c r="AF67" i="7"/>
  <c r="AG67" i="7"/>
  <c r="AI91" i="8" s="1"/>
  <c r="AH67" i="7"/>
  <c r="AJ91" i="8" s="1"/>
  <c r="AI67" i="7"/>
  <c r="AK91" i="8" s="1"/>
  <c r="AJ67" i="7"/>
  <c r="AL91" i="8" s="1"/>
  <c r="AK67" i="7"/>
  <c r="AM91" i="8" s="1"/>
  <c r="AL67" i="7"/>
  <c r="AN91" i="8" s="1"/>
  <c r="AM67" i="7"/>
  <c r="AO91" i="8" s="1"/>
  <c r="AN67" i="7"/>
  <c r="AO67" i="7"/>
  <c r="AQ91" i="8" s="1"/>
  <c r="AP67" i="7"/>
  <c r="AR91" i="8" s="1"/>
  <c r="AQ67" i="7"/>
  <c r="AS91" i="8" s="1"/>
  <c r="AR67" i="7"/>
  <c r="AS67" i="7"/>
  <c r="AT67" i="7"/>
  <c r="AV91" i="8" s="1"/>
  <c r="AU67" i="7"/>
  <c r="AW91" i="8" s="1"/>
  <c r="AV67" i="7"/>
  <c r="AX91" i="8" s="1"/>
  <c r="AW67" i="7"/>
  <c r="AY91" i="8" s="1"/>
  <c r="AX67" i="7"/>
  <c r="AZ91" i="8" s="1"/>
  <c r="AY67" i="7"/>
  <c r="BA91" i="8" s="1"/>
  <c r="AZ67" i="7"/>
  <c r="BA67" i="7"/>
  <c r="BC91" i="8" s="1"/>
  <c r="BB67" i="7"/>
  <c r="BD91" i="8" s="1"/>
  <c r="BC67" i="7"/>
  <c r="BE91" i="8" s="1"/>
  <c r="BD67" i="7"/>
  <c r="BE67" i="7"/>
  <c r="BF67" i="7"/>
  <c r="BH91" i="8" s="1"/>
  <c r="BG67" i="7"/>
  <c r="BI91" i="8" s="1"/>
  <c r="BH67" i="7"/>
  <c r="BJ91" i="8" s="1"/>
  <c r="BI67" i="7"/>
  <c r="BK91" i="8" s="1"/>
  <c r="BJ67" i="7"/>
  <c r="BL91" i="8" s="1"/>
  <c r="BK67" i="7"/>
  <c r="BM91" i="8" s="1"/>
  <c r="BL67" i="7"/>
  <c r="B69" i="7"/>
  <c r="C69" i="7"/>
  <c r="C95" i="8" s="1"/>
  <c r="E69" i="7"/>
  <c r="G94" i="8" s="1"/>
  <c r="F69" i="7"/>
  <c r="G69" i="7"/>
  <c r="H69" i="7"/>
  <c r="J94" i="8" s="1"/>
  <c r="I69" i="7"/>
  <c r="K94" i="8" s="1"/>
  <c r="J69" i="7"/>
  <c r="K69" i="7"/>
  <c r="L69" i="7"/>
  <c r="N94" i="8" s="1"/>
  <c r="M69" i="7"/>
  <c r="O94" i="8" s="1"/>
  <c r="N69" i="7"/>
  <c r="O69" i="7"/>
  <c r="P69" i="7"/>
  <c r="R94" i="8" s="1"/>
  <c r="Q69" i="7"/>
  <c r="S94" i="8" s="1"/>
  <c r="R69" i="7"/>
  <c r="S69" i="7"/>
  <c r="T69" i="7"/>
  <c r="V94" i="8" s="1"/>
  <c r="U69" i="7"/>
  <c r="W94" i="8" s="1"/>
  <c r="V69" i="7"/>
  <c r="W69" i="7"/>
  <c r="X69" i="7"/>
  <c r="Z94" i="8" s="1"/>
  <c r="Y69" i="7"/>
  <c r="AA94" i="8" s="1"/>
  <c r="Z69" i="7"/>
  <c r="AA69" i="7"/>
  <c r="AB69" i="7"/>
  <c r="AD94" i="8" s="1"/>
  <c r="AC69" i="7"/>
  <c r="AE94" i="8" s="1"/>
  <c r="AD69" i="7"/>
  <c r="AE69" i="7"/>
  <c r="AF69" i="7"/>
  <c r="AG69" i="7"/>
  <c r="AI94" i="8" s="1"/>
  <c r="AI95" i="8" s="1"/>
  <c r="AH69" i="7"/>
  <c r="AI69" i="7"/>
  <c r="AJ69" i="7"/>
  <c r="AL94" i="8" s="1"/>
  <c r="AK69" i="7"/>
  <c r="AM94" i="8" s="1"/>
  <c r="AL69" i="7"/>
  <c r="AM69" i="7"/>
  <c r="AN69" i="7"/>
  <c r="AP94" i="8" s="1"/>
  <c r="AO69" i="7"/>
  <c r="AQ94" i="8" s="1"/>
  <c r="AP69" i="7"/>
  <c r="AQ69" i="7"/>
  <c r="AR69" i="7"/>
  <c r="AT94" i="8" s="1"/>
  <c r="AS69" i="7"/>
  <c r="AU94" i="8" s="1"/>
  <c r="AT69" i="7"/>
  <c r="AU69" i="7"/>
  <c r="AV69" i="7"/>
  <c r="AX94" i="8" s="1"/>
  <c r="AW69" i="7"/>
  <c r="AY94" i="8" s="1"/>
  <c r="AX69" i="7"/>
  <c r="AY69" i="7"/>
  <c r="AZ69" i="7"/>
  <c r="BB94" i="8" s="1"/>
  <c r="BA69" i="7"/>
  <c r="BC94" i="8" s="1"/>
  <c r="BB69" i="7"/>
  <c r="BC69" i="7"/>
  <c r="BD69" i="7"/>
  <c r="BF94" i="8" s="1"/>
  <c r="BE69" i="7"/>
  <c r="BG94" i="8" s="1"/>
  <c r="BF69" i="7"/>
  <c r="BG69" i="7"/>
  <c r="BH69" i="7"/>
  <c r="BJ94" i="8" s="1"/>
  <c r="BI69" i="7"/>
  <c r="BK94" i="8" s="1"/>
  <c r="BJ69" i="7"/>
  <c r="BK69" i="7"/>
  <c r="BL69" i="7"/>
  <c r="B71" i="7"/>
  <c r="B98" i="8" s="1"/>
  <c r="C71" i="7"/>
  <c r="E71" i="7"/>
  <c r="F71" i="7"/>
  <c r="H97" i="8" s="1"/>
  <c r="G71" i="7"/>
  <c r="I97" i="8" s="1"/>
  <c r="H71" i="7"/>
  <c r="I71" i="7"/>
  <c r="J71" i="7"/>
  <c r="L97" i="8" s="1"/>
  <c r="K71" i="7"/>
  <c r="M97" i="8" s="1"/>
  <c r="L71" i="7"/>
  <c r="M71" i="7"/>
  <c r="N71" i="7"/>
  <c r="P97" i="8" s="1"/>
  <c r="O71" i="7"/>
  <c r="Q97" i="8" s="1"/>
  <c r="P71" i="7"/>
  <c r="Q71" i="7"/>
  <c r="R71" i="7"/>
  <c r="T97" i="8" s="1"/>
  <c r="S71" i="7"/>
  <c r="U97" i="8" s="1"/>
  <c r="U98" i="8" s="1"/>
  <c r="T71" i="7"/>
  <c r="U71" i="7"/>
  <c r="V71" i="7"/>
  <c r="X97" i="8" s="1"/>
  <c r="W71" i="7"/>
  <c r="Y97" i="8" s="1"/>
  <c r="X71" i="7"/>
  <c r="Y71" i="7"/>
  <c r="Z71" i="7"/>
  <c r="AB97" i="8" s="1"/>
  <c r="AA71" i="7"/>
  <c r="AC97" i="8" s="1"/>
  <c r="AC98" i="8" s="1"/>
  <c r="AB71" i="7"/>
  <c r="AC71" i="7"/>
  <c r="AD71" i="7"/>
  <c r="AF97" i="8" s="1"/>
  <c r="AE71" i="7"/>
  <c r="AG97" i="8" s="1"/>
  <c r="AF71" i="7"/>
  <c r="AG71" i="7"/>
  <c r="AH71" i="7"/>
  <c r="AJ97" i="8" s="1"/>
  <c r="AI71" i="7"/>
  <c r="AK97" i="8" s="1"/>
  <c r="AJ71" i="7"/>
  <c r="AK71" i="7"/>
  <c r="AL71" i="7"/>
  <c r="AN97" i="8" s="1"/>
  <c r="AM71" i="7"/>
  <c r="AO97" i="8" s="1"/>
  <c r="AN71" i="7"/>
  <c r="AO71" i="7"/>
  <c r="AP71" i="7"/>
  <c r="AR97" i="8" s="1"/>
  <c r="AQ71" i="7"/>
  <c r="AS97" i="8" s="1"/>
  <c r="AR71" i="7"/>
  <c r="AS71" i="7"/>
  <c r="AT71" i="7"/>
  <c r="AV97" i="8" s="1"/>
  <c r="AU71" i="7"/>
  <c r="AW97" i="8" s="1"/>
  <c r="AV71" i="7"/>
  <c r="AW71" i="7"/>
  <c r="AX71" i="7"/>
  <c r="AZ97" i="8" s="1"/>
  <c r="AY71" i="7"/>
  <c r="BA97" i="8" s="1"/>
  <c r="BA98" i="8" s="1"/>
  <c r="AZ71" i="7"/>
  <c r="BA71" i="7"/>
  <c r="BB71" i="7"/>
  <c r="BD97" i="8" s="1"/>
  <c r="BC71" i="7"/>
  <c r="BD71" i="7"/>
  <c r="BE71" i="7"/>
  <c r="BF71" i="7"/>
  <c r="BH97" i="8" s="1"/>
  <c r="BG71" i="7"/>
  <c r="BI97" i="8" s="1"/>
  <c r="BI98" i="8" s="1"/>
  <c r="BH71" i="7"/>
  <c r="BI71" i="7"/>
  <c r="BJ71" i="7"/>
  <c r="BL97" i="8" s="1"/>
  <c r="BK71" i="7"/>
  <c r="BM97" i="8" s="1"/>
  <c r="BL71" i="7"/>
  <c r="B73" i="7"/>
  <c r="C73" i="7"/>
  <c r="C101" i="8" s="1"/>
  <c r="E73" i="7"/>
  <c r="G100" i="8" s="1"/>
  <c r="F73" i="7"/>
  <c r="G73" i="7"/>
  <c r="H73" i="7"/>
  <c r="J100" i="8" s="1"/>
  <c r="I73" i="7"/>
  <c r="K100" i="8" s="1"/>
  <c r="J73" i="7"/>
  <c r="K73" i="7"/>
  <c r="L73" i="7"/>
  <c r="N100" i="8" s="1"/>
  <c r="M73" i="7"/>
  <c r="O100" i="8" s="1"/>
  <c r="N73" i="7"/>
  <c r="O73" i="7"/>
  <c r="P73" i="7"/>
  <c r="R100" i="8" s="1"/>
  <c r="Q73" i="7"/>
  <c r="S100" i="8" s="1"/>
  <c r="R73" i="7"/>
  <c r="S73" i="7"/>
  <c r="T73" i="7"/>
  <c r="V100" i="8" s="1"/>
  <c r="U73" i="7"/>
  <c r="W100" i="8" s="1"/>
  <c r="V73" i="7"/>
  <c r="W73" i="7"/>
  <c r="X73" i="7"/>
  <c r="Z100" i="8" s="1"/>
  <c r="Y73" i="7"/>
  <c r="AA100" i="8" s="1"/>
  <c r="Z73" i="7"/>
  <c r="AA73" i="7"/>
  <c r="AB73" i="7"/>
  <c r="AD100" i="8" s="1"/>
  <c r="AC73" i="7"/>
  <c r="AE100" i="8" s="1"/>
  <c r="AD73" i="7"/>
  <c r="AE73" i="7"/>
  <c r="AF73" i="7"/>
  <c r="AH100" i="8" s="1"/>
  <c r="AG73" i="7"/>
  <c r="AI100" i="8" s="1"/>
  <c r="AH73" i="7"/>
  <c r="AI73" i="7"/>
  <c r="AJ73" i="7"/>
  <c r="AL100" i="8" s="1"/>
  <c r="AK73" i="7"/>
  <c r="AM100" i="8" s="1"/>
  <c r="AL73" i="7"/>
  <c r="AM73" i="7"/>
  <c r="AN73" i="7"/>
  <c r="AP100" i="8" s="1"/>
  <c r="AO73" i="7"/>
  <c r="AQ100" i="8" s="1"/>
  <c r="AP73" i="7"/>
  <c r="AQ73" i="7"/>
  <c r="AR73" i="7"/>
  <c r="AT100" i="8" s="1"/>
  <c r="AS73" i="7"/>
  <c r="AU100" i="8" s="1"/>
  <c r="AT73" i="7"/>
  <c r="AU73" i="7"/>
  <c r="AV73" i="7"/>
  <c r="AX100" i="8" s="1"/>
  <c r="AW73" i="7"/>
  <c r="AY100" i="8" s="1"/>
  <c r="AX73" i="7"/>
  <c r="AY73" i="7"/>
  <c r="AZ73" i="7"/>
  <c r="BB100" i="8" s="1"/>
  <c r="BA73" i="7"/>
  <c r="BC100" i="8" s="1"/>
  <c r="BB73" i="7"/>
  <c r="BC73" i="7"/>
  <c r="BD73" i="7"/>
  <c r="BF100" i="8" s="1"/>
  <c r="BE73" i="7"/>
  <c r="BG100" i="8" s="1"/>
  <c r="BF73" i="7"/>
  <c r="BG73" i="7"/>
  <c r="BH73" i="7"/>
  <c r="BJ100" i="8" s="1"/>
  <c r="BI73" i="7"/>
  <c r="BK100" i="8" s="1"/>
  <c r="BJ73" i="7"/>
  <c r="BK73" i="7"/>
  <c r="BL73" i="7"/>
  <c r="BN100" i="8" s="1"/>
  <c r="A74" i="7"/>
  <c r="B76" i="7"/>
  <c r="C76" i="7"/>
  <c r="E76" i="7"/>
  <c r="G105" i="8" s="1"/>
  <c r="F76" i="7"/>
  <c r="H105" i="8" s="1"/>
  <c r="G76" i="7"/>
  <c r="H76" i="7"/>
  <c r="I76" i="7"/>
  <c r="K105" i="8" s="1"/>
  <c r="J76" i="7"/>
  <c r="L105" i="8" s="1"/>
  <c r="K76" i="7"/>
  <c r="L76" i="7"/>
  <c r="M76" i="7"/>
  <c r="O105" i="8" s="1"/>
  <c r="N76" i="7"/>
  <c r="P105" i="8" s="1"/>
  <c r="O76" i="7"/>
  <c r="P76" i="7"/>
  <c r="Q76" i="7"/>
  <c r="S105" i="8" s="1"/>
  <c r="R76" i="7"/>
  <c r="T105" i="8" s="1"/>
  <c r="S76" i="7"/>
  <c r="T76" i="7"/>
  <c r="U76" i="7"/>
  <c r="W105" i="8" s="1"/>
  <c r="V76" i="7"/>
  <c r="X105" i="8" s="1"/>
  <c r="W76" i="7"/>
  <c r="X76" i="7"/>
  <c r="Y76" i="7"/>
  <c r="AA105" i="8" s="1"/>
  <c r="Z76" i="7"/>
  <c r="AB105" i="8" s="1"/>
  <c r="AA76" i="7"/>
  <c r="AB76" i="7"/>
  <c r="AC76" i="7"/>
  <c r="AE105" i="8" s="1"/>
  <c r="AD76" i="7"/>
  <c r="AF105" i="8" s="1"/>
  <c r="AE76" i="7"/>
  <c r="AF76" i="7"/>
  <c r="AG76" i="7"/>
  <c r="AH76" i="7"/>
  <c r="AJ105" i="8" s="1"/>
  <c r="AI76" i="7"/>
  <c r="AJ76" i="7"/>
  <c r="AK76" i="7"/>
  <c r="AM105" i="8" s="1"/>
  <c r="AL76" i="7"/>
  <c r="AN105" i="8" s="1"/>
  <c r="AM76" i="7"/>
  <c r="AN76" i="7"/>
  <c r="AO76" i="7"/>
  <c r="AQ105" i="8" s="1"/>
  <c r="AP76" i="7"/>
  <c r="AR105" i="8" s="1"/>
  <c r="AQ76" i="7"/>
  <c r="AR76" i="7"/>
  <c r="AS76" i="7"/>
  <c r="AU105" i="8" s="1"/>
  <c r="AT76" i="7"/>
  <c r="AV105" i="8" s="1"/>
  <c r="AU76" i="7"/>
  <c r="AV76" i="7"/>
  <c r="AW76" i="7"/>
  <c r="AY105" i="8" s="1"/>
  <c r="AX76" i="7"/>
  <c r="AZ105" i="8" s="1"/>
  <c r="AY76" i="7"/>
  <c r="AZ76" i="7"/>
  <c r="BA76" i="7"/>
  <c r="BC105" i="8" s="1"/>
  <c r="BB76" i="7"/>
  <c r="BD105" i="8" s="1"/>
  <c r="BC76" i="7"/>
  <c r="BD76" i="7"/>
  <c r="BE76" i="7"/>
  <c r="BG105" i="8" s="1"/>
  <c r="BF76" i="7"/>
  <c r="BH105" i="8" s="1"/>
  <c r="BG76" i="7"/>
  <c r="BH76" i="7"/>
  <c r="BI76" i="7"/>
  <c r="BK105" i="8" s="1"/>
  <c r="BJ76" i="7"/>
  <c r="BL105" i="8" s="1"/>
  <c r="BK76" i="7"/>
  <c r="BL76" i="7"/>
  <c r="B78" i="7"/>
  <c r="B109" i="8" s="1"/>
  <c r="C78" i="7"/>
  <c r="C109" i="8" s="1"/>
  <c r="E78" i="7"/>
  <c r="F78" i="7"/>
  <c r="H108" i="8" s="1"/>
  <c r="G78" i="7"/>
  <c r="I108" i="8" s="1"/>
  <c r="H78" i="7"/>
  <c r="J108" i="8" s="1"/>
  <c r="I78" i="7"/>
  <c r="J78" i="7"/>
  <c r="K78" i="7"/>
  <c r="M108" i="8" s="1"/>
  <c r="L78" i="7"/>
  <c r="N108" i="8" s="1"/>
  <c r="M78" i="7"/>
  <c r="N78" i="7"/>
  <c r="P108" i="8" s="1"/>
  <c r="O78" i="7"/>
  <c r="Q108" i="8" s="1"/>
  <c r="P78" i="7"/>
  <c r="R108" i="8" s="1"/>
  <c r="Q78" i="7"/>
  <c r="R78" i="7"/>
  <c r="T108" i="8" s="1"/>
  <c r="S78" i="7"/>
  <c r="U108" i="8" s="1"/>
  <c r="T78" i="7"/>
  <c r="V108" i="8" s="1"/>
  <c r="U78" i="7"/>
  <c r="V78" i="7"/>
  <c r="X108" i="8" s="1"/>
  <c r="W78" i="7"/>
  <c r="Y108" i="8" s="1"/>
  <c r="X78" i="7"/>
  <c r="Z108" i="8" s="1"/>
  <c r="Y78" i="7"/>
  <c r="Z78" i="7"/>
  <c r="AA78" i="7"/>
  <c r="AC108" i="8" s="1"/>
  <c r="AB78" i="7"/>
  <c r="AD108" i="8" s="1"/>
  <c r="AC78" i="7"/>
  <c r="AD78" i="7"/>
  <c r="AF108" i="8" s="1"/>
  <c r="AE78" i="7"/>
  <c r="AG108" i="8" s="1"/>
  <c r="AF78" i="7"/>
  <c r="AH108" i="8" s="1"/>
  <c r="AG78" i="7"/>
  <c r="AH78" i="7"/>
  <c r="AJ108" i="8" s="1"/>
  <c r="AI78" i="7"/>
  <c r="AK108" i="8" s="1"/>
  <c r="AJ78" i="7"/>
  <c r="AL108" i="8" s="1"/>
  <c r="AK78" i="7"/>
  <c r="AL78" i="7"/>
  <c r="AM78" i="7"/>
  <c r="AO108" i="8" s="1"/>
  <c r="AN78" i="7"/>
  <c r="AP108" i="8" s="1"/>
  <c r="AO78" i="7"/>
  <c r="AP78" i="7"/>
  <c r="AR108" i="8" s="1"/>
  <c r="AQ78" i="7"/>
  <c r="AS108" i="8" s="1"/>
  <c r="AR78" i="7"/>
  <c r="AT108" i="8" s="1"/>
  <c r="AS78" i="7"/>
  <c r="AT78" i="7"/>
  <c r="AV108" i="8" s="1"/>
  <c r="AU78" i="7"/>
  <c r="AW108" i="8" s="1"/>
  <c r="AV78" i="7"/>
  <c r="AX108" i="8" s="1"/>
  <c r="AW78" i="7"/>
  <c r="AX78" i="7"/>
  <c r="AZ108" i="8" s="1"/>
  <c r="AY78" i="7"/>
  <c r="BA108" i="8" s="1"/>
  <c r="AZ78" i="7"/>
  <c r="BB108" i="8" s="1"/>
  <c r="BA78" i="7"/>
  <c r="BB78" i="7"/>
  <c r="BD108" i="8" s="1"/>
  <c r="BC78" i="7"/>
  <c r="BE108" i="8" s="1"/>
  <c r="BD78" i="7"/>
  <c r="BF108" i="8" s="1"/>
  <c r="BE78" i="7"/>
  <c r="BF78" i="7"/>
  <c r="BG78" i="7"/>
  <c r="BI108" i="8" s="1"/>
  <c r="BH78" i="7"/>
  <c r="BJ108" i="8" s="1"/>
  <c r="BI78" i="7"/>
  <c r="BJ78" i="7"/>
  <c r="BL108" i="8" s="1"/>
  <c r="BK78" i="7"/>
  <c r="BM108" i="8" s="1"/>
  <c r="BL78" i="7"/>
  <c r="BN108" i="8" s="1"/>
  <c r="B80" i="7"/>
  <c r="C80" i="7"/>
  <c r="E80" i="7"/>
  <c r="G111" i="8" s="1"/>
  <c r="F80" i="7"/>
  <c r="H111" i="8" s="1"/>
  <c r="G80" i="7"/>
  <c r="H80" i="7"/>
  <c r="I80" i="7"/>
  <c r="K111" i="8" s="1"/>
  <c r="J80" i="7"/>
  <c r="L111" i="8" s="1"/>
  <c r="K80" i="7"/>
  <c r="L80" i="7"/>
  <c r="M80" i="7"/>
  <c r="O111" i="8" s="1"/>
  <c r="N80" i="7"/>
  <c r="P111" i="8" s="1"/>
  <c r="O80" i="7"/>
  <c r="P80" i="7"/>
  <c r="Q80" i="7"/>
  <c r="S111" i="8" s="1"/>
  <c r="R80" i="7"/>
  <c r="T111" i="8" s="1"/>
  <c r="S80" i="7"/>
  <c r="T80" i="7"/>
  <c r="U80" i="7"/>
  <c r="W111" i="8" s="1"/>
  <c r="V80" i="7"/>
  <c r="X111" i="8" s="1"/>
  <c r="W80" i="7"/>
  <c r="X80" i="7"/>
  <c r="Y80" i="7"/>
  <c r="AA111" i="8" s="1"/>
  <c r="Z80" i="7"/>
  <c r="AB111" i="8" s="1"/>
  <c r="AA80" i="7"/>
  <c r="AB80" i="7"/>
  <c r="AC80" i="7"/>
  <c r="AE111" i="8" s="1"/>
  <c r="AD80" i="7"/>
  <c r="AF111" i="8" s="1"/>
  <c r="AE80" i="7"/>
  <c r="AF80" i="7"/>
  <c r="AG80" i="7"/>
  <c r="AI111" i="8" s="1"/>
  <c r="AH80" i="7"/>
  <c r="AJ111" i="8" s="1"/>
  <c r="AI80" i="7"/>
  <c r="AJ80" i="7"/>
  <c r="AK80" i="7"/>
  <c r="AM111" i="8" s="1"/>
  <c r="AL80" i="7"/>
  <c r="AN111" i="8" s="1"/>
  <c r="AM80" i="7"/>
  <c r="AN80" i="7"/>
  <c r="AO80" i="7"/>
  <c r="AQ111" i="8" s="1"/>
  <c r="AP80" i="7"/>
  <c r="AR111" i="8" s="1"/>
  <c r="AQ80" i="7"/>
  <c r="AR80" i="7"/>
  <c r="AS80" i="7"/>
  <c r="AU111" i="8" s="1"/>
  <c r="AT80" i="7"/>
  <c r="AV111" i="8" s="1"/>
  <c r="AU80" i="7"/>
  <c r="AV80" i="7"/>
  <c r="AW80" i="7"/>
  <c r="AY111" i="8" s="1"/>
  <c r="AX80" i="7"/>
  <c r="AZ111" i="8" s="1"/>
  <c r="AY80" i="7"/>
  <c r="AZ80" i="7"/>
  <c r="BA80" i="7"/>
  <c r="BC111" i="8" s="1"/>
  <c r="BB80" i="7"/>
  <c r="BD111" i="8" s="1"/>
  <c r="BC80" i="7"/>
  <c r="BD80" i="7"/>
  <c r="BE80" i="7"/>
  <c r="BG111" i="8" s="1"/>
  <c r="BF80" i="7"/>
  <c r="BH111" i="8" s="1"/>
  <c r="BH112" i="8" s="1"/>
  <c r="BG80" i="7"/>
  <c r="BH80" i="7"/>
  <c r="BI80" i="7"/>
  <c r="BK111" i="8" s="1"/>
  <c r="BJ80" i="7"/>
  <c r="BL111" i="8" s="1"/>
  <c r="BK80" i="7"/>
  <c r="BL80" i="7"/>
  <c r="B82" i="7"/>
  <c r="B115" i="8" s="1"/>
  <c r="C82" i="7"/>
  <c r="C115" i="8" s="1"/>
  <c r="E82" i="7"/>
  <c r="F82" i="7"/>
  <c r="G82" i="7"/>
  <c r="I114" i="8" s="1"/>
  <c r="H82" i="7"/>
  <c r="J114" i="8" s="1"/>
  <c r="I82" i="7"/>
  <c r="J82" i="7"/>
  <c r="K82" i="7"/>
  <c r="M114" i="8" s="1"/>
  <c r="L82" i="7"/>
  <c r="N114" i="8" s="1"/>
  <c r="M82" i="7"/>
  <c r="N82" i="7"/>
  <c r="O82" i="7"/>
  <c r="Q114" i="8" s="1"/>
  <c r="P82" i="7"/>
  <c r="R114" i="8" s="1"/>
  <c r="Q82" i="7"/>
  <c r="R82" i="7"/>
  <c r="S82" i="7"/>
  <c r="U114" i="8" s="1"/>
  <c r="T82" i="7"/>
  <c r="V114" i="8" s="1"/>
  <c r="U82" i="7"/>
  <c r="V82" i="7"/>
  <c r="W82" i="7"/>
  <c r="Y114" i="8" s="1"/>
  <c r="X82" i="7"/>
  <c r="Y82" i="7"/>
  <c r="Z82" i="7"/>
  <c r="AA82" i="7"/>
  <c r="AC114" i="8" s="1"/>
  <c r="AB82" i="7"/>
  <c r="AD114" i="8" s="1"/>
  <c r="AC82" i="7"/>
  <c r="AD82" i="7"/>
  <c r="AE82" i="7"/>
  <c r="AG114" i="8" s="1"/>
  <c r="AF82" i="7"/>
  <c r="AH114" i="8" s="1"/>
  <c r="AG82" i="7"/>
  <c r="AH82" i="7"/>
  <c r="AI82" i="7"/>
  <c r="AK114" i="8" s="1"/>
  <c r="AJ82" i="7"/>
  <c r="AL114" i="8" s="1"/>
  <c r="AK82" i="7"/>
  <c r="AL82" i="7"/>
  <c r="AM82" i="7"/>
  <c r="AO114" i="8" s="1"/>
  <c r="AN82" i="7"/>
  <c r="AP114" i="8" s="1"/>
  <c r="AO82" i="7"/>
  <c r="AP82" i="7"/>
  <c r="AQ82" i="7"/>
  <c r="AS114" i="8" s="1"/>
  <c r="AR82" i="7"/>
  <c r="AT114" i="8" s="1"/>
  <c r="AS82" i="7"/>
  <c r="AT82" i="7"/>
  <c r="AU82" i="7"/>
  <c r="AW114" i="8" s="1"/>
  <c r="AV82" i="7"/>
  <c r="AX114" i="8" s="1"/>
  <c r="AW82" i="7"/>
  <c r="AX82" i="7"/>
  <c r="AY82" i="7"/>
  <c r="BA114" i="8" s="1"/>
  <c r="AZ82" i="7"/>
  <c r="BB114" i="8" s="1"/>
  <c r="BA82" i="7"/>
  <c r="BB82" i="7"/>
  <c r="BC82" i="7"/>
  <c r="BE114" i="8" s="1"/>
  <c r="BD82" i="7"/>
  <c r="BF114" i="8" s="1"/>
  <c r="BE82" i="7"/>
  <c r="BF82" i="7"/>
  <c r="BG82" i="7"/>
  <c r="BI114" i="8" s="1"/>
  <c r="BH82" i="7"/>
  <c r="BJ114" i="8" s="1"/>
  <c r="BI82" i="7"/>
  <c r="BJ82" i="7"/>
  <c r="BK82" i="7"/>
  <c r="BM114" i="8" s="1"/>
  <c r="BL82" i="7"/>
  <c r="BN114" i="8" s="1"/>
  <c r="B84" i="7"/>
  <c r="C84" i="7"/>
  <c r="E84" i="7"/>
  <c r="F84" i="7"/>
  <c r="H117" i="8" s="1"/>
  <c r="G84" i="7"/>
  <c r="H84" i="7"/>
  <c r="I84" i="7"/>
  <c r="K117" i="8" s="1"/>
  <c r="J84" i="7"/>
  <c r="L117" i="8" s="1"/>
  <c r="K84" i="7"/>
  <c r="L84" i="7"/>
  <c r="M84" i="7"/>
  <c r="O117" i="8" s="1"/>
  <c r="N84" i="7"/>
  <c r="O84" i="7"/>
  <c r="P84" i="7"/>
  <c r="Q84" i="7"/>
  <c r="S117" i="8" s="1"/>
  <c r="R84" i="7"/>
  <c r="T117" i="8" s="1"/>
  <c r="T118" i="8" s="1"/>
  <c r="S84" i="7"/>
  <c r="T84" i="7"/>
  <c r="U84" i="7"/>
  <c r="W117" i="8" s="1"/>
  <c r="V84" i="7"/>
  <c r="X117" i="8" s="1"/>
  <c r="X118" i="8" s="1"/>
  <c r="W84" i="7"/>
  <c r="X84" i="7"/>
  <c r="Y84" i="7"/>
  <c r="AA117" i="8" s="1"/>
  <c r="Z84" i="7"/>
  <c r="AB117" i="8" s="1"/>
  <c r="AA84" i="7"/>
  <c r="AB84" i="7"/>
  <c r="AC84" i="7"/>
  <c r="AE117" i="8" s="1"/>
  <c r="AD84" i="7"/>
  <c r="AF117" i="8" s="1"/>
  <c r="AE84" i="7"/>
  <c r="AF84" i="7"/>
  <c r="AG84" i="7"/>
  <c r="AI117" i="8" s="1"/>
  <c r="AH84" i="7"/>
  <c r="AJ117" i="8" s="1"/>
  <c r="AJ118" i="8" s="1"/>
  <c r="AI84" i="7"/>
  <c r="AJ84" i="7"/>
  <c r="AK84" i="7"/>
  <c r="AM117" i="8" s="1"/>
  <c r="AL84" i="7"/>
  <c r="AN117" i="8" s="1"/>
  <c r="AM84" i="7"/>
  <c r="AN84" i="7"/>
  <c r="AO84" i="7"/>
  <c r="AQ117" i="8" s="1"/>
  <c r="AP84" i="7"/>
  <c r="AR117" i="8" s="1"/>
  <c r="AQ84" i="7"/>
  <c r="AR84" i="7"/>
  <c r="AS84" i="7"/>
  <c r="AU117" i="8" s="1"/>
  <c r="AT84" i="7"/>
  <c r="AV117" i="8" s="1"/>
  <c r="AU84" i="7"/>
  <c r="AV84" i="7"/>
  <c r="AW84" i="7"/>
  <c r="AY117" i="8" s="1"/>
  <c r="AX84" i="7"/>
  <c r="AZ117" i="8" s="1"/>
  <c r="AY84" i="7"/>
  <c r="AZ84" i="7"/>
  <c r="BA84" i="7"/>
  <c r="BC117" i="8" s="1"/>
  <c r="BB84" i="7"/>
  <c r="BD117" i="8" s="1"/>
  <c r="BD118" i="8" s="1"/>
  <c r="BC84" i="7"/>
  <c r="BD84" i="7"/>
  <c r="BE84" i="7"/>
  <c r="BG117" i="8" s="1"/>
  <c r="BF84" i="7"/>
  <c r="BH117" i="8" s="1"/>
  <c r="BG84" i="7"/>
  <c r="BH84" i="7"/>
  <c r="BI84" i="7"/>
  <c r="BK117" i="8" s="1"/>
  <c r="BJ84" i="7"/>
  <c r="BL117" i="8" s="1"/>
  <c r="BK84" i="7"/>
  <c r="BL84" i="7"/>
  <c r="B86" i="7"/>
  <c r="B121" i="8" s="1"/>
  <c r="C86" i="7"/>
  <c r="C121" i="8" s="1"/>
  <c r="E86" i="7"/>
  <c r="F86" i="7"/>
  <c r="G86" i="7"/>
  <c r="I120" i="8" s="1"/>
  <c r="H86" i="7"/>
  <c r="J120" i="8" s="1"/>
  <c r="I86" i="7"/>
  <c r="J86" i="7"/>
  <c r="K86" i="7"/>
  <c r="M120" i="8" s="1"/>
  <c r="L86" i="7"/>
  <c r="N120" i="8" s="1"/>
  <c r="M86" i="7"/>
  <c r="N86" i="7"/>
  <c r="O86" i="7"/>
  <c r="Q120" i="8" s="1"/>
  <c r="P86" i="7"/>
  <c r="R120" i="8" s="1"/>
  <c r="Q86" i="7"/>
  <c r="R86" i="7"/>
  <c r="S86" i="7"/>
  <c r="U120" i="8" s="1"/>
  <c r="T86" i="7"/>
  <c r="V120" i="8" s="1"/>
  <c r="U86" i="7"/>
  <c r="V86" i="7"/>
  <c r="W86" i="7"/>
  <c r="Y120" i="8" s="1"/>
  <c r="X86" i="7"/>
  <c r="Z120" i="8" s="1"/>
  <c r="Y86" i="7"/>
  <c r="Z86" i="7"/>
  <c r="AA86" i="7"/>
  <c r="AC120" i="8" s="1"/>
  <c r="AB86" i="7"/>
  <c r="AD120" i="8" s="1"/>
  <c r="AC86" i="7"/>
  <c r="AD86" i="7"/>
  <c r="AE86" i="7"/>
  <c r="AG120" i="8" s="1"/>
  <c r="AF86" i="7"/>
  <c r="AH120" i="8" s="1"/>
  <c r="AG86" i="7"/>
  <c r="AH86" i="7"/>
  <c r="AI86" i="7"/>
  <c r="AK120" i="8" s="1"/>
  <c r="AJ86" i="7"/>
  <c r="AK86" i="7"/>
  <c r="AL86" i="7"/>
  <c r="AM86" i="7"/>
  <c r="AO120" i="8" s="1"/>
  <c r="AN86" i="7"/>
  <c r="AP120" i="8" s="1"/>
  <c r="AO86" i="7"/>
  <c r="AP86" i="7"/>
  <c r="AQ86" i="7"/>
  <c r="AS120" i="8" s="1"/>
  <c r="AR86" i="7"/>
  <c r="AT120" i="8" s="1"/>
  <c r="AS86" i="7"/>
  <c r="AT86" i="7"/>
  <c r="AU86" i="7"/>
  <c r="AW120" i="8" s="1"/>
  <c r="AV86" i="7"/>
  <c r="AX120" i="8" s="1"/>
  <c r="AW86" i="7"/>
  <c r="AX86" i="7"/>
  <c r="AY86" i="7"/>
  <c r="BA120" i="8" s="1"/>
  <c r="AZ86" i="7"/>
  <c r="BB120" i="8" s="1"/>
  <c r="BA86" i="7"/>
  <c r="BB86" i="7"/>
  <c r="BC86" i="7"/>
  <c r="BE120" i="8" s="1"/>
  <c r="BD86" i="7"/>
  <c r="BF120" i="8" s="1"/>
  <c r="BE86" i="7"/>
  <c r="BF86" i="7"/>
  <c r="BG86" i="7"/>
  <c r="BI120" i="8" s="1"/>
  <c r="BH86" i="7"/>
  <c r="BJ120" i="8" s="1"/>
  <c r="BI86" i="7"/>
  <c r="BJ86" i="7"/>
  <c r="BK86" i="7"/>
  <c r="BM120" i="8" s="1"/>
  <c r="BL86" i="7"/>
  <c r="BN120" i="8" s="1"/>
  <c r="B88" i="7"/>
  <c r="C88" i="7"/>
  <c r="E88" i="7"/>
  <c r="G123" i="8" s="1"/>
  <c r="F88" i="7"/>
  <c r="H123" i="8" s="1"/>
  <c r="G88" i="7"/>
  <c r="H88" i="7"/>
  <c r="I88" i="7"/>
  <c r="K123" i="8" s="1"/>
  <c r="J88" i="7"/>
  <c r="L123" i="8" s="1"/>
  <c r="K88" i="7"/>
  <c r="L88" i="7"/>
  <c r="M88" i="7"/>
  <c r="O123" i="8" s="1"/>
  <c r="N88" i="7"/>
  <c r="P123" i="8" s="1"/>
  <c r="O88" i="7"/>
  <c r="P88" i="7"/>
  <c r="Q88" i="7"/>
  <c r="S123" i="8" s="1"/>
  <c r="R88" i="7"/>
  <c r="T123" i="8" s="1"/>
  <c r="T124" i="8" s="1"/>
  <c r="S88" i="7"/>
  <c r="T88" i="7"/>
  <c r="U88" i="7"/>
  <c r="W123" i="8" s="1"/>
  <c r="V88" i="7"/>
  <c r="X123" i="8" s="1"/>
  <c r="W88" i="7"/>
  <c r="X88" i="7"/>
  <c r="Y88" i="7"/>
  <c r="AA123" i="8" s="1"/>
  <c r="Z88" i="7"/>
  <c r="AB123" i="8" s="1"/>
  <c r="AB124" i="8" s="1"/>
  <c r="AA88" i="7"/>
  <c r="AB88" i="7"/>
  <c r="AC88" i="7"/>
  <c r="AE123" i="8" s="1"/>
  <c r="AD88" i="7"/>
  <c r="AF123" i="8" s="1"/>
  <c r="AE88" i="7"/>
  <c r="AF88" i="7"/>
  <c r="AG88" i="7"/>
  <c r="AI123" i="8" s="1"/>
  <c r="AH88" i="7"/>
  <c r="AJ123" i="8" s="1"/>
  <c r="AI88" i="7"/>
  <c r="AJ88" i="7"/>
  <c r="AK88" i="7"/>
  <c r="AM123" i="8" s="1"/>
  <c r="AL88" i="7"/>
  <c r="AN123" i="8" s="1"/>
  <c r="AM88" i="7"/>
  <c r="AN88" i="7"/>
  <c r="AO88" i="7"/>
  <c r="AQ123" i="8" s="1"/>
  <c r="AP88" i="7"/>
  <c r="AR123" i="8" s="1"/>
  <c r="AR124" i="8" s="1"/>
  <c r="AQ88" i="7"/>
  <c r="AR88" i="7"/>
  <c r="AS88" i="7"/>
  <c r="AU123" i="8" s="1"/>
  <c r="AT88" i="7"/>
  <c r="AV123" i="8" s="1"/>
  <c r="AU88" i="7"/>
  <c r="AV88" i="7"/>
  <c r="AW88" i="7"/>
  <c r="AY123" i="8" s="1"/>
  <c r="AX88" i="7"/>
  <c r="AY88" i="7"/>
  <c r="AZ88" i="7"/>
  <c r="BA88" i="7"/>
  <c r="BC123" i="8" s="1"/>
  <c r="BB88" i="7"/>
  <c r="BD123" i="8" s="1"/>
  <c r="BC88" i="7"/>
  <c r="BD88" i="7"/>
  <c r="BE88" i="7"/>
  <c r="BG123" i="8" s="1"/>
  <c r="BF88" i="7"/>
  <c r="BH123" i="8" s="1"/>
  <c r="BG88" i="7"/>
  <c r="BH88" i="7"/>
  <c r="BI88" i="7"/>
  <c r="BK123" i="8" s="1"/>
  <c r="BJ88" i="7"/>
  <c r="BL123" i="8" s="1"/>
  <c r="BK88" i="7"/>
  <c r="BL88" i="7"/>
  <c r="B90" i="7"/>
  <c r="B127" i="8" s="1"/>
  <c r="C90" i="7"/>
  <c r="C127" i="8" s="1"/>
  <c r="E90" i="7"/>
  <c r="F90" i="7"/>
  <c r="G90" i="7"/>
  <c r="I126" i="8" s="1"/>
  <c r="H90" i="7"/>
  <c r="J126" i="8" s="1"/>
  <c r="I90" i="7"/>
  <c r="J90" i="7"/>
  <c r="K90" i="7"/>
  <c r="M126" i="8" s="1"/>
  <c r="L90" i="7"/>
  <c r="N126" i="8" s="1"/>
  <c r="M90" i="7"/>
  <c r="N90" i="7"/>
  <c r="O90" i="7"/>
  <c r="Q126" i="8" s="1"/>
  <c r="P90" i="7"/>
  <c r="R126" i="8" s="1"/>
  <c r="Q90" i="7"/>
  <c r="R90" i="7"/>
  <c r="S90" i="7"/>
  <c r="U126" i="8" s="1"/>
  <c r="T90" i="7"/>
  <c r="V126" i="8" s="1"/>
  <c r="U90" i="7"/>
  <c r="V90" i="7"/>
  <c r="W90" i="7"/>
  <c r="Y126" i="8" s="1"/>
  <c r="X90" i="7"/>
  <c r="Y90" i="7"/>
  <c r="Z90" i="7"/>
  <c r="AA90" i="7"/>
  <c r="AC126" i="8" s="1"/>
  <c r="AB90" i="7"/>
  <c r="AD126" i="8" s="1"/>
  <c r="AD127" i="8" s="1"/>
  <c r="AC90" i="7"/>
  <c r="AD90" i="7"/>
  <c r="AE90" i="7"/>
  <c r="AG126" i="8" s="1"/>
  <c r="AF90" i="7"/>
  <c r="AH126" i="8" s="1"/>
  <c r="AG90" i="7"/>
  <c r="AH90" i="7"/>
  <c r="AI90" i="7"/>
  <c r="AK126" i="8" s="1"/>
  <c r="AJ90" i="7"/>
  <c r="AL126" i="8" s="1"/>
  <c r="AK90" i="7"/>
  <c r="AL90" i="7"/>
  <c r="AM90" i="7"/>
  <c r="AO126" i="8" s="1"/>
  <c r="AN90" i="7"/>
  <c r="AP126" i="8" s="1"/>
  <c r="AO90" i="7"/>
  <c r="AP90" i="7"/>
  <c r="AQ90" i="7"/>
  <c r="AS126" i="8" s="1"/>
  <c r="AR90" i="7"/>
  <c r="AT126" i="8" s="1"/>
  <c r="AS90" i="7"/>
  <c r="AT90" i="7"/>
  <c r="AU90" i="7"/>
  <c r="AW126" i="8" s="1"/>
  <c r="AV90" i="7"/>
  <c r="AX126" i="8" s="1"/>
  <c r="AW90" i="7"/>
  <c r="AX90" i="7"/>
  <c r="AY90" i="7"/>
  <c r="BA126" i="8" s="1"/>
  <c r="AZ90" i="7"/>
  <c r="BB126" i="8" s="1"/>
  <c r="BA90" i="7"/>
  <c r="BB90" i="7"/>
  <c r="BC90" i="7"/>
  <c r="BE126" i="8" s="1"/>
  <c r="BD90" i="7"/>
  <c r="BE90" i="7"/>
  <c r="BF90" i="7"/>
  <c r="BG90" i="7"/>
  <c r="BI126" i="8" s="1"/>
  <c r="BH90" i="7"/>
  <c r="BJ126" i="8" s="1"/>
  <c r="BI90" i="7"/>
  <c r="BJ90" i="7"/>
  <c r="BK90" i="7"/>
  <c r="BM126" i="8" s="1"/>
  <c r="BL90" i="7"/>
  <c r="BN126" i="8" s="1"/>
  <c r="A91" i="7"/>
  <c r="B93" i="7"/>
  <c r="B132" i="8" s="1"/>
  <c r="C93" i="7"/>
  <c r="C132" i="8" s="1"/>
  <c r="E93" i="7"/>
  <c r="G131" i="8" s="1"/>
  <c r="F93" i="7"/>
  <c r="G93" i="7"/>
  <c r="H93" i="7"/>
  <c r="J131" i="8" s="1"/>
  <c r="I93" i="7"/>
  <c r="K131" i="8" s="1"/>
  <c r="J93" i="7"/>
  <c r="L131" i="8" s="1"/>
  <c r="K93" i="7"/>
  <c r="M131" i="8" s="1"/>
  <c r="L93" i="7"/>
  <c r="N131" i="8" s="1"/>
  <c r="M93" i="7"/>
  <c r="O131" i="8" s="1"/>
  <c r="N93" i="7"/>
  <c r="O93" i="7"/>
  <c r="Q131" i="8" s="1"/>
  <c r="P93" i="7"/>
  <c r="R131" i="8" s="1"/>
  <c r="Q93" i="7"/>
  <c r="S131" i="8" s="1"/>
  <c r="R93" i="7"/>
  <c r="S93" i="7"/>
  <c r="U131" i="8" s="1"/>
  <c r="T93" i="7"/>
  <c r="V131" i="8" s="1"/>
  <c r="U93" i="7"/>
  <c r="W131" i="8" s="1"/>
  <c r="V93" i="7"/>
  <c r="X131" i="8" s="1"/>
  <c r="W93" i="7"/>
  <c r="Y131" i="8" s="1"/>
  <c r="X93" i="7"/>
  <c r="Z131" i="8" s="1"/>
  <c r="Y93" i="7"/>
  <c r="AA131" i="8" s="1"/>
  <c r="Z93" i="7"/>
  <c r="AA93" i="7"/>
  <c r="AB93" i="7"/>
  <c r="AD131" i="8" s="1"/>
  <c r="AC93" i="7"/>
  <c r="AE131" i="8" s="1"/>
  <c r="AD93" i="7"/>
  <c r="AF131" i="8" s="1"/>
  <c r="AE93" i="7"/>
  <c r="AG131" i="8" s="1"/>
  <c r="AF93" i="7"/>
  <c r="AH131" i="8" s="1"/>
  <c r="AG93" i="7"/>
  <c r="AI131" i="8" s="1"/>
  <c r="AH93" i="7"/>
  <c r="AI93" i="7"/>
  <c r="AK131" i="8" s="1"/>
  <c r="AJ93" i="7"/>
  <c r="AL131" i="8" s="1"/>
  <c r="AK93" i="7"/>
  <c r="AM131" i="8" s="1"/>
  <c r="AL93" i="7"/>
  <c r="AM93" i="7"/>
  <c r="AN93" i="7"/>
  <c r="AP131" i="8" s="1"/>
  <c r="AO93" i="7"/>
  <c r="AQ131" i="8" s="1"/>
  <c r="AP93" i="7"/>
  <c r="AR131" i="8" s="1"/>
  <c r="AQ93" i="7"/>
  <c r="AS131" i="8" s="1"/>
  <c r="AR93" i="7"/>
  <c r="AT131" i="8" s="1"/>
  <c r="AS93" i="7"/>
  <c r="AU131" i="8" s="1"/>
  <c r="AT93" i="7"/>
  <c r="AU93" i="7"/>
  <c r="AW131" i="8" s="1"/>
  <c r="AV93" i="7"/>
  <c r="AX131" i="8" s="1"/>
  <c r="AW93" i="7"/>
  <c r="AY131" i="8" s="1"/>
  <c r="AX93" i="7"/>
  <c r="AY93" i="7"/>
  <c r="BA131" i="8" s="1"/>
  <c r="AZ93" i="7"/>
  <c r="BB131" i="8" s="1"/>
  <c r="BA93" i="7"/>
  <c r="BC131" i="8" s="1"/>
  <c r="BB93" i="7"/>
  <c r="BD131" i="8" s="1"/>
  <c r="BC93" i="7"/>
  <c r="BE131" i="8" s="1"/>
  <c r="BD93" i="7"/>
  <c r="BF131" i="8" s="1"/>
  <c r="BE93" i="7"/>
  <c r="BG131" i="8" s="1"/>
  <c r="BF93" i="7"/>
  <c r="BG93" i="7"/>
  <c r="BI131" i="8" s="1"/>
  <c r="BH93" i="7"/>
  <c r="BJ131" i="8" s="1"/>
  <c r="BI93" i="7"/>
  <c r="BK131" i="8" s="1"/>
  <c r="BJ93" i="7"/>
  <c r="BK93" i="7"/>
  <c r="BM131" i="8" s="1"/>
  <c r="BL93" i="7"/>
  <c r="BN131" i="8" s="1"/>
  <c r="B95" i="7"/>
  <c r="B135" i="8" s="1"/>
  <c r="C95" i="7"/>
  <c r="E95" i="7"/>
  <c r="F95" i="7"/>
  <c r="H134" i="8" s="1"/>
  <c r="G95" i="7"/>
  <c r="I134" i="8" s="1"/>
  <c r="H95" i="7"/>
  <c r="I95" i="7"/>
  <c r="J95" i="7"/>
  <c r="L134" i="8" s="1"/>
  <c r="K95" i="7"/>
  <c r="M134" i="8" s="1"/>
  <c r="L95" i="7"/>
  <c r="M95" i="7"/>
  <c r="N95" i="7"/>
  <c r="P134" i="8" s="1"/>
  <c r="O95" i="7"/>
  <c r="P95" i="7"/>
  <c r="Q95" i="7"/>
  <c r="R95" i="7"/>
  <c r="T134" i="8" s="1"/>
  <c r="S95" i="7"/>
  <c r="U134" i="8" s="1"/>
  <c r="T95" i="7"/>
  <c r="U95" i="7"/>
  <c r="V95" i="7"/>
  <c r="X134" i="8" s="1"/>
  <c r="W95" i="7"/>
  <c r="Y134" i="8" s="1"/>
  <c r="X95" i="7"/>
  <c r="Y95" i="7"/>
  <c r="Z95" i="7"/>
  <c r="AB134" i="8" s="1"/>
  <c r="AA95" i="7"/>
  <c r="AC134" i="8" s="1"/>
  <c r="AB95" i="7"/>
  <c r="AC95" i="7"/>
  <c r="AD95" i="7"/>
  <c r="AF134" i="8" s="1"/>
  <c r="AE95" i="7"/>
  <c r="AG134" i="8" s="1"/>
  <c r="AF95" i="7"/>
  <c r="AG95" i="7"/>
  <c r="AH95" i="7"/>
  <c r="AJ134" i="8" s="1"/>
  <c r="AI95" i="7"/>
  <c r="AK134" i="8" s="1"/>
  <c r="AJ95" i="7"/>
  <c r="AK95" i="7"/>
  <c r="AL95" i="7"/>
  <c r="AN134" i="8" s="1"/>
  <c r="AM95" i="7"/>
  <c r="AO134" i="8" s="1"/>
  <c r="AN95" i="7"/>
  <c r="AO95" i="7"/>
  <c r="AP95" i="7"/>
  <c r="AR134" i="8" s="1"/>
  <c r="AQ95" i="7"/>
  <c r="AS134" i="8" s="1"/>
  <c r="AR95" i="7"/>
  <c r="AS95" i="7"/>
  <c r="AT95" i="7"/>
  <c r="AV134" i="8" s="1"/>
  <c r="AU95" i="7"/>
  <c r="AW134" i="8" s="1"/>
  <c r="AV95" i="7"/>
  <c r="AW95" i="7"/>
  <c r="AX95" i="7"/>
  <c r="AZ134" i="8" s="1"/>
  <c r="AY95" i="7"/>
  <c r="BA134" i="8" s="1"/>
  <c r="AZ95" i="7"/>
  <c r="BA95" i="7"/>
  <c r="BB95" i="7"/>
  <c r="BD134" i="8" s="1"/>
  <c r="BC95" i="7"/>
  <c r="BD95" i="7"/>
  <c r="BE95" i="7"/>
  <c r="BF95" i="7"/>
  <c r="BH134" i="8" s="1"/>
  <c r="BG95" i="7"/>
  <c r="BI134" i="8" s="1"/>
  <c r="BH95" i="7"/>
  <c r="BI95" i="7"/>
  <c r="BJ95" i="7"/>
  <c r="BL134" i="8" s="1"/>
  <c r="BK95" i="7"/>
  <c r="BM134" i="8" s="1"/>
  <c r="BL95" i="7"/>
  <c r="B97" i="7"/>
  <c r="B138" i="8" s="1"/>
  <c r="C97" i="7"/>
  <c r="C138" i="8" s="1"/>
  <c r="E97" i="7"/>
  <c r="G137" i="8" s="1"/>
  <c r="F97" i="7"/>
  <c r="G97" i="7"/>
  <c r="H97" i="7"/>
  <c r="J137" i="8" s="1"/>
  <c r="I97" i="7"/>
  <c r="K137" i="8" s="1"/>
  <c r="J97" i="7"/>
  <c r="K97" i="7"/>
  <c r="L97" i="7"/>
  <c r="N137" i="8" s="1"/>
  <c r="M97" i="7"/>
  <c r="O137" i="8" s="1"/>
  <c r="N97" i="7"/>
  <c r="O97" i="7"/>
  <c r="Q137" i="8" s="1"/>
  <c r="P97" i="7"/>
  <c r="R137" i="8" s="1"/>
  <c r="Q97" i="7"/>
  <c r="S137" i="8" s="1"/>
  <c r="R97" i="7"/>
  <c r="S97" i="7"/>
  <c r="U137" i="8" s="1"/>
  <c r="T97" i="7"/>
  <c r="V137" i="8" s="1"/>
  <c r="U97" i="7"/>
  <c r="W137" i="8" s="1"/>
  <c r="V97" i="7"/>
  <c r="W97" i="7"/>
  <c r="X97" i="7"/>
  <c r="Z137" i="8" s="1"/>
  <c r="Y97" i="7"/>
  <c r="AA137" i="8" s="1"/>
  <c r="Z97" i="7"/>
  <c r="AA97" i="7"/>
  <c r="AC137" i="8" s="1"/>
  <c r="AB97" i="7"/>
  <c r="AD137" i="8" s="1"/>
  <c r="AC97" i="7"/>
  <c r="AE137" i="8" s="1"/>
  <c r="AD97" i="7"/>
  <c r="AE97" i="7"/>
  <c r="AG137" i="8" s="1"/>
  <c r="AF97" i="7"/>
  <c r="AH137" i="8" s="1"/>
  <c r="AG97" i="7"/>
  <c r="AI137" i="8" s="1"/>
  <c r="AH97" i="7"/>
  <c r="AI97" i="7"/>
  <c r="AK137" i="8" s="1"/>
  <c r="AJ97" i="7"/>
  <c r="AL137" i="8" s="1"/>
  <c r="AK97" i="7"/>
  <c r="AM137" i="8" s="1"/>
  <c r="AL97" i="7"/>
  <c r="AN137" i="8" s="1"/>
  <c r="AM97" i="7"/>
  <c r="AN97" i="7"/>
  <c r="AP137" i="8" s="1"/>
  <c r="AO97" i="7"/>
  <c r="AQ137" i="8" s="1"/>
  <c r="AP97" i="7"/>
  <c r="AQ97" i="7"/>
  <c r="AS137" i="8" s="1"/>
  <c r="AR97" i="7"/>
  <c r="AT137" i="8" s="1"/>
  <c r="AS97" i="7"/>
  <c r="AU137" i="8" s="1"/>
  <c r="AT97" i="7"/>
  <c r="AU97" i="7"/>
  <c r="AW137" i="8" s="1"/>
  <c r="AV97" i="7"/>
  <c r="AX137" i="8" s="1"/>
  <c r="AW97" i="7"/>
  <c r="AY137" i="8" s="1"/>
  <c r="AX97" i="7"/>
  <c r="AZ137" i="8" s="1"/>
  <c r="AY97" i="7"/>
  <c r="BA137" i="8" s="1"/>
  <c r="AZ97" i="7"/>
  <c r="BB137" i="8" s="1"/>
  <c r="BA97" i="7"/>
  <c r="BC137" i="8" s="1"/>
  <c r="BB97" i="7"/>
  <c r="BC97" i="7"/>
  <c r="BE137" i="8" s="1"/>
  <c r="BD97" i="7"/>
  <c r="BF137" i="8" s="1"/>
  <c r="BE97" i="7"/>
  <c r="BG137" i="8" s="1"/>
  <c r="BF97" i="7"/>
  <c r="BG97" i="7"/>
  <c r="BI137" i="8" s="1"/>
  <c r="BH97" i="7"/>
  <c r="BJ137" i="8" s="1"/>
  <c r="BI97" i="7"/>
  <c r="BK137" i="8" s="1"/>
  <c r="BJ97" i="7"/>
  <c r="BK97" i="7"/>
  <c r="BM137" i="8" s="1"/>
  <c r="BL97" i="7"/>
  <c r="BN137" i="8" s="1"/>
  <c r="B99" i="7"/>
  <c r="B141" i="8" s="1"/>
  <c r="C99" i="7"/>
  <c r="E99" i="7"/>
  <c r="F99" i="7"/>
  <c r="H140" i="8" s="1"/>
  <c r="G99" i="7"/>
  <c r="I140" i="8" s="1"/>
  <c r="H99" i="7"/>
  <c r="I99" i="7"/>
  <c r="J99" i="7"/>
  <c r="L140" i="8" s="1"/>
  <c r="K99" i="7"/>
  <c r="M140" i="8" s="1"/>
  <c r="L99" i="7"/>
  <c r="M99" i="7"/>
  <c r="N99" i="7"/>
  <c r="P140" i="8" s="1"/>
  <c r="O99" i="7"/>
  <c r="P99" i="7"/>
  <c r="Q99" i="7"/>
  <c r="R99" i="7"/>
  <c r="T140" i="8" s="1"/>
  <c r="S99" i="7"/>
  <c r="U140" i="8" s="1"/>
  <c r="T99" i="7"/>
  <c r="U99" i="7"/>
  <c r="V99" i="7"/>
  <c r="X140" i="8" s="1"/>
  <c r="W99" i="7"/>
  <c r="Y140" i="8" s="1"/>
  <c r="X99" i="7"/>
  <c r="Y99" i="7"/>
  <c r="Z99" i="7"/>
  <c r="AB140" i="8" s="1"/>
  <c r="AA99" i="7"/>
  <c r="AB99" i="7"/>
  <c r="AC99" i="7"/>
  <c r="AD99" i="7"/>
  <c r="AF140" i="8" s="1"/>
  <c r="AE99" i="7"/>
  <c r="AG140" i="8" s="1"/>
  <c r="AF99" i="7"/>
  <c r="AG99" i="7"/>
  <c r="AH99" i="7"/>
  <c r="AJ140" i="8" s="1"/>
  <c r="AI99" i="7"/>
  <c r="AK140" i="8" s="1"/>
  <c r="AJ99" i="7"/>
  <c r="AK99" i="7"/>
  <c r="AL99" i="7"/>
  <c r="AN140" i="8" s="1"/>
  <c r="AM99" i="7"/>
  <c r="AN99" i="7"/>
  <c r="AO99" i="7"/>
  <c r="AP99" i="7"/>
  <c r="AR140" i="8" s="1"/>
  <c r="AQ99" i="7"/>
  <c r="AS140" i="8" s="1"/>
  <c r="AR99" i="7"/>
  <c r="AS99" i="7"/>
  <c r="AT99" i="7"/>
  <c r="AV140" i="8" s="1"/>
  <c r="AU99" i="7"/>
  <c r="AW140" i="8" s="1"/>
  <c r="AV99" i="7"/>
  <c r="AW99" i="7"/>
  <c r="AX99" i="7"/>
  <c r="AZ140" i="8" s="1"/>
  <c r="AY99" i="7"/>
  <c r="BA140" i="8" s="1"/>
  <c r="AZ99" i="7"/>
  <c r="BA99" i="7"/>
  <c r="BB99" i="7"/>
  <c r="BD140" i="8" s="1"/>
  <c r="BC99" i="7"/>
  <c r="BE140" i="8" s="1"/>
  <c r="BD99" i="7"/>
  <c r="BE99" i="7"/>
  <c r="BF99" i="7"/>
  <c r="BH140" i="8" s="1"/>
  <c r="BG99" i="7"/>
  <c r="BI140" i="8" s="1"/>
  <c r="BH99" i="7"/>
  <c r="BI99" i="7"/>
  <c r="BJ99" i="7"/>
  <c r="BL140" i="8" s="1"/>
  <c r="BK99" i="7"/>
  <c r="BM140" i="8" s="1"/>
  <c r="BL99" i="7"/>
  <c r="B101" i="7"/>
  <c r="C101" i="7"/>
  <c r="C144" i="8" s="1"/>
  <c r="E101" i="7"/>
  <c r="G143" i="8" s="1"/>
  <c r="F101" i="7"/>
  <c r="G101" i="7"/>
  <c r="H101" i="7"/>
  <c r="J143" i="8" s="1"/>
  <c r="I101" i="7"/>
  <c r="K143" i="8" s="1"/>
  <c r="J101" i="7"/>
  <c r="K101" i="7"/>
  <c r="L101" i="7"/>
  <c r="N143" i="8" s="1"/>
  <c r="M101" i="7"/>
  <c r="O143" i="8" s="1"/>
  <c r="N101" i="7"/>
  <c r="O101" i="7"/>
  <c r="P101" i="7"/>
  <c r="R143" i="8" s="1"/>
  <c r="Q101" i="7"/>
  <c r="R101" i="7"/>
  <c r="S101" i="7"/>
  <c r="T101" i="7"/>
  <c r="V143" i="8" s="1"/>
  <c r="U101" i="7"/>
  <c r="W143" i="8" s="1"/>
  <c r="V101" i="7"/>
  <c r="W101" i="7"/>
  <c r="X101" i="7"/>
  <c r="Z143" i="8" s="1"/>
  <c r="Y101" i="7"/>
  <c r="AA143" i="8" s="1"/>
  <c r="Z101" i="7"/>
  <c r="AA101" i="7"/>
  <c r="AB101" i="7"/>
  <c r="AD143" i="8" s="1"/>
  <c r="AC101" i="7"/>
  <c r="AD101" i="7"/>
  <c r="AE101" i="7"/>
  <c r="AF101" i="7"/>
  <c r="AH143" i="8" s="1"/>
  <c r="AG101" i="7"/>
  <c r="AI143" i="8" s="1"/>
  <c r="AH101" i="7"/>
  <c r="AI101" i="7"/>
  <c r="AJ101" i="7"/>
  <c r="AL143" i="8" s="1"/>
  <c r="AK101" i="7"/>
  <c r="AM143" i="8" s="1"/>
  <c r="AL101" i="7"/>
  <c r="AM101" i="7"/>
  <c r="AN101" i="7"/>
  <c r="AP143" i="8" s="1"/>
  <c r="AO101" i="7"/>
  <c r="AP101" i="7"/>
  <c r="AQ101" i="7"/>
  <c r="AR101" i="7"/>
  <c r="AT143" i="8" s="1"/>
  <c r="AS101" i="7"/>
  <c r="AU143" i="8" s="1"/>
  <c r="AT101" i="7"/>
  <c r="AU101" i="7"/>
  <c r="AV101" i="7"/>
  <c r="AX143" i="8" s="1"/>
  <c r="AW101" i="7"/>
  <c r="AY143" i="8" s="1"/>
  <c r="AX101" i="7"/>
  <c r="AY101" i="7"/>
  <c r="AZ101" i="7"/>
  <c r="BB143" i="8" s="1"/>
  <c r="BA101" i="7"/>
  <c r="BC143" i="8" s="1"/>
  <c r="BB101" i="7"/>
  <c r="BC101" i="7"/>
  <c r="BD101" i="7"/>
  <c r="BF143" i="8" s="1"/>
  <c r="BE101" i="7"/>
  <c r="BG143" i="8" s="1"/>
  <c r="BF101" i="7"/>
  <c r="BG101" i="7"/>
  <c r="BH101" i="7"/>
  <c r="BJ143" i="8" s="1"/>
  <c r="BI101" i="7"/>
  <c r="BK143" i="8" s="1"/>
  <c r="BJ101" i="7"/>
  <c r="BK101" i="7"/>
  <c r="BL101" i="7"/>
  <c r="BN143" i="8" s="1"/>
  <c r="B103" i="7"/>
  <c r="C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AD103" i="7"/>
  <c r="AE103" i="7"/>
  <c r="AF103" i="7"/>
  <c r="AG103" i="7"/>
  <c r="AH103" i="7"/>
  <c r="AI103" i="7"/>
  <c r="AJ103" i="7"/>
  <c r="AK103" i="7"/>
  <c r="AL103" i="7"/>
  <c r="AM103" i="7"/>
  <c r="AN103" i="7"/>
  <c r="AO103" i="7"/>
  <c r="AP103" i="7"/>
  <c r="AQ103" i="7"/>
  <c r="AR103" i="7"/>
  <c r="AS103" i="7"/>
  <c r="AT103" i="7"/>
  <c r="AU103" i="7"/>
  <c r="AV103" i="7"/>
  <c r="AW103" i="7"/>
  <c r="AX103" i="7"/>
  <c r="AY103" i="7"/>
  <c r="AZ103" i="7"/>
  <c r="BA103" i="7"/>
  <c r="BB103" i="7"/>
  <c r="BC103" i="7"/>
  <c r="BD103" i="7"/>
  <c r="BE103" i="7"/>
  <c r="BF103" i="7"/>
  <c r="BG103" i="7"/>
  <c r="BH103" i="7"/>
  <c r="BI103" i="7"/>
  <c r="BJ103" i="7"/>
  <c r="BK103" i="7"/>
  <c r="BL103" i="7"/>
  <c r="B105" i="7"/>
  <c r="C105" i="7"/>
  <c r="E105" i="7"/>
  <c r="F105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AD105" i="7"/>
  <c r="AE105" i="7"/>
  <c r="AF105" i="7"/>
  <c r="AG105" i="7"/>
  <c r="AH105" i="7"/>
  <c r="AI105" i="7"/>
  <c r="AJ105" i="7"/>
  <c r="AK105" i="7"/>
  <c r="AL105" i="7"/>
  <c r="AM105" i="7"/>
  <c r="AN105" i="7"/>
  <c r="AO105" i="7"/>
  <c r="AP105" i="7"/>
  <c r="AQ105" i="7"/>
  <c r="AR105" i="7"/>
  <c r="AS105" i="7"/>
  <c r="AT105" i="7"/>
  <c r="AU105" i="7"/>
  <c r="AV105" i="7"/>
  <c r="AW105" i="7"/>
  <c r="AX105" i="7"/>
  <c r="AY105" i="7"/>
  <c r="AZ105" i="7"/>
  <c r="BA105" i="7"/>
  <c r="BB105" i="7"/>
  <c r="BC105" i="7"/>
  <c r="BD105" i="7"/>
  <c r="BE105" i="7"/>
  <c r="BF105" i="7"/>
  <c r="BG105" i="7"/>
  <c r="BH105" i="7"/>
  <c r="BI105" i="7"/>
  <c r="BJ105" i="7"/>
  <c r="BK105" i="7"/>
  <c r="BL105" i="7"/>
  <c r="B107" i="7"/>
  <c r="C107" i="7"/>
  <c r="E107" i="7"/>
  <c r="F107" i="7"/>
  <c r="G107" i="7"/>
  <c r="H107" i="7"/>
  <c r="I107" i="7"/>
  <c r="J107" i="7"/>
  <c r="K107" i="7"/>
  <c r="L107" i="7"/>
  <c r="M107" i="7"/>
  <c r="N107" i="7"/>
  <c r="O107" i="7"/>
  <c r="P107" i="7"/>
  <c r="Q107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AD107" i="7"/>
  <c r="AE107" i="7"/>
  <c r="AF107" i="7"/>
  <c r="AG107" i="7"/>
  <c r="AH107" i="7"/>
  <c r="AI107" i="7"/>
  <c r="AJ107" i="7"/>
  <c r="AK107" i="7"/>
  <c r="AL107" i="7"/>
  <c r="AM107" i="7"/>
  <c r="AN107" i="7"/>
  <c r="AO107" i="7"/>
  <c r="AP107" i="7"/>
  <c r="AQ107" i="7"/>
  <c r="AR107" i="7"/>
  <c r="AS107" i="7"/>
  <c r="AT107" i="7"/>
  <c r="AU107" i="7"/>
  <c r="AV107" i="7"/>
  <c r="AW107" i="7"/>
  <c r="AX107" i="7"/>
  <c r="AY107" i="7"/>
  <c r="AZ107" i="7"/>
  <c r="BA107" i="7"/>
  <c r="BB107" i="7"/>
  <c r="BC107" i="7"/>
  <c r="BD107" i="7"/>
  <c r="BE107" i="7"/>
  <c r="BF107" i="7"/>
  <c r="BG107" i="7"/>
  <c r="BH107" i="7"/>
  <c r="BI107" i="7"/>
  <c r="BJ107" i="7"/>
  <c r="BK107" i="7"/>
  <c r="BL107" i="7"/>
  <c r="B109" i="7"/>
  <c r="C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Q109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AD109" i="7"/>
  <c r="AE109" i="7"/>
  <c r="AF109" i="7"/>
  <c r="AG109" i="7"/>
  <c r="AH109" i="7"/>
  <c r="AI109" i="7"/>
  <c r="AJ109" i="7"/>
  <c r="AK109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BK109" i="7"/>
  <c r="BL109" i="7"/>
  <c r="B111" i="7"/>
  <c r="C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AD111" i="7"/>
  <c r="AE111" i="7"/>
  <c r="AF111" i="7"/>
  <c r="AG111" i="7"/>
  <c r="AH111" i="7"/>
  <c r="AI111" i="7"/>
  <c r="AJ111" i="7"/>
  <c r="AK111" i="7"/>
  <c r="AL111" i="7"/>
  <c r="AM111" i="7"/>
  <c r="AN111" i="7"/>
  <c r="AO111" i="7"/>
  <c r="AP111" i="7"/>
  <c r="AQ111" i="7"/>
  <c r="AR111" i="7"/>
  <c r="AS111" i="7"/>
  <c r="AT111" i="7"/>
  <c r="AU111" i="7"/>
  <c r="AV111" i="7"/>
  <c r="AW111" i="7"/>
  <c r="AX111" i="7"/>
  <c r="AY111" i="7"/>
  <c r="AZ111" i="7"/>
  <c r="BA111" i="7"/>
  <c r="BB111" i="7"/>
  <c r="BC111" i="7"/>
  <c r="BD111" i="7"/>
  <c r="BE111" i="7"/>
  <c r="BF111" i="7"/>
  <c r="BG111" i="7"/>
  <c r="BH111" i="7"/>
  <c r="BI111" i="7"/>
  <c r="BJ111" i="7"/>
  <c r="BK111" i="7"/>
  <c r="BL111" i="7"/>
  <c r="B113" i="7"/>
  <c r="C113" i="7"/>
  <c r="E113" i="7"/>
  <c r="F113" i="7"/>
  <c r="G113" i="7"/>
  <c r="H113" i="7"/>
  <c r="I113" i="7"/>
  <c r="J113" i="7"/>
  <c r="K113" i="7"/>
  <c r="L113" i="7"/>
  <c r="M113" i="7"/>
  <c r="N113" i="7"/>
  <c r="O113" i="7"/>
  <c r="P113" i="7"/>
  <c r="Q113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AD113" i="7"/>
  <c r="AE113" i="7"/>
  <c r="AF113" i="7"/>
  <c r="AG113" i="7"/>
  <c r="AH113" i="7"/>
  <c r="AI113" i="7"/>
  <c r="AJ113" i="7"/>
  <c r="AK113" i="7"/>
  <c r="AL113" i="7"/>
  <c r="AM113" i="7"/>
  <c r="AN113" i="7"/>
  <c r="AO113" i="7"/>
  <c r="AP113" i="7"/>
  <c r="AQ113" i="7"/>
  <c r="AR113" i="7"/>
  <c r="AS113" i="7"/>
  <c r="AT113" i="7"/>
  <c r="AU113" i="7"/>
  <c r="AV113" i="7"/>
  <c r="AW113" i="7"/>
  <c r="AX113" i="7"/>
  <c r="AY113" i="7"/>
  <c r="AZ113" i="7"/>
  <c r="BA113" i="7"/>
  <c r="BB113" i="7"/>
  <c r="BC113" i="7"/>
  <c r="BD113" i="7"/>
  <c r="BE113" i="7"/>
  <c r="BF113" i="7"/>
  <c r="BG113" i="7"/>
  <c r="BH113" i="7"/>
  <c r="BI113" i="7"/>
  <c r="BJ113" i="7"/>
  <c r="BK113" i="7"/>
  <c r="BL113" i="7"/>
  <c r="B115" i="7"/>
  <c r="C115" i="7"/>
  <c r="E115" i="7"/>
  <c r="F115" i="7"/>
  <c r="G115" i="7"/>
  <c r="H115" i="7"/>
  <c r="I115" i="7"/>
  <c r="J115" i="7"/>
  <c r="K115" i="7"/>
  <c r="L115" i="7"/>
  <c r="M115" i="7"/>
  <c r="N115" i="7"/>
  <c r="O115" i="7"/>
  <c r="P115" i="7"/>
  <c r="Q115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AD115" i="7"/>
  <c r="AE115" i="7"/>
  <c r="AF115" i="7"/>
  <c r="AG115" i="7"/>
  <c r="AH115" i="7"/>
  <c r="AI115" i="7"/>
  <c r="AJ115" i="7"/>
  <c r="AK115" i="7"/>
  <c r="AL115" i="7"/>
  <c r="AM115" i="7"/>
  <c r="AN115" i="7"/>
  <c r="AO115" i="7"/>
  <c r="AP115" i="7"/>
  <c r="AQ115" i="7"/>
  <c r="AR115" i="7"/>
  <c r="AS115" i="7"/>
  <c r="AT115" i="7"/>
  <c r="AU115" i="7"/>
  <c r="AV115" i="7"/>
  <c r="AW115" i="7"/>
  <c r="AX115" i="7"/>
  <c r="AY115" i="7"/>
  <c r="AZ115" i="7"/>
  <c r="BA115" i="7"/>
  <c r="BB115" i="7"/>
  <c r="BC115" i="7"/>
  <c r="BD115" i="7"/>
  <c r="BE115" i="7"/>
  <c r="BF115" i="7"/>
  <c r="BG115" i="7"/>
  <c r="BH115" i="7"/>
  <c r="BI115" i="7"/>
  <c r="BJ115" i="7"/>
  <c r="BK115" i="7"/>
  <c r="BL115" i="7"/>
  <c r="B117" i="7"/>
  <c r="C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AD117" i="7"/>
  <c r="AE117" i="7"/>
  <c r="AF117" i="7"/>
  <c r="AG117" i="7"/>
  <c r="AH117" i="7"/>
  <c r="AI117" i="7"/>
  <c r="AJ117" i="7"/>
  <c r="AK117" i="7"/>
  <c r="AL117" i="7"/>
  <c r="AM117" i="7"/>
  <c r="AN117" i="7"/>
  <c r="AO117" i="7"/>
  <c r="AP117" i="7"/>
  <c r="AQ117" i="7"/>
  <c r="AR117" i="7"/>
  <c r="AS117" i="7"/>
  <c r="AT117" i="7"/>
  <c r="AU117" i="7"/>
  <c r="AV117" i="7"/>
  <c r="AW117" i="7"/>
  <c r="AX117" i="7"/>
  <c r="AY117" i="7"/>
  <c r="AZ117" i="7"/>
  <c r="BA117" i="7"/>
  <c r="BB117" i="7"/>
  <c r="BC117" i="7"/>
  <c r="BD117" i="7"/>
  <c r="BE117" i="7"/>
  <c r="BF117" i="7"/>
  <c r="BG117" i="7"/>
  <c r="BH117" i="7"/>
  <c r="BI117" i="7"/>
  <c r="BJ117" i="7"/>
  <c r="BK117" i="7"/>
  <c r="BL117" i="7"/>
  <c r="B119" i="7"/>
  <c r="C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B119" i="7"/>
  <c r="BC119" i="7"/>
  <c r="BD119" i="7"/>
  <c r="BE119" i="7"/>
  <c r="BF119" i="7"/>
  <c r="BG119" i="7"/>
  <c r="BH119" i="7"/>
  <c r="BI119" i="7"/>
  <c r="BJ119" i="7"/>
  <c r="BK119" i="7"/>
  <c r="BL119" i="7"/>
  <c r="B121" i="7"/>
  <c r="C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AD121" i="7"/>
  <c r="AE121" i="7"/>
  <c r="AF121" i="7"/>
  <c r="AG121" i="7"/>
  <c r="AH121" i="7"/>
  <c r="AI121" i="7"/>
  <c r="AJ121" i="7"/>
  <c r="AK121" i="7"/>
  <c r="AL121" i="7"/>
  <c r="AM121" i="7"/>
  <c r="AN121" i="7"/>
  <c r="AO121" i="7"/>
  <c r="AP121" i="7"/>
  <c r="AQ121" i="7"/>
  <c r="AR121" i="7"/>
  <c r="AS121" i="7"/>
  <c r="AT121" i="7"/>
  <c r="AU121" i="7"/>
  <c r="AV121" i="7"/>
  <c r="AW121" i="7"/>
  <c r="AX121" i="7"/>
  <c r="AY121" i="7"/>
  <c r="AZ121" i="7"/>
  <c r="BA121" i="7"/>
  <c r="BB121" i="7"/>
  <c r="BC121" i="7"/>
  <c r="BD121" i="7"/>
  <c r="BE121" i="7"/>
  <c r="BF121" i="7"/>
  <c r="BG121" i="7"/>
  <c r="BH121" i="7"/>
  <c r="BI121" i="7"/>
  <c r="BJ121" i="7"/>
  <c r="BK121" i="7"/>
  <c r="BL121" i="7"/>
  <c r="E1" i="8"/>
  <c r="U1" i="8"/>
  <c r="AG1" i="8"/>
  <c r="AS1" i="8"/>
  <c r="BE1" i="8"/>
  <c r="E4" i="8"/>
  <c r="I4" i="8"/>
  <c r="U4" i="8"/>
  <c r="AB4" i="8"/>
  <c r="AG4" i="8"/>
  <c r="AN4" i="8"/>
  <c r="AS4" i="8"/>
  <c r="AZ4" i="8"/>
  <c r="BE4" i="8"/>
  <c r="BL4" i="8"/>
  <c r="E5" i="8"/>
  <c r="U5" i="8"/>
  <c r="AG5" i="8"/>
  <c r="AS5" i="8"/>
  <c r="BE5" i="8"/>
  <c r="AC7" i="8"/>
  <c r="AO7" i="8"/>
  <c r="BA7" i="8"/>
  <c r="BM7" i="8"/>
  <c r="E8" i="8"/>
  <c r="M8" i="8"/>
  <c r="N8" i="8"/>
  <c r="O8" i="8"/>
  <c r="U8" i="8"/>
  <c r="AG8" i="8"/>
  <c r="AS8" i="8"/>
  <c r="BE8" i="8"/>
  <c r="AB9" i="8"/>
  <c r="AC9" i="8"/>
  <c r="AD9" i="8"/>
  <c r="AN9" i="8"/>
  <c r="AO9" i="8"/>
  <c r="AP9" i="8"/>
  <c r="AZ9" i="8"/>
  <c r="BA9" i="8"/>
  <c r="BB9" i="8"/>
  <c r="BL9" i="8"/>
  <c r="BM9" i="8"/>
  <c r="BN9" i="8"/>
  <c r="A10" i="8"/>
  <c r="H10" i="8"/>
  <c r="S10" i="8"/>
  <c r="X10" i="8"/>
  <c r="AE10" i="8"/>
  <c r="AJ10" i="8"/>
  <c r="AQ10" i="8"/>
  <c r="AV10" i="8"/>
  <c r="BC10" i="8"/>
  <c r="BH10" i="8"/>
  <c r="H11" i="8"/>
  <c r="X11" i="8"/>
  <c r="AJ11" i="8"/>
  <c r="AV11" i="8"/>
  <c r="BH11" i="8"/>
  <c r="S12" i="8"/>
  <c r="AE12" i="8"/>
  <c r="AQ12" i="8"/>
  <c r="BC12" i="8"/>
  <c r="A13" i="8"/>
  <c r="S13" i="8" s="1"/>
  <c r="AE13" i="8"/>
  <c r="BC13" i="8"/>
  <c r="I14" i="8"/>
  <c r="M14" i="8"/>
  <c r="N14" i="8"/>
  <c r="P14" i="8"/>
  <c r="Q14" i="8"/>
  <c r="T14" i="8"/>
  <c r="U14" i="8"/>
  <c r="Y14" i="8"/>
  <c r="Z14" i="8"/>
  <c r="AC14" i="8"/>
  <c r="AF14" i="8"/>
  <c r="AG14" i="8"/>
  <c r="AJ14" i="8"/>
  <c r="AK14" i="8"/>
  <c r="AL14" i="8"/>
  <c r="AO14" i="8"/>
  <c r="AS14" i="8"/>
  <c r="AT14" i="8"/>
  <c r="AV14" i="8"/>
  <c r="AW14" i="8"/>
  <c r="AZ14" i="8"/>
  <c r="BA14" i="8"/>
  <c r="BE14" i="8"/>
  <c r="BF14" i="8"/>
  <c r="BI14" i="8"/>
  <c r="BL14" i="8"/>
  <c r="BM14" i="8"/>
  <c r="H15" i="8"/>
  <c r="I15" i="8"/>
  <c r="J15" i="8"/>
  <c r="M15" i="8"/>
  <c r="Q15" i="8"/>
  <c r="R15" i="8"/>
  <c r="T15" i="8"/>
  <c r="U15" i="8"/>
  <c r="X15" i="8"/>
  <c r="Y15" i="8"/>
  <c r="AC15" i="8"/>
  <c r="AD15" i="8"/>
  <c r="AG15" i="8"/>
  <c r="AJ15" i="8"/>
  <c r="AK15" i="8"/>
  <c r="AN15" i="8"/>
  <c r="AO15" i="8"/>
  <c r="AP15" i="8"/>
  <c r="AS15" i="8"/>
  <c r="AU15" i="8"/>
  <c r="AW15" i="8"/>
  <c r="AY15" i="8"/>
  <c r="BA15" i="8"/>
  <c r="BB15" i="8"/>
  <c r="BC15" i="8"/>
  <c r="BE15" i="8"/>
  <c r="BG15" i="8"/>
  <c r="BI15" i="8"/>
  <c r="BK15" i="8"/>
  <c r="BM15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17" i="8"/>
  <c r="H20" i="8"/>
  <c r="I20" i="8"/>
  <c r="M20" i="8"/>
  <c r="Q20" i="8"/>
  <c r="U20" i="8"/>
  <c r="Y20" i="8"/>
  <c r="AC20" i="8"/>
  <c r="AG20" i="8"/>
  <c r="AK20" i="8"/>
  <c r="AO20" i="8"/>
  <c r="AS20" i="8"/>
  <c r="AW20" i="8"/>
  <c r="BA20" i="8"/>
  <c r="BE20" i="8"/>
  <c r="BI20" i="8"/>
  <c r="BM20" i="8"/>
  <c r="B21" i="8"/>
  <c r="E21" i="8"/>
  <c r="K23" i="8"/>
  <c r="M23" i="8"/>
  <c r="S23" i="8"/>
  <c r="W23" i="8"/>
  <c r="AA23" i="8"/>
  <c r="AI23" i="8"/>
  <c r="AM23" i="8"/>
  <c r="AQ23" i="8"/>
  <c r="BC23" i="8"/>
  <c r="BK23" i="8"/>
  <c r="E24" i="8"/>
  <c r="I26" i="8"/>
  <c r="M26" i="8"/>
  <c r="Q26" i="8"/>
  <c r="U26" i="8"/>
  <c r="Y26" i="8"/>
  <c r="AC26" i="8"/>
  <c r="AG26" i="8"/>
  <c r="AK26" i="8"/>
  <c r="AO26" i="8"/>
  <c r="AS26" i="8"/>
  <c r="AW26" i="8"/>
  <c r="BA26" i="8"/>
  <c r="BE26" i="8"/>
  <c r="BI26" i="8"/>
  <c r="BM26" i="8"/>
  <c r="B27" i="8"/>
  <c r="E27" i="8"/>
  <c r="G29" i="8"/>
  <c r="K29" i="8"/>
  <c r="N29" i="8"/>
  <c r="O29" i="8"/>
  <c r="S29" i="8"/>
  <c r="V29" i="8"/>
  <c r="W29" i="8"/>
  <c r="AA29" i="8"/>
  <c r="AD29" i="8"/>
  <c r="AE29" i="8"/>
  <c r="AG29" i="8"/>
  <c r="AI29" i="8"/>
  <c r="AM29" i="8"/>
  <c r="AQ29" i="8"/>
  <c r="AU29" i="8"/>
  <c r="AY29" i="8"/>
  <c r="BC29" i="8"/>
  <c r="BG29" i="8"/>
  <c r="BK29" i="8"/>
  <c r="BM29" i="8"/>
  <c r="BN29" i="8"/>
  <c r="E30" i="8"/>
  <c r="AZ30" i="8" s="1"/>
  <c r="K30" i="8"/>
  <c r="AE30" i="8"/>
  <c r="BK30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H33" i="8" s="1"/>
  <c r="AI32" i="8"/>
  <c r="AJ32" i="8"/>
  <c r="AK32" i="8"/>
  <c r="AL32" i="8"/>
  <c r="AL33" i="8" s="1"/>
  <c r="AM32" i="8"/>
  <c r="AN32" i="8"/>
  <c r="AO32" i="8"/>
  <c r="AP32" i="8"/>
  <c r="AQ32" i="8"/>
  <c r="AQ33" i="8" s="1"/>
  <c r="AR32" i="8"/>
  <c r="AS32" i="8"/>
  <c r="AT32" i="8"/>
  <c r="AT33" i="8" s="1"/>
  <c r="AU32" i="8"/>
  <c r="AV32" i="8"/>
  <c r="AW32" i="8"/>
  <c r="AX32" i="8"/>
  <c r="AY32" i="8"/>
  <c r="AY33" i="8" s="1"/>
  <c r="AZ32" i="8"/>
  <c r="BA32" i="8"/>
  <c r="BB32" i="8"/>
  <c r="BC32" i="8"/>
  <c r="BD32" i="8"/>
  <c r="BE32" i="8"/>
  <c r="BF32" i="8"/>
  <c r="BG32" i="8"/>
  <c r="BH32" i="8"/>
  <c r="BI32" i="8"/>
  <c r="BJ32" i="8"/>
  <c r="BK32" i="8"/>
  <c r="BL32" i="8"/>
  <c r="BM32" i="8"/>
  <c r="BN32" i="8"/>
  <c r="BN33" i="8" s="1"/>
  <c r="B33" i="8"/>
  <c r="C33" i="8"/>
  <c r="E33" i="8"/>
  <c r="N33" i="8"/>
  <c r="S33" i="8"/>
  <c r="G35" i="8"/>
  <c r="H35" i="8"/>
  <c r="K35" i="8"/>
  <c r="L35" i="8"/>
  <c r="O35" i="8"/>
  <c r="P35" i="8"/>
  <c r="R35" i="8"/>
  <c r="S35" i="8"/>
  <c r="T35" i="8"/>
  <c r="W35" i="8"/>
  <c r="W36" i="8" s="1"/>
  <c r="X35" i="8"/>
  <c r="AA35" i="8"/>
  <c r="AB35" i="8"/>
  <c r="AE35" i="8"/>
  <c r="AF35" i="8"/>
  <c r="AH35" i="8"/>
  <c r="AH36" i="8" s="1"/>
  <c r="AI35" i="8"/>
  <c r="AJ35" i="8"/>
  <c r="AM35" i="8"/>
  <c r="AM36" i="8" s="1"/>
  <c r="AN35" i="8"/>
  <c r="AQ35" i="8"/>
  <c r="AR35" i="8"/>
  <c r="AU35" i="8"/>
  <c r="AV35" i="8"/>
  <c r="AX35" i="8"/>
  <c r="AX36" i="8" s="1"/>
  <c r="AY35" i="8"/>
  <c r="AZ35" i="8"/>
  <c r="BC35" i="8"/>
  <c r="BC36" i="8" s="1"/>
  <c r="BD35" i="8"/>
  <c r="BG35" i="8"/>
  <c r="BH35" i="8"/>
  <c r="BK35" i="8"/>
  <c r="BL35" i="8"/>
  <c r="BN35" i="8"/>
  <c r="BN36" i="8" s="1"/>
  <c r="B36" i="8"/>
  <c r="E36" i="8"/>
  <c r="R36" i="8"/>
  <c r="I38" i="8"/>
  <c r="M38" i="8"/>
  <c r="Q38" i="8"/>
  <c r="R38" i="8"/>
  <c r="U38" i="8"/>
  <c r="Y38" i="8"/>
  <c r="AC38" i="8"/>
  <c r="AE38" i="8"/>
  <c r="AG38" i="8"/>
  <c r="AH38" i="8"/>
  <c r="AK38" i="8"/>
  <c r="AO38" i="8"/>
  <c r="AS38" i="8"/>
  <c r="AT38" i="8"/>
  <c r="AW38" i="8"/>
  <c r="BA38" i="8"/>
  <c r="BE38" i="8"/>
  <c r="BF38" i="8"/>
  <c r="BI38" i="8"/>
  <c r="BM38" i="8"/>
  <c r="BN38" i="8"/>
  <c r="B39" i="8"/>
  <c r="C39" i="8"/>
  <c r="E39" i="8"/>
  <c r="BE39" i="8"/>
  <c r="G41" i="8"/>
  <c r="K41" i="8"/>
  <c r="N41" i="8"/>
  <c r="O41" i="8"/>
  <c r="Q41" i="8"/>
  <c r="S41" i="8"/>
  <c r="W41" i="8"/>
  <c r="AA41" i="8"/>
  <c r="AE41" i="8"/>
  <c r="AI41" i="8"/>
  <c r="AM41" i="8"/>
  <c r="AQ41" i="8"/>
  <c r="AU41" i="8"/>
  <c r="AW41" i="8"/>
  <c r="AX41" i="8"/>
  <c r="AY41" i="8"/>
  <c r="BC41" i="8"/>
  <c r="BF41" i="8"/>
  <c r="BG41" i="8"/>
  <c r="BK41" i="8"/>
  <c r="BN41" i="8"/>
  <c r="E42" i="8"/>
  <c r="L42" i="8" s="1"/>
  <c r="H42" i="8"/>
  <c r="P42" i="8"/>
  <c r="AF42" i="8"/>
  <c r="AN42" i="8"/>
  <c r="AV42" i="8"/>
  <c r="BL42" i="8"/>
  <c r="I44" i="8"/>
  <c r="J44" i="8"/>
  <c r="M44" i="8"/>
  <c r="N44" i="8"/>
  <c r="Q44" i="8"/>
  <c r="R44" i="8"/>
  <c r="T44" i="8"/>
  <c r="U44" i="8"/>
  <c r="V44" i="8"/>
  <c r="Y44" i="8"/>
  <c r="Z44" i="8"/>
  <c r="AC44" i="8"/>
  <c r="AD44" i="8"/>
  <c r="AG44" i="8"/>
  <c r="AH44" i="8"/>
  <c r="AJ44" i="8"/>
  <c r="AK44" i="8"/>
  <c r="AL44" i="8"/>
  <c r="AO44" i="8"/>
  <c r="AP44" i="8"/>
  <c r="AS44" i="8"/>
  <c r="AT44" i="8"/>
  <c r="AW44" i="8"/>
  <c r="AX44" i="8"/>
  <c r="AZ44" i="8"/>
  <c r="BA44" i="8"/>
  <c r="BB44" i="8"/>
  <c r="BE44" i="8"/>
  <c r="BF44" i="8"/>
  <c r="BI44" i="8"/>
  <c r="BJ44" i="8"/>
  <c r="BM44" i="8"/>
  <c r="BN44" i="8"/>
  <c r="B45" i="8"/>
  <c r="C45" i="8"/>
  <c r="E45" i="8"/>
  <c r="A48" i="8"/>
  <c r="N49" i="8"/>
  <c r="R49" i="8"/>
  <c r="Z49" i="8"/>
  <c r="AD49" i="8"/>
  <c r="AH49" i="8"/>
  <c r="AL49" i="8"/>
  <c r="AT49" i="8"/>
  <c r="AX49" i="8"/>
  <c r="BF49" i="8"/>
  <c r="BJ49" i="8"/>
  <c r="BN49" i="8"/>
  <c r="C50" i="8"/>
  <c r="E50" i="8"/>
  <c r="H52" i="8"/>
  <c r="I52" i="8"/>
  <c r="K52" i="8"/>
  <c r="L52" i="8"/>
  <c r="M52" i="8"/>
  <c r="P52" i="8"/>
  <c r="Q52" i="8"/>
  <c r="T52" i="8"/>
  <c r="U52" i="8"/>
  <c r="X52" i="8"/>
  <c r="Y52" i="8"/>
  <c r="AA52" i="8"/>
  <c r="AB52" i="8"/>
  <c r="AC52" i="8"/>
  <c r="AF52" i="8"/>
  <c r="AG52" i="8"/>
  <c r="AJ52" i="8"/>
  <c r="AK52" i="8"/>
  <c r="AK53" i="8" s="1"/>
  <c r="AN52" i="8"/>
  <c r="AO52" i="8"/>
  <c r="AQ52" i="8"/>
  <c r="AR52" i="8"/>
  <c r="AS52" i="8"/>
  <c r="AV52" i="8"/>
  <c r="AW52" i="8"/>
  <c r="AZ52" i="8"/>
  <c r="BA52" i="8"/>
  <c r="BD52" i="8"/>
  <c r="BE52" i="8"/>
  <c r="BG52" i="8"/>
  <c r="BH52" i="8"/>
  <c r="BI52" i="8"/>
  <c r="BL52" i="8"/>
  <c r="BM52" i="8"/>
  <c r="B53" i="8"/>
  <c r="E53" i="8"/>
  <c r="AC53" i="8" s="1"/>
  <c r="P53" i="8"/>
  <c r="AS53" i="8"/>
  <c r="G55" i="8"/>
  <c r="G56" i="8" s="1"/>
  <c r="H55" i="8"/>
  <c r="J55" i="8"/>
  <c r="K55" i="8"/>
  <c r="L55" i="8"/>
  <c r="N55" i="8"/>
  <c r="O55" i="8"/>
  <c r="O56" i="8" s="1"/>
  <c r="P55" i="8"/>
  <c r="R55" i="8"/>
  <c r="S55" i="8"/>
  <c r="T55" i="8"/>
  <c r="V55" i="8"/>
  <c r="W55" i="8"/>
  <c r="W56" i="8" s="1"/>
  <c r="X55" i="8"/>
  <c r="Z55" i="8"/>
  <c r="AA55" i="8"/>
  <c r="AB55" i="8"/>
  <c r="AD55" i="8"/>
  <c r="AE55" i="8"/>
  <c r="AE56" i="8" s="1"/>
  <c r="AF55" i="8"/>
  <c r="AH55" i="8"/>
  <c r="AI55" i="8"/>
  <c r="AJ55" i="8"/>
  <c r="AL55" i="8"/>
  <c r="AM55" i="8"/>
  <c r="AN55" i="8"/>
  <c r="AP55" i="8"/>
  <c r="AQ55" i="8"/>
  <c r="AR55" i="8"/>
  <c r="AT55" i="8"/>
  <c r="AU55" i="8"/>
  <c r="AU56" i="8" s="1"/>
  <c r="AV55" i="8"/>
  <c r="AX55" i="8"/>
  <c r="AY55" i="8"/>
  <c r="AZ55" i="8"/>
  <c r="BB55" i="8"/>
  <c r="BC55" i="8"/>
  <c r="BC56" i="8" s="1"/>
  <c r="BD55" i="8"/>
  <c r="BF55" i="8"/>
  <c r="BG55" i="8"/>
  <c r="BH55" i="8"/>
  <c r="BJ55" i="8"/>
  <c r="BK55" i="8"/>
  <c r="BL55" i="8"/>
  <c r="BN55" i="8"/>
  <c r="C56" i="8"/>
  <c r="E56" i="8"/>
  <c r="AM56" i="8"/>
  <c r="BK56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BA58" i="8"/>
  <c r="BB58" i="8"/>
  <c r="BC58" i="8"/>
  <c r="BD58" i="8"/>
  <c r="BE58" i="8"/>
  <c r="BF58" i="8"/>
  <c r="BG58" i="8"/>
  <c r="BH58" i="8"/>
  <c r="BI58" i="8"/>
  <c r="BJ58" i="8"/>
  <c r="BK58" i="8"/>
  <c r="BL58" i="8"/>
  <c r="BM58" i="8"/>
  <c r="BN58" i="8"/>
  <c r="B59" i="8"/>
  <c r="C59" i="8"/>
  <c r="E59" i="8"/>
  <c r="H59" i="8" s="1"/>
  <c r="P59" i="8"/>
  <c r="V59" i="8"/>
  <c r="AF59" i="8"/>
  <c r="AL59" i="8"/>
  <c r="AV59" i="8"/>
  <c r="BB59" i="8"/>
  <c r="BL59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BA61" i="8"/>
  <c r="BB61" i="8"/>
  <c r="BC61" i="8"/>
  <c r="BD61" i="8"/>
  <c r="BE61" i="8"/>
  <c r="BF61" i="8"/>
  <c r="BG61" i="8"/>
  <c r="BH61" i="8"/>
  <c r="BI61" i="8"/>
  <c r="BJ61" i="8"/>
  <c r="BK61" i="8"/>
  <c r="BL61" i="8"/>
  <c r="BM61" i="8"/>
  <c r="BN61" i="8"/>
  <c r="B62" i="8"/>
  <c r="C62" i="8"/>
  <c r="E62" i="8"/>
  <c r="AK62" i="8" s="1"/>
  <c r="H64" i="8"/>
  <c r="I64" i="8"/>
  <c r="I65" i="8" s="1"/>
  <c r="J64" i="8"/>
  <c r="L64" i="8"/>
  <c r="M64" i="8"/>
  <c r="M65" i="8" s="1"/>
  <c r="N64" i="8"/>
  <c r="P64" i="8"/>
  <c r="Q64" i="8"/>
  <c r="R64" i="8"/>
  <c r="T64" i="8"/>
  <c r="T65" i="8" s="1"/>
  <c r="U64" i="8"/>
  <c r="U65" i="8" s="1"/>
  <c r="V64" i="8"/>
  <c r="X64" i="8"/>
  <c r="Y64" i="8"/>
  <c r="Y65" i="8" s="1"/>
  <c r="Z64" i="8"/>
  <c r="Z65" i="8" s="1"/>
  <c r="AB64" i="8"/>
  <c r="AC64" i="8"/>
  <c r="AC65" i="8" s="1"/>
  <c r="AD64" i="8"/>
  <c r="AF64" i="8"/>
  <c r="AF65" i="8" s="1"/>
  <c r="AG64" i="8"/>
  <c r="AH64" i="8"/>
  <c r="AJ64" i="8"/>
  <c r="AJ65" i="8" s="1"/>
  <c r="AK64" i="8"/>
  <c r="AK65" i="8" s="1"/>
  <c r="AL64" i="8"/>
  <c r="AN64" i="8"/>
  <c r="AO64" i="8"/>
  <c r="AO65" i="8" s="1"/>
  <c r="AP64" i="8"/>
  <c r="AR64" i="8"/>
  <c r="AS64" i="8"/>
  <c r="AS65" i="8" s="1"/>
  <c r="AT64" i="8"/>
  <c r="AV64" i="8"/>
  <c r="AW64" i="8"/>
  <c r="AX64" i="8"/>
  <c r="AZ64" i="8"/>
  <c r="AZ65" i="8" s="1"/>
  <c r="BA64" i="8"/>
  <c r="BA65" i="8" s="1"/>
  <c r="BB64" i="8"/>
  <c r="BD64" i="8"/>
  <c r="BD65" i="8" s="1"/>
  <c r="BE64" i="8"/>
  <c r="BE65" i="8" s="1"/>
  <c r="BF64" i="8"/>
  <c r="BH64" i="8"/>
  <c r="BI64" i="8"/>
  <c r="BI65" i="8" s="1"/>
  <c r="BJ64" i="8"/>
  <c r="BL64" i="8"/>
  <c r="BM64" i="8"/>
  <c r="BN64" i="8"/>
  <c r="B65" i="8"/>
  <c r="C65" i="8"/>
  <c r="E65" i="8"/>
  <c r="H65" i="8"/>
  <c r="J65" i="8"/>
  <c r="K65" i="8"/>
  <c r="L65" i="8"/>
  <c r="N65" i="8"/>
  <c r="P65" i="8"/>
  <c r="R65" i="8"/>
  <c r="V65" i="8"/>
  <c r="W65" i="8"/>
  <c r="X65" i="8"/>
  <c r="AA65" i="8"/>
  <c r="AB65" i="8"/>
  <c r="AD65" i="8"/>
  <c r="AH65" i="8"/>
  <c r="AL65" i="8"/>
  <c r="AM65" i="8"/>
  <c r="AN65" i="8"/>
  <c r="AP65" i="8"/>
  <c r="AQ65" i="8"/>
  <c r="AR65" i="8"/>
  <c r="AT65" i="8"/>
  <c r="AV65" i="8"/>
  <c r="AX65" i="8"/>
  <c r="BB65" i="8"/>
  <c r="BC65" i="8"/>
  <c r="BF65" i="8"/>
  <c r="BG65" i="8"/>
  <c r="BH65" i="8"/>
  <c r="BJ65" i="8"/>
  <c r="BL65" i="8"/>
  <c r="BN65" i="8"/>
  <c r="G67" i="8"/>
  <c r="H67" i="8"/>
  <c r="J67" i="8"/>
  <c r="K67" i="8"/>
  <c r="L67" i="8"/>
  <c r="N67" i="8"/>
  <c r="O67" i="8"/>
  <c r="P67" i="8"/>
  <c r="R67" i="8"/>
  <c r="S67" i="8"/>
  <c r="T67" i="8"/>
  <c r="V67" i="8"/>
  <c r="W67" i="8"/>
  <c r="X67" i="8"/>
  <c r="Z67" i="8"/>
  <c r="AA67" i="8"/>
  <c r="AB67" i="8"/>
  <c r="AD67" i="8"/>
  <c r="AD68" i="8" s="1"/>
  <c r="AE67" i="8"/>
  <c r="AF67" i="8"/>
  <c r="AH67" i="8"/>
  <c r="AI67" i="8"/>
  <c r="AJ67" i="8"/>
  <c r="AL67" i="8"/>
  <c r="AM67" i="8"/>
  <c r="AN67" i="8"/>
  <c r="AP67" i="8"/>
  <c r="AQ67" i="8"/>
  <c r="AR67" i="8"/>
  <c r="AT67" i="8"/>
  <c r="AU67" i="8"/>
  <c r="AV67" i="8"/>
  <c r="AX67" i="8"/>
  <c r="AY67" i="8"/>
  <c r="AZ67" i="8"/>
  <c r="BB67" i="8"/>
  <c r="BC67" i="8"/>
  <c r="BD67" i="8"/>
  <c r="BF67" i="8"/>
  <c r="BG67" i="8"/>
  <c r="BH67" i="8"/>
  <c r="BJ67" i="8"/>
  <c r="BK67" i="8"/>
  <c r="BL67" i="8"/>
  <c r="BN67" i="8"/>
  <c r="C68" i="8"/>
  <c r="E68" i="8"/>
  <c r="G68" i="8" s="1"/>
  <c r="K68" i="8"/>
  <c r="N68" i="8"/>
  <c r="R68" i="8"/>
  <c r="W68" i="8"/>
  <c r="Z68" i="8"/>
  <c r="AI68" i="8"/>
  <c r="AM68" i="8"/>
  <c r="AP68" i="8"/>
  <c r="AX68" i="8"/>
  <c r="AY68" i="8"/>
  <c r="BB68" i="8"/>
  <c r="BJ68" i="8"/>
  <c r="BN68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E70" i="8"/>
  <c r="BF70" i="8"/>
  <c r="BG70" i="8"/>
  <c r="BH70" i="8"/>
  <c r="BI70" i="8"/>
  <c r="BJ70" i="8"/>
  <c r="BK70" i="8"/>
  <c r="BL70" i="8"/>
  <c r="BM70" i="8"/>
  <c r="BN70" i="8"/>
  <c r="B71" i="8"/>
  <c r="C71" i="8"/>
  <c r="E71" i="8"/>
  <c r="Y71" i="8" s="1"/>
  <c r="AW71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T74" i="8" s="1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J74" i="8" s="1"/>
  <c r="AK73" i="8"/>
  <c r="AL73" i="8"/>
  <c r="AM73" i="8"/>
  <c r="AN73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D74" i="8" s="1"/>
  <c r="BE73" i="8"/>
  <c r="BF73" i="8"/>
  <c r="BG73" i="8"/>
  <c r="BH73" i="8"/>
  <c r="BI73" i="8"/>
  <c r="BJ73" i="8"/>
  <c r="BK73" i="8"/>
  <c r="BL73" i="8"/>
  <c r="BM73" i="8"/>
  <c r="BN73" i="8"/>
  <c r="B74" i="8"/>
  <c r="C74" i="8"/>
  <c r="E74" i="8"/>
  <c r="H74" i="8" s="1"/>
  <c r="I74" i="8"/>
  <c r="P74" i="8"/>
  <c r="AF74" i="8"/>
  <c r="AG74" i="8"/>
  <c r="AR74" i="8"/>
  <c r="AV74" i="8"/>
  <c r="BL74" i="8"/>
  <c r="BM74" i="8"/>
  <c r="G76" i="8"/>
  <c r="H76" i="8"/>
  <c r="I76" i="8"/>
  <c r="I77" i="8" s="1"/>
  <c r="J76" i="8"/>
  <c r="K76" i="8"/>
  <c r="L76" i="8"/>
  <c r="M76" i="8"/>
  <c r="M77" i="8" s="1"/>
  <c r="N76" i="8"/>
  <c r="O76" i="8"/>
  <c r="P76" i="8"/>
  <c r="Q76" i="8"/>
  <c r="Q77" i="8" s="1"/>
  <c r="R76" i="8"/>
  <c r="S76" i="8"/>
  <c r="T76" i="8"/>
  <c r="U76" i="8"/>
  <c r="U77" i="8" s="1"/>
  <c r="V76" i="8"/>
  <c r="W76" i="8"/>
  <c r="X76" i="8"/>
  <c r="Y76" i="8"/>
  <c r="Y77" i="8" s="1"/>
  <c r="Z76" i="8"/>
  <c r="AA76" i="8"/>
  <c r="AB76" i="8"/>
  <c r="AC76" i="8"/>
  <c r="AC77" i="8" s="1"/>
  <c r="AD76" i="8"/>
  <c r="AE76" i="8"/>
  <c r="AF76" i="8"/>
  <c r="AG76" i="8"/>
  <c r="AG77" i="8" s="1"/>
  <c r="AH76" i="8"/>
  <c r="AI76" i="8"/>
  <c r="AJ76" i="8"/>
  <c r="AK76" i="8"/>
  <c r="AK77" i="8" s="1"/>
  <c r="AL76" i="8"/>
  <c r="AM76" i="8"/>
  <c r="AN76" i="8"/>
  <c r="AO76" i="8"/>
  <c r="AO77" i="8" s="1"/>
  <c r="AP76" i="8"/>
  <c r="AQ76" i="8"/>
  <c r="AR76" i="8"/>
  <c r="AS76" i="8"/>
  <c r="AS77" i="8" s="1"/>
  <c r="AT76" i="8"/>
  <c r="AU76" i="8"/>
  <c r="AV76" i="8"/>
  <c r="AW76" i="8"/>
  <c r="AW77" i="8" s="1"/>
  <c r="AX76" i="8"/>
  <c r="AY76" i="8"/>
  <c r="AZ76" i="8"/>
  <c r="BA76" i="8"/>
  <c r="BA77" i="8" s="1"/>
  <c r="BB76" i="8"/>
  <c r="BC76" i="8"/>
  <c r="BD76" i="8"/>
  <c r="BE76" i="8"/>
  <c r="BF76" i="8"/>
  <c r="BG76" i="8"/>
  <c r="BH76" i="8"/>
  <c r="BI76" i="8"/>
  <c r="BJ76" i="8"/>
  <c r="BK76" i="8"/>
  <c r="BL76" i="8"/>
  <c r="BM76" i="8"/>
  <c r="BN76" i="8"/>
  <c r="B77" i="8"/>
  <c r="C77" i="8"/>
  <c r="D77" i="8"/>
  <c r="E77" i="8"/>
  <c r="J77" i="8"/>
  <c r="K77" i="8"/>
  <c r="O77" i="8"/>
  <c r="P77" i="8"/>
  <c r="T77" i="8"/>
  <c r="V77" i="8"/>
  <c r="Z77" i="8"/>
  <c r="AA77" i="8"/>
  <c r="AE77" i="8"/>
  <c r="AF77" i="8"/>
  <c r="AJ77" i="8"/>
  <c r="AL77" i="8"/>
  <c r="AP77" i="8"/>
  <c r="AQ77" i="8"/>
  <c r="AU77" i="8"/>
  <c r="AV77" i="8"/>
  <c r="AZ77" i="8"/>
  <c r="BB77" i="8"/>
  <c r="BE77" i="8"/>
  <c r="BF77" i="8"/>
  <c r="BI77" i="8"/>
  <c r="BJ77" i="8"/>
  <c r="BM77" i="8"/>
  <c r="BN77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AB79" i="8"/>
  <c r="AC79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E79" i="8"/>
  <c r="BF79" i="8"/>
  <c r="BG79" i="8"/>
  <c r="BH79" i="8"/>
  <c r="BI79" i="8"/>
  <c r="BJ79" i="8"/>
  <c r="BK79" i="8"/>
  <c r="BL79" i="8"/>
  <c r="BM79" i="8"/>
  <c r="BN79" i="8"/>
  <c r="B80" i="8"/>
  <c r="C80" i="8"/>
  <c r="E80" i="8"/>
  <c r="AK80" i="8" s="1"/>
  <c r="A83" i="8"/>
  <c r="A84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E85" i="8"/>
  <c r="BF85" i="8"/>
  <c r="BG85" i="8"/>
  <c r="BH85" i="8"/>
  <c r="BI85" i="8"/>
  <c r="BJ85" i="8"/>
  <c r="BK85" i="8"/>
  <c r="BL85" i="8"/>
  <c r="BM85" i="8"/>
  <c r="BN85" i="8"/>
  <c r="B86" i="8"/>
  <c r="C86" i="8"/>
  <c r="E86" i="8"/>
  <c r="AK86" i="8" s="1"/>
  <c r="G88" i="8"/>
  <c r="H88" i="8"/>
  <c r="I88" i="8"/>
  <c r="J88" i="8"/>
  <c r="K88" i="8"/>
  <c r="L88" i="8"/>
  <c r="L89" i="8" s="1"/>
  <c r="M88" i="8"/>
  <c r="M89" i="8" s="1"/>
  <c r="N88" i="8"/>
  <c r="O88" i="8"/>
  <c r="P88" i="8"/>
  <c r="P89" i="8" s="1"/>
  <c r="Q88" i="8"/>
  <c r="R88" i="8"/>
  <c r="S88" i="8"/>
  <c r="T88" i="8"/>
  <c r="T89" i="8" s="1"/>
  <c r="U88" i="8"/>
  <c r="U89" i="8" s="1"/>
  <c r="V88" i="8"/>
  <c r="W88" i="8"/>
  <c r="X88" i="8"/>
  <c r="X89" i="8" s="1"/>
  <c r="Y88" i="8"/>
  <c r="Y89" i="8" s="1"/>
  <c r="Z88" i="8"/>
  <c r="AA88" i="8"/>
  <c r="AB88" i="8"/>
  <c r="AC88" i="8"/>
  <c r="AC89" i="8" s="1"/>
  <c r="AD88" i="8"/>
  <c r="AE88" i="8"/>
  <c r="AF88" i="8"/>
  <c r="AF89" i="8" s="1"/>
  <c r="AG88" i="8"/>
  <c r="AH88" i="8"/>
  <c r="AI88" i="8"/>
  <c r="AJ88" i="8"/>
  <c r="AJ89" i="8" s="1"/>
  <c r="AK88" i="8"/>
  <c r="AK89" i="8" s="1"/>
  <c r="AL88" i="8"/>
  <c r="AM88" i="8"/>
  <c r="AN88" i="8"/>
  <c r="AN89" i="8" s="1"/>
  <c r="AO88" i="8"/>
  <c r="AP88" i="8"/>
  <c r="AQ88" i="8"/>
  <c r="AR88" i="8"/>
  <c r="AR89" i="8" s="1"/>
  <c r="AS88" i="8"/>
  <c r="AS89" i="8" s="1"/>
  <c r="AT88" i="8"/>
  <c r="AU88" i="8"/>
  <c r="AV88" i="8"/>
  <c r="AV89" i="8" s="1"/>
  <c r="AW88" i="8"/>
  <c r="AX88" i="8"/>
  <c r="AY88" i="8"/>
  <c r="AZ88" i="8"/>
  <c r="BA88" i="8"/>
  <c r="BA89" i="8" s="1"/>
  <c r="BB88" i="8"/>
  <c r="BC88" i="8"/>
  <c r="BD88" i="8"/>
  <c r="BD89" i="8" s="1"/>
  <c r="BE88" i="8"/>
  <c r="BE89" i="8" s="1"/>
  <c r="BF88" i="8"/>
  <c r="BG88" i="8"/>
  <c r="BH88" i="8"/>
  <c r="BH89" i="8" s="1"/>
  <c r="BI88" i="8"/>
  <c r="BI89" i="8" s="1"/>
  <c r="BJ88" i="8"/>
  <c r="BK88" i="8"/>
  <c r="BL88" i="8"/>
  <c r="BM88" i="8"/>
  <c r="BN88" i="8"/>
  <c r="B89" i="8"/>
  <c r="C89" i="8"/>
  <c r="E89" i="8"/>
  <c r="H89" i="8"/>
  <c r="I89" i="8"/>
  <c r="Q89" i="8"/>
  <c r="AB89" i="8"/>
  <c r="AG89" i="8"/>
  <c r="AO89" i="8"/>
  <c r="AW89" i="8"/>
  <c r="AZ89" i="8"/>
  <c r="BL89" i="8"/>
  <c r="BM89" i="8"/>
  <c r="J91" i="8"/>
  <c r="R91" i="8"/>
  <c r="V91" i="8"/>
  <c r="AD91" i="8"/>
  <c r="AH91" i="8"/>
  <c r="AP91" i="8"/>
  <c r="AT91" i="8"/>
  <c r="AU91" i="8"/>
  <c r="BB91" i="8"/>
  <c r="BF91" i="8"/>
  <c r="BG91" i="8"/>
  <c r="BN91" i="8"/>
  <c r="C92" i="8"/>
  <c r="E92" i="8"/>
  <c r="H94" i="8"/>
  <c r="I94" i="8"/>
  <c r="L94" i="8"/>
  <c r="M94" i="8"/>
  <c r="P94" i="8"/>
  <c r="Q94" i="8"/>
  <c r="T94" i="8"/>
  <c r="U94" i="8"/>
  <c r="X94" i="8"/>
  <c r="Y94" i="8"/>
  <c r="AB94" i="8"/>
  <c r="AC94" i="8"/>
  <c r="AF94" i="8"/>
  <c r="AG94" i="8"/>
  <c r="AH94" i="8"/>
  <c r="AJ94" i="8"/>
  <c r="AK94" i="8"/>
  <c r="AN94" i="8"/>
  <c r="AO94" i="8"/>
  <c r="AR94" i="8"/>
  <c r="AS94" i="8"/>
  <c r="AV94" i="8"/>
  <c r="AW94" i="8"/>
  <c r="AZ94" i="8"/>
  <c r="BA94" i="8"/>
  <c r="BD94" i="8"/>
  <c r="BE94" i="8"/>
  <c r="BH94" i="8"/>
  <c r="BI94" i="8"/>
  <c r="BL94" i="8"/>
  <c r="BM94" i="8"/>
  <c r="BN94" i="8"/>
  <c r="B95" i="8"/>
  <c r="E95" i="8"/>
  <c r="Q95" i="8" s="1"/>
  <c r="I95" i="8"/>
  <c r="AK95" i="8"/>
  <c r="G97" i="8"/>
  <c r="J97" i="8"/>
  <c r="K97" i="8"/>
  <c r="N97" i="8"/>
  <c r="O97" i="8"/>
  <c r="R97" i="8"/>
  <c r="S97" i="8"/>
  <c r="V97" i="8"/>
  <c r="W97" i="8"/>
  <c r="Z97" i="8"/>
  <c r="AA97" i="8"/>
  <c r="AD97" i="8"/>
  <c r="AD98" i="8" s="1"/>
  <c r="AE97" i="8"/>
  <c r="AH97" i="8"/>
  <c r="AI97" i="8"/>
  <c r="AL97" i="8"/>
  <c r="AM97" i="8"/>
  <c r="AP97" i="8"/>
  <c r="AQ97" i="8"/>
  <c r="AT97" i="8"/>
  <c r="AU97" i="8"/>
  <c r="AX97" i="8"/>
  <c r="AX98" i="8" s="1"/>
  <c r="AY97" i="8"/>
  <c r="BB97" i="8"/>
  <c r="BC97" i="8"/>
  <c r="BE97" i="8"/>
  <c r="BF97" i="8"/>
  <c r="BG97" i="8"/>
  <c r="BJ97" i="8"/>
  <c r="BJ98" i="8" s="1"/>
  <c r="BK97" i="8"/>
  <c r="BN97" i="8"/>
  <c r="C98" i="8"/>
  <c r="E98" i="8"/>
  <c r="J98" i="8" s="1"/>
  <c r="R98" i="8"/>
  <c r="AP98" i="8"/>
  <c r="H100" i="8"/>
  <c r="I100" i="8"/>
  <c r="L100" i="8"/>
  <c r="M100" i="8"/>
  <c r="P100" i="8"/>
  <c r="Q100" i="8"/>
  <c r="T100" i="8"/>
  <c r="U100" i="8"/>
  <c r="X100" i="8"/>
  <c r="Y100" i="8"/>
  <c r="AB100" i="8"/>
  <c r="AC100" i="8"/>
  <c r="AF100" i="8"/>
  <c r="AG100" i="8"/>
  <c r="AJ100" i="8"/>
  <c r="AK100" i="8"/>
  <c r="AN100" i="8"/>
  <c r="AO100" i="8"/>
  <c r="AR100" i="8"/>
  <c r="AS100" i="8"/>
  <c r="AV100" i="8"/>
  <c r="AW100" i="8"/>
  <c r="AZ100" i="8"/>
  <c r="BA100" i="8"/>
  <c r="BD100" i="8"/>
  <c r="BE100" i="8"/>
  <c r="BH100" i="8"/>
  <c r="BI100" i="8"/>
  <c r="BL100" i="8"/>
  <c r="BM100" i="8"/>
  <c r="B101" i="8"/>
  <c r="E101" i="8"/>
  <c r="AF101" i="8" s="1"/>
  <c r="AO101" i="8"/>
  <c r="A104" i="8"/>
  <c r="I105" i="8"/>
  <c r="J105" i="8"/>
  <c r="M105" i="8"/>
  <c r="N105" i="8"/>
  <c r="Q105" i="8"/>
  <c r="R105" i="8"/>
  <c r="U105" i="8"/>
  <c r="V105" i="8"/>
  <c r="Y105" i="8"/>
  <c r="Z105" i="8"/>
  <c r="AC105" i="8"/>
  <c r="AD105" i="8"/>
  <c r="AG105" i="8"/>
  <c r="AH105" i="8"/>
  <c r="AI105" i="8"/>
  <c r="AK105" i="8"/>
  <c r="AL105" i="8"/>
  <c r="AO105" i="8"/>
  <c r="AP105" i="8"/>
  <c r="AS105" i="8"/>
  <c r="AT105" i="8"/>
  <c r="AW105" i="8"/>
  <c r="AX105" i="8"/>
  <c r="BA105" i="8"/>
  <c r="BB105" i="8"/>
  <c r="BE105" i="8"/>
  <c r="BF105" i="8"/>
  <c r="BI105" i="8"/>
  <c r="BJ105" i="8"/>
  <c r="BM105" i="8"/>
  <c r="BN105" i="8"/>
  <c r="B106" i="8"/>
  <c r="C106" i="8"/>
  <c r="E106" i="8"/>
  <c r="G108" i="8"/>
  <c r="K108" i="8"/>
  <c r="L108" i="8"/>
  <c r="O108" i="8"/>
  <c r="S108" i="8"/>
  <c r="W108" i="8"/>
  <c r="AA108" i="8"/>
  <c r="AB108" i="8"/>
  <c r="AE108" i="8"/>
  <c r="AI108" i="8"/>
  <c r="AM108" i="8"/>
  <c r="AN108" i="8"/>
  <c r="AQ108" i="8"/>
  <c r="AU108" i="8"/>
  <c r="AY108" i="8"/>
  <c r="BC108" i="8"/>
  <c r="BG108" i="8"/>
  <c r="BH108" i="8"/>
  <c r="BK108" i="8"/>
  <c r="E109" i="8"/>
  <c r="I111" i="8"/>
  <c r="J111" i="8"/>
  <c r="M111" i="8"/>
  <c r="N111" i="8"/>
  <c r="Q111" i="8"/>
  <c r="R111" i="8"/>
  <c r="U111" i="8"/>
  <c r="V111" i="8"/>
  <c r="Y111" i="8"/>
  <c r="Z111" i="8"/>
  <c r="AC111" i="8"/>
  <c r="AD111" i="8"/>
  <c r="AG111" i="8"/>
  <c r="AH111" i="8"/>
  <c r="AK111" i="8"/>
  <c r="AL111" i="8"/>
  <c r="AO111" i="8"/>
  <c r="AP111" i="8"/>
  <c r="AS111" i="8"/>
  <c r="AT111" i="8"/>
  <c r="AW111" i="8"/>
  <c r="AX111" i="8"/>
  <c r="AX112" i="8" s="1"/>
  <c r="BA111" i="8"/>
  <c r="BB111" i="8"/>
  <c r="BE111" i="8"/>
  <c r="BF111" i="8"/>
  <c r="BI111" i="8"/>
  <c r="BJ111" i="8"/>
  <c r="BM111" i="8"/>
  <c r="BN111" i="8"/>
  <c r="B112" i="8"/>
  <c r="C112" i="8"/>
  <c r="E112" i="8"/>
  <c r="J112" i="8"/>
  <c r="BB112" i="8"/>
  <c r="G114" i="8"/>
  <c r="H114" i="8"/>
  <c r="K114" i="8"/>
  <c r="L114" i="8"/>
  <c r="O114" i="8"/>
  <c r="P114" i="8"/>
  <c r="S114" i="8"/>
  <c r="T114" i="8"/>
  <c r="W114" i="8"/>
  <c r="X114" i="8"/>
  <c r="Z114" i="8"/>
  <c r="AA114" i="8"/>
  <c r="AB114" i="8"/>
  <c r="AE114" i="8"/>
  <c r="AF114" i="8"/>
  <c r="AI114" i="8"/>
  <c r="AJ114" i="8"/>
  <c r="AM114" i="8"/>
  <c r="AN114" i="8"/>
  <c r="AQ114" i="8"/>
  <c r="AR114" i="8"/>
  <c r="AU114" i="8"/>
  <c r="AV114" i="8"/>
  <c r="AY114" i="8"/>
  <c r="AZ114" i="8"/>
  <c r="BC114" i="8"/>
  <c r="BD114" i="8"/>
  <c r="BG114" i="8"/>
  <c r="BH114" i="8"/>
  <c r="BK114" i="8"/>
  <c r="BL114" i="8"/>
  <c r="E115" i="8"/>
  <c r="I117" i="8"/>
  <c r="J117" i="8"/>
  <c r="M117" i="8"/>
  <c r="N117" i="8"/>
  <c r="P117" i="8"/>
  <c r="Q117" i="8"/>
  <c r="R117" i="8"/>
  <c r="U117" i="8"/>
  <c r="V117" i="8"/>
  <c r="Y117" i="8"/>
  <c r="Z117" i="8"/>
  <c r="AC117" i="8"/>
  <c r="AD117" i="8"/>
  <c r="AG117" i="8"/>
  <c r="AH117" i="8"/>
  <c r="AK117" i="8"/>
  <c r="AL117" i="8"/>
  <c r="AO117" i="8"/>
  <c r="AP117" i="8"/>
  <c r="AS117" i="8"/>
  <c r="AT117" i="8"/>
  <c r="AT118" i="8" s="1"/>
  <c r="AW117" i="8"/>
  <c r="AX117" i="8"/>
  <c r="BA117" i="8"/>
  <c r="BB117" i="8"/>
  <c r="BE117" i="8"/>
  <c r="BF117" i="8"/>
  <c r="BI117" i="8"/>
  <c r="BJ117" i="8"/>
  <c r="BM117" i="8"/>
  <c r="BN117" i="8"/>
  <c r="B118" i="8"/>
  <c r="C118" i="8"/>
  <c r="E118" i="8"/>
  <c r="N118" i="8" s="1"/>
  <c r="BJ118" i="8"/>
  <c r="G120" i="8"/>
  <c r="H120" i="8"/>
  <c r="K120" i="8"/>
  <c r="L120" i="8"/>
  <c r="O120" i="8"/>
  <c r="P120" i="8"/>
  <c r="S120" i="8"/>
  <c r="T120" i="8"/>
  <c r="W120" i="8"/>
  <c r="X120" i="8"/>
  <c r="AA120" i="8"/>
  <c r="AB120" i="8"/>
  <c r="AE120" i="8"/>
  <c r="AF120" i="8"/>
  <c r="AI120" i="8"/>
  <c r="AJ120" i="8"/>
  <c r="AL120" i="8"/>
  <c r="AM120" i="8"/>
  <c r="AN120" i="8"/>
  <c r="AQ120" i="8"/>
  <c r="AR120" i="8"/>
  <c r="AU120" i="8"/>
  <c r="AV120" i="8"/>
  <c r="AY120" i="8"/>
  <c r="AZ120" i="8"/>
  <c r="BC120" i="8"/>
  <c r="BD120" i="8"/>
  <c r="BG120" i="8"/>
  <c r="BH120" i="8"/>
  <c r="BK120" i="8"/>
  <c r="BL120" i="8"/>
  <c r="E121" i="8"/>
  <c r="W121" i="8" s="1"/>
  <c r="K121" i="8"/>
  <c r="AI121" i="8"/>
  <c r="AN121" i="8"/>
  <c r="I123" i="8"/>
  <c r="I124" i="8" s="1"/>
  <c r="J123" i="8"/>
  <c r="M123" i="8"/>
  <c r="N123" i="8"/>
  <c r="N124" i="8" s="1"/>
  <c r="Q123" i="8"/>
  <c r="R123" i="8"/>
  <c r="U123" i="8"/>
  <c r="U124" i="8" s="1"/>
  <c r="V123" i="8"/>
  <c r="Y123" i="8"/>
  <c r="Y124" i="8" s="1"/>
  <c r="Z123" i="8"/>
  <c r="AC123" i="8"/>
  <c r="AD123" i="8"/>
  <c r="AG123" i="8"/>
  <c r="AH123" i="8"/>
  <c r="AK123" i="8"/>
  <c r="AK124" i="8" s="1"/>
  <c r="AL123" i="8"/>
  <c r="AO123" i="8"/>
  <c r="AO124" i="8" s="1"/>
  <c r="AP123" i="8"/>
  <c r="AS123" i="8"/>
  <c r="AT123" i="8"/>
  <c r="AW123" i="8"/>
  <c r="AX123" i="8"/>
  <c r="AZ123" i="8"/>
  <c r="BA123" i="8"/>
  <c r="BA124" i="8" s="1"/>
  <c r="BB123" i="8"/>
  <c r="BE123" i="8"/>
  <c r="BE124" i="8" s="1"/>
  <c r="BF123" i="8"/>
  <c r="BF124" i="8" s="1"/>
  <c r="BI123" i="8"/>
  <c r="BJ123" i="8"/>
  <c r="BM123" i="8"/>
  <c r="BN123" i="8"/>
  <c r="B124" i="8"/>
  <c r="C124" i="8"/>
  <c r="E124" i="8"/>
  <c r="O124" i="8"/>
  <c r="AH124" i="8"/>
  <c r="AL124" i="8"/>
  <c r="AP124" i="8"/>
  <c r="AX124" i="8"/>
  <c r="AY124" i="8"/>
  <c r="BJ124" i="8"/>
  <c r="BK124" i="8"/>
  <c r="G126" i="8"/>
  <c r="H126" i="8"/>
  <c r="K126" i="8"/>
  <c r="L126" i="8"/>
  <c r="O126" i="8"/>
  <c r="P126" i="8"/>
  <c r="S126" i="8"/>
  <c r="T126" i="8"/>
  <c r="W126" i="8"/>
  <c r="X126" i="8"/>
  <c r="Z126" i="8"/>
  <c r="AA126" i="8"/>
  <c r="AB126" i="8"/>
  <c r="AE126" i="8"/>
  <c r="AF126" i="8"/>
  <c r="AI126" i="8"/>
  <c r="AJ126" i="8"/>
  <c r="AM126" i="8"/>
  <c r="AN126" i="8"/>
  <c r="AQ126" i="8"/>
  <c r="AR126" i="8"/>
  <c r="AU126" i="8"/>
  <c r="AV126" i="8"/>
  <c r="AY126" i="8"/>
  <c r="AZ126" i="8"/>
  <c r="BC126" i="8"/>
  <c r="BD126" i="8"/>
  <c r="BF126" i="8"/>
  <c r="BG126" i="8"/>
  <c r="BH126" i="8"/>
  <c r="BK126" i="8"/>
  <c r="BL126" i="8"/>
  <c r="E127" i="8"/>
  <c r="A130" i="8"/>
  <c r="H131" i="8"/>
  <c r="I131" i="8"/>
  <c r="P131" i="8"/>
  <c r="T131" i="8"/>
  <c r="AB131" i="8"/>
  <c r="AC131" i="8"/>
  <c r="AJ131" i="8"/>
  <c r="AN131" i="8"/>
  <c r="AO131" i="8"/>
  <c r="AV131" i="8"/>
  <c r="AZ131" i="8"/>
  <c r="BH131" i="8"/>
  <c r="BL131" i="8"/>
  <c r="E132" i="8"/>
  <c r="G134" i="8"/>
  <c r="J134" i="8"/>
  <c r="K134" i="8"/>
  <c r="N134" i="8"/>
  <c r="O134" i="8"/>
  <c r="Q134" i="8"/>
  <c r="R134" i="8"/>
  <c r="S134" i="8"/>
  <c r="V134" i="8"/>
  <c r="W134" i="8"/>
  <c r="Z134" i="8"/>
  <c r="AA134" i="8"/>
  <c r="AD134" i="8"/>
  <c r="AE134" i="8"/>
  <c r="AH134" i="8"/>
  <c r="AI134" i="8"/>
  <c r="AL134" i="8"/>
  <c r="AM134" i="8"/>
  <c r="AP134" i="8"/>
  <c r="AQ134" i="8"/>
  <c r="AT134" i="8"/>
  <c r="AU134" i="8"/>
  <c r="AX134" i="8"/>
  <c r="AY134" i="8"/>
  <c r="BB134" i="8"/>
  <c r="BC134" i="8"/>
  <c r="BE134" i="8"/>
  <c r="BF134" i="8"/>
  <c r="BG134" i="8"/>
  <c r="BJ134" i="8"/>
  <c r="BK134" i="8"/>
  <c r="BN134" i="8"/>
  <c r="C135" i="8"/>
  <c r="E135" i="8"/>
  <c r="AX135" i="8"/>
  <c r="BI135" i="8"/>
  <c r="H137" i="8"/>
  <c r="I137" i="8"/>
  <c r="L137" i="8"/>
  <c r="M137" i="8"/>
  <c r="P137" i="8"/>
  <c r="T137" i="8"/>
  <c r="X137" i="8"/>
  <c r="Y137" i="8"/>
  <c r="AB137" i="8"/>
  <c r="AF137" i="8"/>
  <c r="AJ137" i="8"/>
  <c r="AO137" i="8"/>
  <c r="AR137" i="8"/>
  <c r="AV137" i="8"/>
  <c r="BD137" i="8"/>
  <c r="BH137" i="8"/>
  <c r="BL137" i="8"/>
  <c r="E138" i="8"/>
  <c r="G140" i="8"/>
  <c r="J140" i="8"/>
  <c r="K140" i="8"/>
  <c r="N140" i="8"/>
  <c r="O140" i="8"/>
  <c r="Q140" i="8"/>
  <c r="R140" i="8"/>
  <c r="S140" i="8"/>
  <c r="V140" i="8"/>
  <c r="W140" i="8"/>
  <c r="Z140" i="8"/>
  <c r="AA140" i="8"/>
  <c r="AC140" i="8"/>
  <c r="AD140" i="8"/>
  <c r="AE140" i="8"/>
  <c r="AH140" i="8"/>
  <c r="AI140" i="8"/>
  <c r="AL140" i="8"/>
  <c r="AM140" i="8"/>
  <c r="AO140" i="8"/>
  <c r="AP140" i="8"/>
  <c r="AQ140" i="8"/>
  <c r="AT140" i="8"/>
  <c r="AU140" i="8"/>
  <c r="AX140" i="8"/>
  <c r="AY140" i="8"/>
  <c r="BB140" i="8"/>
  <c r="BC140" i="8"/>
  <c r="BF140" i="8"/>
  <c r="BG140" i="8"/>
  <c r="BJ140" i="8"/>
  <c r="BK140" i="8"/>
  <c r="BN140" i="8"/>
  <c r="C141" i="8"/>
  <c r="E141" i="8"/>
  <c r="AU141" i="8"/>
  <c r="H143" i="8"/>
  <c r="I143" i="8"/>
  <c r="L143" i="8"/>
  <c r="M143" i="8"/>
  <c r="P143" i="8"/>
  <c r="Q143" i="8"/>
  <c r="S143" i="8"/>
  <c r="T143" i="8"/>
  <c r="U143" i="8"/>
  <c r="X143" i="8"/>
  <c r="Y143" i="8"/>
  <c r="AB143" i="8"/>
  <c r="AC143" i="8"/>
  <c r="AE143" i="8"/>
  <c r="AF143" i="8"/>
  <c r="AG143" i="8"/>
  <c r="AJ143" i="8"/>
  <c r="AK143" i="8"/>
  <c r="AN143" i="8"/>
  <c r="AO143" i="8"/>
  <c r="AQ143" i="8"/>
  <c r="AR143" i="8"/>
  <c r="AS143" i="8"/>
  <c r="AV143" i="8"/>
  <c r="AW143" i="8"/>
  <c r="AZ143" i="8"/>
  <c r="BA143" i="8"/>
  <c r="BD143" i="8"/>
  <c r="BE143" i="8"/>
  <c r="BH143" i="8"/>
  <c r="BI143" i="8"/>
  <c r="BL143" i="8"/>
  <c r="BM143" i="8"/>
  <c r="B144" i="8"/>
  <c r="E144" i="8"/>
  <c r="BJ144" i="8" s="1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W147" i="8" s="1"/>
  <c r="X146" i="8"/>
  <c r="Y146" i="8"/>
  <c r="Z146" i="8"/>
  <c r="AA146" i="8"/>
  <c r="AA147" i="8" s="1"/>
  <c r="AB146" i="8"/>
  <c r="AC146" i="8"/>
  <c r="AD146" i="8"/>
  <c r="AE146" i="8"/>
  <c r="AE147" i="8" s="1"/>
  <c r="AF146" i="8"/>
  <c r="AG146" i="8"/>
  <c r="AH146" i="8"/>
  <c r="AI146" i="8"/>
  <c r="AI147" i="8" s="1"/>
  <c r="AJ146" i="8"/>
  <c r="AK146" i="8"/>
  <c r="AL146" i="8"/>
  <c r="AM146" i="8"/>
  <c r="AM147" i="8" s="1"/>
  <c r="AN146" i="8"/>
  <c r="AO146" i="8"/>
  <c r="AP146" i="8"/>
  <c r="AQ146" i="8"/>
  <c r="AQ147" i="8" s="1"/>
  <c r="AR146" i="8"/>
  <c r="AS146" i="8"/>
  <c r="AT146" i="8"/>
  <c r="AU146" i="8"/>
  <c r="AU147" i="8" s="1"/>
  <c r="AV146" i="8"/>
  <c r="AW146" i="8"/>
  <c r="AX146" i="8"/>
  <c r="AY146" i="8"/>
  <c r="AZ146" i="8"/>
  <c r="BA146" i="8"/>
  <c r="BB146" i="8"/>
  <c r="BC146" i="8"/>
  <c r="BC147" i="8" s="1"/>
  <c r="BD146" i="8"/>
  <c r="BE146" i="8"/>
  <c r="BF146" i="8"/>
  <c r="BG146" i="8"/>
  <c r="BG147" i="8" s="1"/>
  <c r="BH146" i="8"/>
  <c r="BI146" i="8"/>
  <c r="BJ146" i="8"/>
  <c r="BK146" i="8"/>
  <c r="BK147" i="8" s="1"/>
  <c r="BL146" i="8"/>
  <c r="BM146" i="8"/>
  <c r="BN146" i="8"/>
  <c r="B147" i="8"/>
  <c r="C147" i="8"/>
  <c r="E147" i="8"/>
  <c r="I147" i="8" s="1"/>
  <c r="J147" i="8"/>
  <c r="O147" i="8"/>
  <c r="S147" i="8"/>
  <c r="AY147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W149" i="8"/>
  <c r="X149" i="8"/>
  <c r="Y149" i="8"/>
  <c r="Z149" i="8"/>
  <c r="AA149" i="8"/>
  <c r="AB149" i="8"/>
  <c r="AC149" i="8"/>
  <c r="AD149" i="8"/>
  <c r="AE149" i="8"/>
  <c r="AF149" i="8"/>
  <c r="AG149" i="8"/>
  <c r="AH149" i="8"/>
  <c r="AI149" i="8"/>
  <c r="AJ149" i="8"/>
  <c r="AK149" i="8"/>
  <c r="AL149" i="8"/>
  <c r="AM149" i="8"/>
  <c r="AN149" i="8"/>
  <c r="AO149" i="8"/>
  <c r="AP149" i="8"/>
  <c r="AQ149" i="8"/>
  <c r="AR149" i="8"/>
  <c r="AS149" i="8"/>
  <c r="AT149" i="8"/>
  <c r="AU149" i="8"/>
  <c r="AV149" i="8"/>
  <c r="AW149" i="8"/>
  <c r="AX149" i="8"/>
  <c r="AY149" i="8"/>
  <c r="AZ149" i="8"/>
  <c r="BA149" i="8"/>
  <c r="BB149" i="8"/>
  <c r="BC149" i="8"/>
  <c r="BD149" i="8"/>
  <c r="BE149" i="8"/>
  <c r="BF149" i="8"/>
  <c r="BG149" i="8"/>
  <c r="BH149" i="8"/>
  <c r="BI149" i="8"/>
  <c r="BJ149" i="8"/>
  <c r="BK149" i="8"/>
  <c r="BL149" i="8"/>
  <c r="BM149" i="8"/>
  <c r="BN149" i="8"/>
  <c r="B150" i="8"/>
  <c r="C150" i="8"/>
  <c r="E150" i="8"/>
  <c r="I150" i="8"/>
  <c r="M150" i="8"/>
  <c r="U150" i="8"/>
  <c r="Y150" i="8"/>
  <c r="AC150" i="8"/>
  <c r="AK150" i="8"/>
  <c r="AO150" i="8"/>
  <c r="AS150" i="8"/>
  <c r="BA150" i="8"/>
  <c r="BE150" i="8"/>
  <c r="BI150" i="8"/>
  <c r="G152" i="8"/>
  <c r="H152" i="8"/>
  <c r="H153" i="8" s="1"/>
  <c r="I152" i="8"/>
  <c r="J152" i="8"/>
  <c r="K152" i="8"/>
  <c r="L152" i="8"/>
  <c r="M152" i="8"/>
  <c r="M153" i="8" s="1"/>
  <c r="N152" i="8"/>
  <c r="O152" i="8"/>
  <c r="P152" i="8"/>
  <c r="Q152" i="8"/>
  <c r="R152" i="8"/>
  <c r="S152" i="8"/>
  <c r="T152" i="8"/>
  <c r="T153" i="8" s="1"/>
  <c r="U152" i="8"/>
  <c r="U153" i="8" s="1"/>
  <c r="V152" i="8"/>
  <c r="W152" i="8"/>
  <c r="X152" i="8"/>
  <c r="X153" i="8" s="1"/>
  <c r="Y152" i="8"/>
  <c r="Z152" i="8"/>
  <c r="AA152" i="8"/>
  <c r="AB152" i="8"/>
  <c r="AC152" i="8"/>
  <c r="AC153" i="8" s="1"/>
  <c r="AD152" i="8"/>
  <c r="AE152" i="8"/>
  <c r="AF152" i="8"/>
  <c r="AG152" i="8"/>
  <c r="AG153" i="8" s="1"/>
  <c r="AH152" i="8"/>
  <c r="AI152" i="8"/>
  <c r="AJ152" i="8"/>
  <c r="AJ153" i="8" s="1"/>
  <c r="AK152" i="8"/>
  <c r="AK153" i="8" s="1"/>
  <c r="AL152" i="8"/>
  <c r="AM152" i="8"/>
  <c r="AN152" i="8"/>
  <c r="AN153" i="8" s="1"/>
  <c r="AO152" i="8"/>
  <c r="AO153" i="8" s="1"/>
  <c r="AP152" i="8"/>
  <c r="AQ152" i="8"/>
  <c r="AR152" i="8"/>
  <c r="AS152" i="8"/>
  <c r="AS153" i="8" s="1"/>
  <c r="AT152" i="8"/>
  <c r="AU152" i="8"/>
  <c r="AV152" i="8"/>
  <c r="AW152" i="8"/>
  <c r="AW153" i="8" s="1"/>
  <c r="AX152" i="8"/>
  <c r="AY152" i="8"/>
  <c r="AZ152" i="8"/>
  <c r="AZ153" i="8" s="1"/>
  <c r="BA152" i="8"/>
  <c r="BA153" i="8" s="1"/>
  <c r="BB152" i="8"/>
  <c r="BC152" i="8"/>
  <c r="BD152" i="8"/>
  <c r="BD153" i="8" s="1"/>
  <c r="BE152" i="8"/>
  <c r="BE153" i="8" s="1"/>
  <c r="BF152" i="8"/>
  <c r="BG152" i="8"/>
  <c r="BH152" i="8"/>
  <c r="BI152" i="8"/>
  <c r="BI153" i="8" s="1"/>
  <c r="BJ152" i="8"/>
  <c r="BK152" i="8"/>
  <c r="BL152" i="8"/>
  <c r="BM152" i="8"/>
  <c r="BM153" i="8" s="1"/>
  <c r="BN152" i="8"/>
  <c r="B153" i="8"/>
  <c r="C153" i="8"/>
  <c r="D153" i="8"/>
  <c r="E153" i="8"/>
  <c r="L153" i="8"/>
  <c r="P153" i="8"/>
  <c r="AB153" i="8"/>
  <c r="AF153" i="8"/>
  <c r="AR153" i="8"/>
  <c r="AV153" i="8"/>
  <c r="BH153" i="8"/>
  <c r="BL153" i="8"/>
  <c r="G155" i="8"/>
  <c r="H155" i="8"/>
  <c r="I155" i="8"/>
  <c r="I156" i="8" s="1"/>
  <c r="J155" i="8"/>
  <c r="K155" i="8"/>
  <c r="L155" i="8"/>
  <c r="M155" i="8"/>
  <c r="M156" i="8" s="1"/>
  <c r="N155" i="8"/>
  <c r="O155" i="8"/>
  <c r="P155" i="8"/>
  <c r="Q155" i="8"/>
  <c r="Q156" i="8" s="1"/>
  <c r="R155" i="8"/>
  <c r="S155" i="8"/>
  <c r="T155" i="8"/>
  <c r="U155" i="8"/>
  <c r="U156" i="8" s="1"/>
  <c r="V155" i="8"/>
  <c r="W155" i="8"/>
  <c r="X155" i="8"/>
  <c r="Y155" i="8"/>
  <c r="Y156" i="8" s="1"/>
  <c r="Z155" i="8"/>
  <c r="AA155" i="8"/>
  <c r="AB155" i="8"/>
  <c r="AC155" i="8"/>
  <c r="AC156" i="8" s="1"/>
  <c r="AD155" i="8"/>
  <c r="AE155" i="8"/>
  <c r="AF155" i="8"/>
  <c r="AG155" i="8"/>
  <c r="AG156" i="8" s="1"/>
  <c r="AH155" i="8"/>
  <c r="AI155" i="8"/>
  <c r="AJ155" i="8"/>
  <c r="AK155" i="8"/>
  <c r="AK156" i="8" s="1"/>
  <c r="AL155" i="8"/>
  <c r="AM155" i="8"/>
  <c r="AN155" i="8"/>
  <c r="AO155" i="8"/>
  <c r="AO156" i="8" s="1"/>
  <c r="AP155" i="8"/>
  <c r="AQ155" i="8"/>
  <c r="AR155" i="8"/>
  <c r="AS155" i="8"/>
  <c r="AS156" i="8" s="1"/>
  <c r="AT155" i="8"/>
  <c r="AU155" i="8"/>
  <c r="AV155" i="8"/>
  <c r="AW155" i="8"/>
  <c r="AW156" i="8" s="1"/>
  <c r="AX155" i="8"/>
  <c r="AY155" i="8"/>
  <c r="AZ155" i="8"/>
  <c r="BA155" i="8"/>
  <c r="BA156" i="8" s="1"/>
  <c r="BB155" i="8"/>
  <c r="BC155" i="8"/>
  <c r="BD155" i="8"/>
  <c r="BE155" i="8"/>
  <c r="BE156" i="8" s="1"/>
  <c r="BF155" i="8"/>
  <c r="BG155" i="8"/>
  <c r="BH155" i="8"/>
  <c r="BI155" i="8"/>
  <c r="BI156" i="8" s="1"/>
  <c r="BJ155" i="8"/>
  <c r="BK155" i="8"/>
  <c r="BL155" i="8"/>
  <c r="BM155" i="8"/>
  <c r="BM156" i="8" s="1"/>
  <c r="BN155" i="8"/>
  <c r="B156" i="8"/>
  <c r="C156" i="8"/>
  <c r="D156" i="8"/>
  <c r="E156" i="8"/>
  <c r="K156" i="8" s="1"/>
  <c r="S156" i="8"/>
  <c r="T156" i="8"/>
  <c r="AA156" i="8"/>
  <c r="AI156" i="8"/>
  <c r="AJ156" i="8"/>
  <c r="AQ156" i="8"/>
  <c r="AY156" i="8"/>
  <c r="AZ156" i="8"/>
  <c r="BG156" i="8"/>
  <c r="G158" i="8"/>
  <c r="G159" i="8" s="1"/>
  <c r="H158" i="8"/>
  <c r="H159" i="8" s="1"/>
  <c r="I158" i="8"/>
  <c r="J158" i="8"/>
  <c r="K158" i="8"/>
  <c r="L158" i="8"/>
  <c r="L159" i="8" s="1"/>
  <c r="M158" i="8"/>
  <c r="N158" i="8"/>
  <c r="N159" i="8" s="1"/>
  <c r="O158" i="8"/>
  <c r="O159" i="8" s="1"/>
  <c r="P158" i="8"/>
  <c r="P159" i="8" s="1"/>
  <c r="Q158" i="8"/>
  <c r="R158" i="8"/>
  <c r="S158" i="8"/>
  <c r="S159" i="8" s="1"/>
  <c r="T158" i="8"/>
  <c r="T159" i="8" s="1"/>
  <c r="U158" i="8"/>
  <c r="V158" i="8"/>
  <c r="V159" i="8" s="1"/>
  <c r="W158" i="8"/>
  <c r="W159" i="8" s="1"/>
  <c r="X158" i="8"/>
  <c r="X159" i="8" s="1"/>
  <c r="Y158" i="8"/>
  <c r="Z158" i="8"/>
  <c r="AA158" i="8"/>
  <c r="AB158" i="8"/>
  <c r="AB159" i="8" s="1"/>
  <c r="AC158" i="8"/>
  <c r="AD158" i="8"/>
  <c r="AD159" i="8" s="1"/>
  <c r="AE158" i="8"/>
  <c r="AE159" i="8" s="1"/>
  <c r="AF158" i="8"/>
  <c r="AF159" i="8" s="1"/>
  <c r="AG158" i="8"/>
  <c r="AH158" i="8"/>
  <c r="AI158" i="8"/>
  <c r="AI159" i="8" s="1"/>
  <c r="AJ158" i="8"/>
  <c r="AJ159" i="8" s="1"/>
  <c r="AK158" i="8"/>
  <c r="AL158" i="8"/>
  <c r="AL159" i="8" s="1"/>
  <c r="AM158" i="8"/>
  <c r="AM159" i="8" s="1"/>
  <c r="AN158" i="8"/>
  <c r="AN159" i="8" s="1"/>
  <c r="AO158" i="8"/>
  <c r="AP158" i="8"/>
  <c r="AQ158" i="8"/>
  <c r="AR158" i="8"/>
  <c r="AR159" i="8" s="1"/>
  <c r="AS158" i="8"/>
  <c r="AT158" i="8"/>
  <c r="AT159" i="8" s="1"/>
  <c r="AU158" i="8"/>
  <c r="AU159" i="8" s="1"/>
  <c r="AV158" i="8"/>
  <c r="AV159" i="8" s="1"/>
  <c r="AW158" i="8"/>
  <c r="AX158" i="8"/>
  <c r="AY158" i="8"/>
  <c r="AY159" i="8" s="1"/>
  <c r="AZ158" i="8"/>
  <c r="AZ159" i="8" s="1"/>
  <c r="BA158" i="8"/>
  <c r="BB158" i="8"/>
  <c r="BB159" i="8" s="1"/>
  <c r="BC158" i="8"/>
  <c r="BC159" i="8" s="1"/>
  <c r="BD158" i="8"/>
  <c r="BD159" i="8" s="1"/>
  <c r="BE158" i="8"/>
  <c r="BF158" i="8"/>
  <c r="BG158" i="8"/>
  <c r="BG159" i="8" s="1"/>
  <c r="BH158" i="8"/>
  <c r="BH159" i="8" s="1"/>
  <c r="BI158" i="8"/>
  <c r="BJ158" i="8"/>
  <c r="BK158" i="8"/>
  <c r="BK159" i="8" s="1"/>
  <c r="BL158" i="8"/>
  <c r="BL159" i="8" s="1"/>
  <c r="BM158" i="8"/>
  <c r="BN158" i="8"/>
  <c r="B159" i="8"/>
  <c r="C159" i="8"/>
  <c r="E159" i="8"/>
  <c r="J159" i="8"/>
  <c r="K159" i="8"/>
  <c r="R159" i="8"/>
  <c r="Z159" i="8"/>
  <c r="AA159" i="8"/>
  <c r="AH159" i="8"/>
  <c r="AP159" i="8"/>
  <c r="AQ159" i="8"/>
  <c r="AX159" i="8"/>
  <c r="BF159" i="8"/>
  <c r="BJ159" i="8"/>
  <c r="BN159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Z161" i="8"/>
  <c r="AA161" i="8"/>
  <c r="AB161" i="8"/>
  <c r="AC161" i="8"/>
  <c r="AD161" i="8"/>
  <c r="AE161" i="8"/>
  <c r="AF161" i="8"/>
  <c r="AG161" i="8"/>
  <c r="AH161" i="8"/>
  <c r="AI161" i="8"/>
  <c r="AJ161" i="8"/>
  <c r="AK161" i="8"/>
  <c r="AL161" i="8"/>
  <c r="AM161" i="8"/>
  <c r="AN161" i="8"/>
  <c r="AO161" i="8"/>
  <c r="AP161" i="8"/>
  <c r="AQ161" i="8"/>
  <c r="AR161" i="8"/>
  <c r="AS161" i="8"/>
  <c r="AT161" i="8"/>
  <c r="AU161" i="8"/>
  <c r="AV161" i="8"/>
  <c r="AW161" i="8"/>
  <c r="AX161" i="8"/>
  <c r="AY161" i="8"/>
  <c r="AZ161" i="8"/>
  <c r="BA161" i="8"/>
  <c r="BB161" i="8"/>
  <c r="BC161" i="8"/>
  <c r="BD161" i="8"/>
  <c r="BE161" i="8"/>
  <c r="BF161" i="8"/>
  <c r="BG161" i="8"/>
  <c r="BH161" i="8"/>
  <c r="BI161" i="8"/>
  <c r="BJ161" i="8"/>
  <c r="BK161" i="8"/>
  <c r="BL161" i="8"/>
  <c r="BM161" i="8"/>
  <c r="BN161" i="8"/>
  <c r="B162" i="8"/>
  <c r="C162" i="8"/>
  <c r="E162" i="8"/>
  <c r="N162" i="8"/>
  <c r="Q162" i="8"/>
  <c r="U162" i="8"/>
  <c r="AC162" i="8"/>
  <c r="AD162" i="8"/>
  <c r="AI162" i="8"/>
  <c r="AO162" i="8"/>
  <c r="AS162" i="8"/>
  <c r="AX162" i="8"/>
  <c r="BC162" i="8"/>
  <c r="BE162" i="8"/>
  <c r="BI162" i="8"/>
  <c r="BJ162" i="8"/>
  <c r="BN162" i="8"/>
  <c r="G164" i="8"/>
  <c r="H164" i="8"/>
  <c r="I164" i="8"/>
  <c r="J164" i="8"/>
  <c r="J165" i="8" s="1"/>
  <c r="K164" i="8"/>
  <c r="L164" i="8"/>
  <c r="M164" i="8"/>
  <c r="N164" i="8"/>
  <c r="N165" i="8" s="1"/>
  <c r="O164" i="8"/>
  <c r="P164" i="8"/>
  <c r="Q164" i="8"/>
  <c r="R164" i="8"/>
  <c r="R165" i="8" s="1"/>
  <c r="S164" i="8"/>
  <c r="T164" i="8"/>
  <c r="U164" i="8"/>
  <c r="V164" i="8"/>
  <c r="V165" i="8" s="1"/>
  <c r="W164" i="8"/>
  <c r="X164" i="8"/>
  <c r="Y164" i="8"/>
  <c r="Z164" i="8"/>
  <c r="Z165" i="8" s="1"/>
  <c r="AA164" i="8"/>
  <c r="AB164" i="8"/>
  <c r="AC164" i="8"/>
  <c r="AD164" i="8"/>
  <c r="AD165" i="8" s="1"/>
  <c r="AE164" i="8"/>
  <c r="AF164" i="8"/>
  <c r="AG164" i="8"/>
  <c r="AH164" i="8"/>
  <c r="AH165" i="8" s="1"/>
  <c r="AI164" i="8"/>
  <c r="AJ164" i="8"/>
  <c r="AK164" i="8"/>
  <c r="AL164" i="8"/>
  <c r="AL165" i="8" s="1"/>
  <c r="AM164" i="8"/>
  <c r="AN164" i="8"/>
  <c r="AO164" i="8"/>
  <c r="AP164" i="8"/>
  <c r="AP165" i="8" s="1"/>
  <c r="AQ164" i="8"/>
  <c r="AR164" i="8"/>
  <c r="AS164" i="8"/>
  <c r="AT164" i="8"/>
  <c r="AT165" i="8" s="1"/>
  <c r="AU164" i="8"/>
  <c r="AV164" i="8"/>
  <c r="AW164" i="8"/>
  <c r="AX164" i="8"/>
  <c r="AX165" i="8" s="1"/>
  <c r="AY164" i="8"/>
  <c r="AZ164" i="8"/>
  <c r="BA164" i="8"/>
  <c r="BB164" i="8"/>
  <c r="BB165" i="8" s="1"/>
  <c r="BC164" i="8"/>
  <c r="BD164" i="8"/>
  <c r="BE164" i="8"/>
  <c r="BF164" i="8"/>
  <c r="BF165" i="8" s="1"/>
  <c r="BG164" i="8"/>
  <c r="BH164" i="8"/>
  <c r="BI164" i="8"/>
  <c r="BJ164" i="8"/>
  <c r="BJ165" i="8" s="1"/>
  <c r="BK164" i="8"/>
  <c r="BL164" i="8"/>
  <c r="BM164" i="8"/>
  <c r="BN164" i="8"/>
  <c r="BN165" i="8" s="1"/>
  <c r="B165" i="8"/>
  <c r="C165" i="8"/>
  <c r="E165" i="8"/>
  <c r="M165" i="8" s="1"/>
  <c r="I165" i="8"/>
  <c r="Q165" i="8"/>
  <c r="Y165" i="8"/>
  <c r="AG165" i="8"/>
  <c r="AO165" i="8"/>
  <c r="AW165" i="8"/>
  <c r="BE165" i="8"/>
  <c r="BM165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E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AV167" i="8"/>
  <c r="AW167" i="8"/>
  <c r="AX167" i="8"/>
  <c r="AY167" i="8"/>
  <c r="AZ167" i="8"/>
  <c r="BA167" i="8"/>
  <c r="BB167" i="8"/>
  <c r="BC167" i="8"/>
  <c r="BD167" i="8"/>
  <c r="BE167" i="8"/>
  <c r="BF167" i="8"/>
  <c r="BG167" i="8"/>
  <c r="BH167" i="8"/>
  <c r="BI167" i="8"/>
  <c r="BJ167" i="8"/>
  <c r="BK167" i="8"/>
  <c r="BL167" i="8"/>
  <c r="BM167" i="8"/>
  <c r="BN167" i="8"/>
  <c r="B168" i="8"/>
  <c r="C168" i="8"/>
  <c r="E168" i="8"/>
  <c r="AK168" i="8"/>
  <c r="AO168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E170" i="8"/>
  <c r="AF170" i="8"/>
  <c r="AG170" i="8"/>
  <c r="AG171" i="8" s="1"/>
  <c r="AH170" i="8"/>
  <c r="AI170" i="8"/>
  <c r="AJ170" i="8"/>
  <c r="AK170" i="8"/>
  <c r="AK171" i="8" s="1"/>
  <c r="AL170" i="8"/>
  <c r="AM170" i="8"/>
  <c r="AN170" i="8"/>
  <c r="AO170" i="8"/>
  <c r="AO171" i="8" s="1"/>
  <c r="AP170" i="8"/>
  <c r="AQ170" i="8"/>
  <c r="AR170" i="8"/>
  <c r="AS170" i="8"/>
  <c r="AS171" i="8" s="1"/>
  <c r="AT170" i="8"/>
  <c r="AU170" i="8"/>
  <c r="AV170" i="8"/>
  <c r="AW170" i="8"/>
  <c r="AW171" i="8" s="1"/>
  <c r="AX170" i="8"/>
  <c r="AY170" i="8"/>
  <c r="AZ170" i="8"/>
  <c r="BA170" i="8"/>
  <c r="BA171" i="8" s="1"/>
  <c r="BB170" i="8"/>
  <c r="BC170" i="8"/>
  <c r="BD170" i="8"/>
  <c r="BE170" i="8"/>
  <c r="BE171" i="8" s="1"/>
  <c r="BF170" i="8"/>
  <c r="BG170" i="8"/>
  <c r="BH170" i="8"/>
  <c r="BI170" i="8"/>
  <c r="BI171" i="8" s="1"/>
  <c r="BJ170" i="8"/>
  <c r="BK170" i="8"/>
  <c r="BL170" i="8"/>
  <c r="BM170" i="8"/>
  <c r="BM171" i="8" s="1"/>
  <c r="BN170" i="8"/>
  <c r="B171" i="8"/>
  <c r="C171" i="8"/>
  <c r="D171" i="8"/>
  <c r="E171" i="8"/>
  <c r="H171" i="8" s="1"/>
  <c r="J171" i="8"/>
  <c r="K171" i="8"/>
  <c r="O171" i="8"/>
  <c r="P171" i="8"/>
  <c r="T171" i="8"/>
  <c r="V171" i="8"/>
  <c r="Z171" i="8"/>
  <c r="AA171" i="8"/>
  <c r="AE171" i="8"/>
  <c r="AF171" i="8"/>
  <c r="AJ171" i="8"/>
  <c r="AL171" i="8"/>
  <c r="AP171" i="8"/>
  <c r="AQ171" i="8"/>
  <c r="AU171" i="8"/>
  <c r="AV171" i="8"/>
  <c r="AZ171" i="8"/>
  <c r="BB171" i="8"/>
  <c r="BC171" i="8"/>
  <c r="BF171" i="8"/>
  <c r="BG171" i="8"/>
  <c r="BH171" i="8"/>
  <c r="BJ171" i="8"/>
  <c r="BK171" i="8"/>
  <c r="BL171" i="8"/>
  <c r="BN171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Y173" i="8"/>
  <c r="AZ173" i="8"/>
  <c r="BA173" i="8"/>
  <c r="BB173" i="8"/>
  <c r="BC173" i="8"/>
  <c r="BD173" i="8"/>
  <c r="BE173" i="8"/>
  <c r="BF173" i="8"/>
  <c r="BG173" i="8"/>
  <c r="BH173" i="8"/>
  <c r="BI173" i="8"/>
  <c r="BJ173" i="8"/>
  <c r="BK173" i="8"/>
  <c r="BL173" i="8"/>
  <c r="BM173" i="8"/>
  <c r="BN173" i="8"/>
  <c r="B174" i="8"/>
  <c r="C174" i="8"/>
  <c r="E174" i="8"/>
  <c r="I174" i="8" s="1"/>
  <c r="J174" i="8"/>
  <c r="K174" i="8"/>
  <c r="O174" i="8"/>
  <c r="Q174" i="8"/>
  <c r="U174" i="8"/>
  <c r="V174" i="8"/>
  <c r="Z174" i="8"/>
  <c r="AA174" i="8"/>
  <c r="AE174" i="8"/>
  <c r="AG174" i="8"/>
  <c r="AK174" i="8"/>
  <c r="AL174" i="8"/>
  <c r="AP174" i="8"/>
  <c r="AQ174" i="8"/>
  <c r="AS174" i="8"/>
  <c r="AU174" i="8"/>
  <c r="AW174" i="8"/>
  <c r="AX174" i="8"/>
  <c r="AY174" i="8"/>
  <c r="BA174" i="8"/>
  <c r="BB174" i="8"/>
  <c r="BC174" i="8"/>
  <c r="BE174" i="8"/>
  <c r="BF174" i="8"/>
  <c r="BG174" i="8"/>
  <c r="BI174" i="8"/>
  <c r="BJ174" i="8"/>
  <c r="BK174" i="8"/>
  <c r="BM174" i="8"/>
  <c r="BN174" i="8"/>
  <c r="B1" i="9"/>
  <c r="F1" i="9"/>
  <c r="F2" i="9"/>
  <c r="H3" i="9"/>
  <c r="F4" i="9"/>
  <c r="B5" i="9"/>
  <c r="F7" i="9"/>
  <c r="B8" i="9"/>
  <c r="G8" i="9"/>
  <c r="G9" i="9"/>
  <c r="C12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AI16" i="9"/>
  <c r="AJ16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BE16" i="9"/>
  <c r="BF16" i="9"/>
  <c r="BG16" i="9"/>
  <c r="BH16" i="9"/>
  <c r="BI16" i="9"/>
  <c r="BJ16" i="9"/>
  <c r="BK16" i="9"/>
  <c r="BL16" i="9"/>
  <c r="BM16" i="9"/>
  <c r="BN16" i="9"/>
  <c r="BO16" i="9"/>
  <c r="BP16" i="9"/>
  <c r="BQ16" i="9"/>
  <c r="BR16" i="9"/>
  <c r="BS16" i="9"/>
  <c r="B18" i="9"/>
  <c r="BS19" i="9"/>
  <c r="BS20" i="9"/>
  <c r="C28" i="9"/>
  <c r="BT28" i="9" s="1"/>
  <c r="C36" i="9"/>
  <c r="J36" i="9"/>
  <c r="K36" i="9"/>
  <c r="K38" i="9" s="1"/>
  <c r="C37" i="9"/>
  <c r="G37" i="9"/>
  <c r="J37" i="9"/>
  <c r="I38" i="9"/>
  <c r="C1" i="10"/>
  <c r="M1" i="10"/>
  <c r="M2" i="10"/>
  <c r="P3" i="10"/>
  <c r="P4" i="10"/>
  <c r="C5" i="10"/>
  <c r="P7" i="10"/>
  <c r="C8" i="10"/>
  <c r="Q8" i="10"/>
  <c r="Q9" i="10"/>
  <c r="D10" i="10"/>
  <c r="P11" i="10"/>
  <c r="R11" i="10"/>
  <c r="T11" i="10"/>
  <c r="P13" i="10"/>
  <c r="S13" i="10"/>
  <c r="S15" i="10" s="1"/>
  <c r="S14" i="10"/>
  <c r="T14" i="10"/>
  <c r="P16" i="10"/>
  <c r="S16" i="10"/>
  <c r="S17" i="10"/>
  <c r="T17" i="10"/>
  <c r="T18" i="10" s="1"/>
  <c r="S18" i="10"/>
  <c r="S19" i="10"/>
  <c r="E21" i="10"/>
  <c r="F21" i="10"/>
  <c r="S25" i="10" s="1"/>
  <c r="P21" i="10"/>
  <c r="Q21" i="10"/>
  <c r="R21" i="10"/>
  <c r="S21" i="10"/>
  <c r="T21" i="10"/>
  <c r="E22" i="10"/>
  <c r="F22" i="10"/>
  <c r="E25" i="10"/>
  <c r="R25" i="10"/>
  <c r="R27" i="10"/>
  <c r="S27" i="10" s="1"/>
  <c r="E29" i="10"/>
  <c r="R31" i="10"/>
  <c r="C32" i="10"/>
  <c r="G32" i="10"/>
  <c r="I32" i="10"/>
  <c r="K32" i="10"/>
  <c r="R32" i="10"/>
  <c r="E33" i="10"/>
  <c r="D21" i="9" s="1"/>
  <c r="G33" i="10"/>
  <c r="I33" i="10"/>
  <c r="R33" i="10"/>
  <c r="E34" i="10"/>
  <c r="E21" i="9" s="1"/>
  <c r="G34" i="10"/>
  <c r="I34" i="10"/>
  <c r="R34" i="10"/>
  <c r="C35" i="10"/>
  <c r="D35" i="10" s="1"/>
  <c r="E35" i="10"/>
  <c r="G35" i="10"/>
  <c r="I35" i="10"/>
  <c r="N35" i="10"/>
  <c r="R35" i="10"/>
  <c r="C36" i="10"/>
  <c r="D36" i="10" s="1"/>
  <c r="E36" i="10"/>
  <c r="G21" i="9" s="1"/>
  <c r="G36" i="10"/>
  <c r="I36" i="10"/>
  <c r="R36" i="10"/>
  <c r="C37" i="10"/>
  <c r="D37" i="10" s="1"/>
  <c r="E37" i="10"/>
  <c r="H21" i="9" s="1"/>
  <c r="G37" i="10"/>
  <c r="I37" i="10"/>
  <c r="R37" i="10"/>
  <c r="C38" i="10"/>
  <c r="D38" i="10" s="1"/>
  <c r="E38" i="10"/>
  <c r="I21" i="9" s="1"/>
  <c r="G38" i="10"/>
  <c r="I38" i="10"/>
  <c r="R38" i="10"/>
  <c r="C39" i="10"/>
  <c r="D39" i="10" s="1"/>
  <c r="E39" i="10"/>
  <c r="J21" i="9" s="1"/>
  <c r="G39" i="10"/>
  <c r="I39" i="10"/>
  <c r="R39" i="10"/>
  <c r="C40" i="10"/>
  <c r="D40" i="10"/>
  <c r="E40" i="10"/>
  <c r="K21" i="9" s="1"/>
  <c r="G40" i="10"/>
  <c r="I40" i="10"/>
  <c r="R40" i="10"/>
  <c r="C41" i="10"/>
  <c r="D41" i="10"/>
  <c r="E41" i="10"/>
  <c r="L21" i="9" s="1"/>
  <c r="G41" i="10"/>
  <c r="I41" i="10"/>
  <c r="R41" i="10"/>
  <c r="C42" i="10"/>
  <c r="D42" i="10"/>
  <c r="E42" i="10"/>
  <c r="M21" i="9" s="1"/>
  <c r="G42" i="10"/>
  <c r="I42" i="10"/>
  <c r="R42" i="10"/>
  <c r="C43" i="10"/>
  <c r="D43" i="10" s="1"/>
  <c r="E43" i="10"/>
  <c r="N21" i="9" s="1"/>
  <c r="G43" i="10"/>
  <c r="I43" i="10"/>
  <c r="R43" i="10"/>
  <c r="C44" i="10"/>
  <c r="D44" i="10" s="1"/>
  <c r="E44" i="10"/>
  <c r="O21" i="9" s="1"/>
  <c r="G44" i="10"/>
  <c r="I44" i="10"/>
  <c r="R44" i="10"/>
  <c r="C45" i="10"/>
  <c r="D45" i="10" s="1"/>
  <c r="E45" i="10"/>
  <c r="P21" i="9" s="1"/>
  <c r="G45" i="10"/>
  <c r="I45" i="10"/>
  <c r="R45" i="10"/>
  <c r="C46" i="10"/>
  <c r="D46" i="10" s="1"/>
  <c r="E46" i="10"/>
  <c r="Q21" i="9" s="1"/>
  <c r="G46" i="10"/>
  <c r="I46" i="10"/>
  <c r="R46" i="10"/>
  <c r="C47" i="10"/>
  <c r="D47" i="10" s="1"/>
  <c r="E47" i="10"/>
  <c r="R21" i="9" s="1"/>
  <c r="G47" i="10"/>
  <c r="I47" i="10"/>
  <c r="R47" i="10"/>
  <c r="C48" i="10"/>
  <c r="D48" i="10"/>
  <c r="E48" i="10"/>
  <c r="S21" i="9" s="1"/>
  <c r="G48" i="10"/>
  <c r="I48" i="10"/>
  <c r="R48" i="10"/>
  <c r="C49" i="10"/>
  <c r="D49" i="10"/>
  <c r="E49" i="10"/>
  <c r="G49" i="10"/>
  <c r="I49" i="10"/>
  <c r="R49" i="10"/>
  <c r="C50" i="10"/>
  <c r="D50" i="10"/>
  <c r="E50" i="10"/>
  <c r="U21" i="9" s="1"/>
  <c r="G50" i="10"/>
  <c r="I50" i="10"/>
  <c r="R50" i="10"/>
  <c r="C51" i="10"/>
  <c r="D51" i="10" s="1"/>
  <c r="E51" i="10"/>
  <c r="G51" i="10"/>
  <c r="I51" i="10"/>
  <c r="R51" i="10"/>
  <c r="C52" i="10"/>
  <c r="D52" i="10" s="1"/>
  <c r="E52" i="10"/>
  <c r="W21" i="9" s="1"/>
  <c r="G52" i="10"/>
  <c r="I52" i="10"/>
  <c r="R52" i="10"/>
  <c r="C53" i="10"/>
  <c r="D53" i="10" s="1"/>
  <c r="E53" i="10"/>
  <c r="G53" i="10"/>
  <c r="I53" i="10"/>
  <c r="R53" i="10"/>
  <c r="C54" i="10"/>
  <c r="D54" i="10" s="1"/>
  <c r="E54" i="10"/>
  <c r="Y21" i="9" s="1"/>
  <c r="G54" i="10"/>
  <c r="I54" i="10"/>
  <c r="N54" i="10"/>
  <c r="R54" i="10"/>
  <c r="C55" i="10"/>
  <c r="D55" i="10" s="1"/>
  <c r="E55" i="10"/>
  <c r="Z21" i="9" s="1"/>
  <c r="G55" i="10"/>
  <c r="I55" i="10"/>
  <c r="R55" i="10"/>
  <c r="C56" i="10"/>
  <c r="D56" i="10"/>
  <c r="E56" i="10"/>
  <c r="AA21" i="9" s="1"/>
  <c r="G56" i="10"/>
  <c r="I56" i="10"/>
  <c r="R56" i="10"/>
  <c r="C57" i="10"/>
  <c r="D57" i="10"/>
  <c r="E57" i="10"/>
  <c r="G57" i="10"/>
  <c r="I57" i="10"/>
  <c r="R57" i="10"/>
  <c r="C58" i="10"/>
  <c r="D58" i="10"/>
  <c r="E58" i="10"/>
  <c r="AC21" i="9" s="1"/>
  <c r="G58" i="10"/>
  <c r="I58" i="10"/>
  <c r="R58" i="10"/>
  <c r="C59" i="10"/>
  <c r="D59" i="10" s="1"/>
  <c r="E59" i="10"/>
  <c r="AD21" i="9" s="1"/>
  <c r="G59" i="10"/>
  <c r="I59" i="10"/>
  <c r="R59" i="10"/>
  <c r="C60" i="10"/>
  <c r="D60" i="10" s="1"/>
  <c r="E60" i="10"/>
  <c r="AE21" i="9" s="1"/>
  <c r="G60" i="10"/>
  <c r="I60" i="10"/>
  <c r="R60" i="10"/>
  <c r="C61" i="10"/>
  <c r="D61" i="10" s="1"/>
  <c r="E61" i="10"/>
  <c r="G61" i="10"/>
  <c r="I61" i="10"/>
  <c r="R61" i="10"/>
  <c r="C62" i="10"/>
  <c r="D62" i="10" s="1"/>
  <c r="E62" i="10"/>
  <c r="G62" i="10"/>
  <c r="I62" i="10"/>
  <c r="R62" i="10"/>
  <c r="C63" i="10"/>
  <c r="D63" i="10" s="1"/>
  <c r="E63" i="10"/>
  <c r="AH21" i="9" s="1"/>
  <c r="G63" i="10"/>
  <c r="I63" i="10"/>
  <c r="R63" i="10"/>
  <c r="C64" i="10"/>
  <c r="D64" i="10"/>
  <c r="E64" i="10"/>
  <c r="AI21" i="9" s="1"/>
  <c r="G64" i="10"/>
  <c r="I64" i="10"/>
  <c r="N64" i="10"/>
  <c r="R64" i="10"/>
  <c r="C65" i="10"/>
  <c r="D65" i="10"/>
  <c r="E65" i="10"/>
  <c r="G65" i="10"/>
  <c r="I65" i="10"/>
  <c r="R65" i="10"/>
  <c r="C66" i="10"/>
  <c r="D66" i="10"/>
  <c r="E66" i="10"/>
  <c r="AK21" i="9" s="1"/>
  <c r="G66" i="10"/>
  <c r="I66" i="10"/>
  <c r="R66" i="10"/>
  <c r="C67" i="10"/>
  <c r="D67" i="10" s="1"/>
  <c r="E67" i="10"/>
  <c r="AL21" i="9" s="1"/>
  <c r="G67" i="10"/>
  <c r="I67" i="10"/>
  <c r="R67" i="10"/>
  <c r="C68" i="10"/>
  <c r="D68" i="10" s="1"/>
  <c r="E68" i="10"/>
  <c r="AM21" i="9" s="1"/>
  <c r="G68" i="10"/>
  <c r="I68" i="10"/>
  <c r="R68" i="10"/>
  <c r="C69" i="10"/>
  <c r="D69" i="10" s="1"/>
  <c r="E69" i="10"/>
  <c r="AN21" i="9" s="1"/>
  <c r="G69" i="10"/>
  <c r="I69" i="10"/>
  <c r="R69" i="10"/>
  <c r="C70" i="10"/>
  <c r="D70" i="10" s="1"/>
  <c r="E70" i="10"/>
  <c r="G70" i="10"/>
  <c r="I70" i="10"/>
  <c r="R70" i="10"/>
  <c r="C71" i="10"/>
  <c r="D71" i="10" s="1"/>
  <c r="E71" i="10"/>
  <c r="AP21" i="9" s="1"/>
  <c r="G71" i="10"/>
  <c r="I71" i="10"/>
  <c r="N71" i="10"/>
  <c r="R71" i="10"/>
  <c r="C72" i="10"/>
  <c r="D72" i="10" s="1"/>
  <c r="E72" i="10"/>
  <c r="AQ21" i="9" s="1"/>
  <c r="G72" i="10"/>
  <c r="I72" i="10"/>
  <c r="R72" i="10"/>
  <c r="C73" i="10"/>
  <c r="D73" i="10" s="1"/>
  <c r="E73" i="10"/>
  <c r="AR21" i="9" s="1"/>
  <c r="G73" i="10"/>
  <c r="I73" i="10"/>
  <c r="R73" i="10"/>
  <c r="C74" i="10"/>
  <c r="D74" i="10" s="1"/>
  <c r="E74" i="10"/>
  <c r="G74" i="10"/>
  <c r="I74" i="10"/>
  <c r="R74" i="10"/>
  <c r="C75" i="10"/>
  <c r="D75" i="10" s="1"/>
  <c r="E75" i="10"/>
  <c r="AT21" i="9" s="1"/>
  <c r="G75" i="10"/>
  <c r="I75" i="10"/>
  <c r="R75" i="10"/>
  <c r="C76" i="10"/>
  <c r="D76" i="10" s="1"/>
  <c r="E76" i="10"/>
  <c r="AU21" i="9" s="1"/>
  <c r="G76" i="10"/>
  <c r="I76" i="10"/>
  <c r="R76" i="10"/>
  <c r="C77" i="10"/>
  <c r="D77" i="10" s="1"/>
  <c r="E77" i="10"/>
  <c r="AV21" i="9" s="1"/>
  <c r="G77" i="10"/>
  <c r="I77" i="10"/>
  <c r="R77" i="10"/>
  <c r="C78" i="10"/>
  <c r="D78" i="10"/>
  <c r="E78" i="10"/>
  <c r="AW21" i="9" s="1"/>
  <c r="G78" i="10"/>
  <c r="I78" i="10"/>
  <c r="R78" i="10"/>
  <c r="C79" i="10"/>
  <c r="D79" i="10" s="1"/>
  <c r="E79" i="10"/>
  <c r="AX21" i="9" s="1"/>
  <c r="G79" i="10"/>
  <c r="I79" i="10"/>
  <c r="R79" i="10"/>
  <c r="C80" i="10"/>
  <c r="D80" i="10" s="1"/>
  <c r="E80" i="10"/>
  <c r="AY21" i="9" s="1"/>
  <c r="G80" i="10"/>
  <c r="I80" i="10"/>
  <c r="R80" i="10"/>
  <c r="C81" i="10"/>
  <c r="D81" i="10" s="1"/>
  <c r="E81" i="10"/>
  <c r="AZ21" i="9" s="1"/>
  <c r="G81" i="10"/>
  <c r="I81" i="10"/>
  <c r="R81" i="10"/>
  <c r="C82" i="10"/>
  <c r="D82" i="10" s="1"/>
  <c r="E82" i="10"/>
  <c r="BA21" i="9" s="1"/>
  <c r="G82" i="10"/>
  <c r="I82" i="10"/>
  <c r="R82" i="10"/>
  <c r="C83" i="10"/>
  <c r="D83" i="10" s="1"/>
  <c r="E83" i="10"/>
  <c r="BB21" i="9" s="1"/>
  <c r="G83" i="10"/>
  <c r="I83" i="10"/>
  <c r="R83" i="10"/>
  <c r="C84" i="10"/>
  <c r="D84" i="10" s="1"/>
  <c r="E84" i="10"/>
  <c r="BC21" i="9" s="1"/>
  <c r="G84" i="10"/>
  <c r="I84" i="10"/>
  <c r="R84" i="10"/>
  <c r="C85" i="10"/>
  <c r="D85" i="10" s="1"/>
  <c r="E85" i="10"/>
  <c r="BD21" i="9" s="1"/>
  <c r="G85" i="10"/>
  <c r="I85" i="10"/>
  <c r="R85" i="10"/>
  <c r="C86" i="10"/>
  <c r="D86" i="10"/>
  <c r="E86" i="10"/>
  <c r="BE21" i="9" s="1"/>
  <c r="G86" i="10"/>
  <c r="I86" i="10"/>
  <c r="R86" i="10"/>
  <c r="C87" i="10"/>
  <c r="D87" i="10" s="1"/>
  <c r="E87" i="10"/>
  <c r="BF21" i="9" s="1"/>
  <c r="G87" i="10"/>
  <c r="I87" i="10"/>
  <c r="R87" i="10"/>
  <c r="C88" i="10"/>
  <c r="D88" i="10" s="1"/>
  <c r="E88" i="10"/>
  <c r="BG21" i="9" s="1"/>
  <c r="G88" i="10"/>
  <c r="I88" i="10"/>
  <c r="N88" i="10"/>
  <c r="R88" i="10"/>
  <c r="C89" i="10"/>
  <c r="D89" i="10" s="1"/>
  <c r="E89" i="10"/>
  <c r="BH21" i="9" s="1"/>
  <c r="G89" i="10"/>
  <c r="I89" i="10"/>
  <c r="R89" i="10"/>
  <c r="C90" i="10"/>
  <c r="D90" i="10" s="1"/>
  <c r="E90" i="10"/>
  <c r="BI21" i="9" s="1"/>
  <c r="G90" i="10"/>
  <c r="I90" i="10"/>
  <c r="R90" i="10"/>
  <c r="C91" i="10"/>
  <c r="D91" i="10" s="1"/>
  <c r="E91" i="10"/>
  <c r="BJ21" i="9" s="1"/>
  <c r="G91" i="10"/>
  <c r="I91" i="10"/>
  <c r="C92" i="10"/>
  <c r="D92" i="10" s="1"/>
  <c r="E92" i="10"/>
  <c r="G92" i="10"/>
  <c r="I92" i="10"/>
  <c r="C93" i="10"/>
  <c r="D93" i="10" s="1"/>
  <c r="E93" i="10"/>
  <c r="G93" i="10"/>
  <c r="I93" i="10"/>
  <c r="C94" i="10"/>
  <c r="D94" i="10" s="1"/>
  <c r="E94" i="10"/>
  <c r="G94" i="10"/>
  <c r="I94" i="10"/>
  <c r="C95" i="10"/>
  <c r="D95" i="10" s="1"/>
  <c r="E95" i="10"/>
  <c r="G95" i="10"/>
  <c r="I95" i="10"/>
  <c r="C96" i="10"/>
  <c r="D96" i="10" s="1"/>
  <c r="E96" i="10"/>
  <c r="G96" i="10"/>
  <c r="I96" i="10"/>
  <c r="C97" i="10"/>
  <c r="D97" i="10" s="1"/>
  <c r="E97" i="10"/>
  <c r="G97" i="10"/>
  <c r="I97" i="10"/>
  <c r="C98" i="10"/>
  <c r="D98" i="10" s="1"/>
  <c r="E98" i="10"/>
  <c r="G98" i="10"/>
  <c r="I98" i="10"/>
  <c r="C99" i="10"/>
  <c r="D99" i="10" s="1"/>
  <c r="E99" i="10"/>
  <c r="G99" i="10"/>
  <c r="I99" i="10"/>
  <c r="A1" i="11"/>
  <c r="B2" i="11"/>
  <c r="B5" i="11"/>
  <c r="C5" i="11"/>
  <c r="B6" i="11"/>
  <c r="B9" i="11"/>
  <c r="D15" i="11"/>
  <c r="E21" i="11"/>
  <c r="D22" i="11"/>
  <c r="D23" i="11"/>
  <c r="C24" i="11"/>
  <c r="E24" i="11"/>
  <c r="B41" i="11"/>
  <c r="B42" i="11"/>
  <c r="A1" i="12"/>
  <c r="B2" i="12"/>
  <c r="B5" i="12"/>
  <c r="C5" i="12"/>
  <c r="B6" i="12"/>
  <c r="B9" i="12"/>
  <c r="D15" i="12"/>
  <c r="B24" i="12"/>
  <c r="B26" i="12"/>
  <c r="B31" i="12"/>
  <c r="B32" i="12"/>
  <c r="B33" i="12"/>
  <c r="B34" i="12"/>
  <c r="B39" i="12"/>
  <c r="B40" i="12"/>
  <c r="B1" i="13"/>
  <c r="C2" i="13"/>
  <c r="C5" i="13"/>
  <c r="D5" i="13"/>
  <c r="C6" i="13"/>
  <c r="C9" i="13"/>
  <c r="E15" i="13"/>
  <c r="B31" i="13"/>
  <c r="C31" i="13"/>
  <c r="N97" i="10" l="1"/>
  <c r="N90" i="10"/>
  <c r="N73" i="10"/>
  <c r="N41" i="10"/>
  <c r="N37" i="10"/>
  <c r="N95" i="10"/>
  <c r="N75" i="10"/>
  <c r="N67" i="10"/>
  <c r="N57" i="10"/>
  <c r="N50" i="10"/>
  <c r="N39" i="10"/>
  <c r="N93" i="10"/>
  <c r="N86" i="10"/>
  <c r="N77" i="10"/>
  <c r="N69" i="10"/>
  <c r="N52" i="10"/>
  <c r="N48" i="10"/>
  <c r="N99" i="10"/>
  <c r="N91" i="10"/>
  <c r="N89" i="10"/>
  <c r="N87" i="10"/>
  <c r="N76" i="10"/>
  <c r="N74" i="10"/>
  <c r="N72" i="10"/>
  <c r="N70" i="10"/>
  <c r="N68" i="10"/>
  <c r="N66" i="10"/>
  <c r="N55" i="10"/>
  <c r="N53" i="10"/>
  <c r="N51" i="10"/>
  <c r="N38" i="10"/>
  <c r="N36" i="10"/>
  <c r="N34" i="10"/>
  <c r="K37" i="9"/>
  <c r="N96" i="10"/>
  <c r="N92" i="10"/>
  <c r="N84" i="10"/>
  <c r="N82" i="10"/>
  <c r="N80" i="10"/>
  <c r="N78" i="10"/>
  <c r="N65" i="10"/>
  <c r="N62" i="10"/>
  <c r="N60" i="10"/>
  <c r="N58" i="10"/>
  <c r="N47" i="10"/>
  <c r="N45" i="10"/>
  <c r="N43" i="10"/>
  <c r="N40" i="10"/>
  <c r="N98" i="10"/>
  <c r="N94" i="10"/>
  <c r="N85" i="10"/>
  <c r="N83" i="10"/>
  <c r="N81" i="10"/>
  <c r="N79" i="10"/>
  <c r="N63" i="10"/>
  <c r="N61" i="10"/>
  <c r="N59" i="10"/>
  <c r="N56" i="10"/>
  <c r="N49" i="10"/>
  <c r="N46" i="10"/>
  <c r="N44" i="10"/>
  <c r="N42" i="10"/>
  <c r="T19" i="10"/>
  <c r="AV138" i="8"/>
  <c r="BD132" i="8"/>
  <c r="T138" i="8"/>
  <c r="BK21" i="8"/>
  <c r="AK135" i="8"/>
  <c r="AG141" i="8"/>
  <c r="J127" i="8"/>
  <c r="AP127" i="8"/>
  <c r="S127" i="8"/>
  <c r="AT127" i="8"/>
  <c r="Z115" i="8"/>
  <c r="BF127" i="8"/>
  <c r="AC135" i="8"/>
  <c r="U135" i="8"/>
  <c r="AH127" i="8"/>
  <c r="Y95" i="8"/>
  <c r="BF138" i="8"/>
  <c r="AT138" i="8"/>
  <c r="BE127" i="8"/>
  <c r="U127" i="8"/>
  <c r="BG124" i="8"/>
  <c r="BC124" i="8"/>
  <c r="AU124" i="8"/>
  <c r="AM124" i="8"/>
  <c r="AI124" i="8"/>
  <c r="AA124" i="8"/>
  <c r="W124" i="8"/>
  <c r="G124" i="8"/>
  <c r="BE121" i="8"/>
  <c r="AS121" i="8"/>
  <c r="Q121" i="8"/>
  <c r="AS109" i="8"/>
  <c r="BJ95" i="8"/>
  <c r="BB95" i="8"/>
  <c r="AT95" i="8"/>
  <c r="AP95" i="8"/>
  <c r="Z95" i="8"/>
  <c r="AJ138" i="8"/>
  <c r="BK121" i="8"/>
  <c r="AB121" i="8"/>
  <c r="AN118" i="8"/>
  <c r="BD109" i="8"/>
  <c r="BA106" i="8"/>
  <c r="AL98" i="8"/>
  <c r="BM95" i="8"/>
  <c r="S95" i="8"/>
  <c r="AZ121" i="8"/>
  <c r="L118" i="8"/>
  <c r="BA95" i="8"/>
  <c r="AL92" i="8"/>
  <c r="V36" i="8"/>
  <c r="BG36" i="8"/>
  <c r="AQ36" i="8"/>
  <c r="AA36" i="8"/>
  <c r="K36" i="8"/>
  <c r="BN53" i="8"/>
  <c r="BF53" i="8"/>
  <c r="AX53" i="8"/>
  <c r="AP53" i="8"/>
  <c r="AH53" i="8"/>
  <c r="Z53" i="8"/>
  <c r="J53" i="8"/>
  <c r="BH50" i="8"/>
  <c r="BM42" i="8"/>
  <c r="BK39" i="8"/>
  <c r="AY39" i="8"/>
  <c r="AI39" i="8"/>
  <c r="O39" i="8"/>
  <c r="BM36" i="8"/>
  <c r="BI36" i="8"/>
  <c r="BA36" i="8"/>
  <c r="AS36" i="8"/>
  <c r="AK36" i="8"/>
  <c r="AG36" i="8"/>
  <c r="AC36" i="8"/>
  <c r="U36" i="8"/>
  <c r="Q36" i="8"/>
  <c r="M36" i="8"/>
  <c r="BE30" i="8"/>
  <c r="Y30" i="8"/>
  <c r="BI24" i="8"/>
  <c r="BE24" i="8"/>
  <c r="AG24" i="8"/>
  <c r="AC24" i="8"/>
  <c r="U50" i="8"/>
  <c r="BI53" i="8"/>
  <c r="AW36" i="8"/>
  <c r="BK36" i="8"/>
  <c r="AU36" i="8"/>
  <c r="AE36" i="8"/>
  <c r="O36" i="8"/>
  <c r="K53" i="8"/>
  <c r="H56" i="8"/>
  <c r="BA53" i="8"/>
  <c r="T53" i="8"/>
  <c r="BD42" i="8"/>
  <c r="X42" i="8"/>
  <c r="E32" i="4"/>
  <c r="E48" i="4"/>
  <c r="E7" i="4"/>
  <c r="E38" i="5"/>
  <c r="D24" i="6" s="1"/>
  <c r="G73" i="5"/>
  <c r="F36" i="6" s="1"/>
  <c r="G36" i="6" s="1"/>
  <c r="E62" i="5"/>
  <c r="D34" i="6" s="1"/>
  <c r="H30" i="6"/>
  <c r="G38" i="5"/>
  <c r="F24" i="6" s="1"/>
  <c r="G24" i="6" s="1"/>
  <c r="BE50" i="8"/>
  <c r="AG50" i="8"/>
  <c r="AY21" i="8"/>
  <c r="AU21" i="8"/>
  <c r="AI21" i="8"/>
  <c r="AE21" i="8"/>
  <c r="S21" i="8"/>
  <c r="O21" i="8"/>
  <c r="AJ21" i="8"/>
  <c r="AV21" i="8"/>
  <c r="P21" i="8"/>
  <c r="D42" i="8"/>
  <c r="H39" i="8"/>
  <c r="Q39" i="8"/>
  <c r="Y39" i="8"/>
  <c r="AG39" i="8"/>
  <c r="AR39" i="8"/>
  <c r="AW39" i="8"/>
  <c r="BH39" i="8"/>
  <c r="I39" i="8"/>
  <c r="T39" i="8"/>
  <c r="AB39" i="8"/>
  <c r="AJ39" i="8"/>
  <c r="AS39" i="8"/>
  <c r="AZ39" i="8"/>
  <c r="BJ39" i="8"/>
  <c r="U39" i="8"/>
  <c r="N24" i="8"/>
  <c r="Y24" i="8"/>
  <c r="AL24" i="8"/>
  <c r="BA24" i="8"/>
  <c r="BM24" i="8"/>
  <c r="Q24" i="8"/>
  <c r="AD24" i="8"/>
  <c r="AO24" i="8"/>
  <c r="BB24" i="8"/>
  <c r="BC39" i="8"/>
  <c r="Y50" i="8"/>
  <c r="W39" i="8"/>
  <c r="AK30" i="8"/>
  <c r="AW24" i="8"/>
  <c r="V24" i="8"/>
  <c r="AK39" i="8"/>
  <c r="M24" i="8"/>
  <c r="AU39" i="8"/>
  <c r="AM39" i="8"/>
  <c r="BM53" i="8"/>
  <c r="BE53" i="8"/>
  <c r="AW53" i="8"/>
  <c r="AO53" i="8"/>
  <c r="AG53" i="8"/>
  <c r="X53" i="8"/>
  <c r="N53" i="8"/>
  <c r="BK53" i="8"/>
  <c r="BG53" i="8"/>
  <c r="BC53" i="8"/>
  <c r="AY53" i="8"/>
  <c r="AU53" i="8"/>
  <c r="AQ53" i="8"/>
  <c r="AM53" i="8"/>
  <c r="AI53" i="8"/>
  <c r="AE53" i="8"/>
  <c r="AA53" i="8"/>
  <c r="S53" i="8"/>
  <c r="O53" i="8"/>
  <c r="AU50" i="8"/>
  <c r="BM39" i="8"/>
  <c r="AV39" i="8"/>
  <c r="AF39" i="8"/>
  <c r="P39" i="8"/>
  <c r="W33" i="8"/>
  <c r="AT24" i="8"/>
  <c r="U24" i="8"/>
  <c r="Q50" i="8"/>
  <c r="AK50" i="8"/>
  <c r="AZ50" i="8"/>
  <c r="X39" i="8"/>
  <c r="AE39" i="8"/>
  <c r="AS24" i="8"/>
  <c r="S39" i="8"/>
  <c r="AW50" i="8"/>
  <c r="BD39" i="8"/>
  <c r="BJ53" i="8"/>
  <c r="BB53" i="8"/>
  <c r="AT53" i="8"/>
  <c r="AL53" i="8"/>
  <c r="AD53" i="8"/>
  <c r="V53" i="8"/>
  <c r="BK50" i="8"/>
  <c r="AO50" i="8"/>
  <c r="I50" i="8"/>
  <c r="P45" i="8"/>
  <c r="AL45" i="8"/>
  <c r="BL39" i="8"/>
  <c r="AT39" i="8"/>
  <c r="AC39" i="8"/>
  <c r="L39" i="8"/>
  <c r="BF39" i="8"/>
  <c r="AB27" i="8"/>
  <c r="AV27" i="8"/>
  <c r="BJ24" i="8"/>
  <c r="AK24" i="8"/>
  <c r="I24" i="8"/>
  <c r="J21" i="8"/>
  <c r="G21" i="8"/>
  <c r="W21" i="8"/>
  <c r="AM21" i="8"/>
  <c r="BC21" i="8"/>
  <c r="K21" i="8"/>
  <c r="AA21" i="8"/>
  <c r="AQ21" i="8"/>
  <c r="BG21" i="8"/>
  <c r="BL21" i="8"/>
  <c r="AZ21" i="8"/>
  <c r="AF21" i="8"/>
  <c r="T21" i="8"/>
  <c r="AZ42" i="8"/>
  <c r="AJ42" i="8"/>
  <c r="T42" i="8"/>
  <c r="BB39" i="8"/>
  <c r="AX39" i="8"/>
  <c r="AP39" i="8"/>
  <c r="AL39" i="8"/>
  <c r="AD39" i="8"/>
  <c r="Z39" i="8"/>
  <c r="V39" i="8"/>
  <c r="N39" i="8"/>
  <c r="BL30" i="8"/>
  <c r="AV30" i="8"/>
  <c r="AF30" i="8"/>
  <c r="P30" i="8"/>
  <c r="BB27" i="8"/>
  <c r="AL27" i="8"/>
  <c r="V27" i="8"/>
  <c r="BJ21" i="8"/>
  <c r="BB21" i="8"/>
  <c r="AT21" i="8"/>
  <c r="AL21" i="8"/>
  <c r="AD21" i="8"/>
  <c r="V21" i="8"/>
  <c r="N21" i="8"/>
  <c r="BI39" i="8"/>
  <c r="AO39" i="8"/>
  <c r="AH39" i="8"/>
  <c r="M39" i="8"/>
  <c r="BD21" i="8"/>
  <c r="AN21" i="8"/>
  <c r="X21" i="8"/>
  <c r="H21" i="8"/>
  <c r="BN39" i="8"/>
  <c r="BA39" i="8"/>
  <c r="R39" i="8"/>
  <c r="BF33" i="8"/>
  <c r="BL33" i="8"/>
  <c r="BH33" i="8"/>
  <c r="AZ33" i="8"/>
  <c r="AV33" i="8"/>
  <c r="AJ33" i="8"/>
  <c r="AF33" i="8"/>
  <c r="AB33" i="8"/>
  <c r="T33" i="8"/>
  <c r="P33" i="8"/>
  <c r="BH21" i="8"/>
  <c r="AR21" i="8"/>
  <c r="AB21" i="8"/>
  <c r="L21" i="8"/>
  <c r="Y138" i="8"/>
  <c r="BJ132" i="8"/>
  <c r="AD132" i="8"/>
  <c r="AL132" i="8"/>
  <c r="R132" i="8"/>
  <c r="AQ132" i="8"/>
  <c r="K132" i="8"/>
  <c r="D132" i="8"/>
  <c r="BG135" i="8"/>
  <c r="AQ135" i="8"/>
  <c r="K135" i="8"/>
  <c r="G92" i="8"/>
  <c r="J92" i="8"/>
  <c r="S92" i="8"/>
  <c r="Z92" i="8"/>
  <c r="AI92" i="8"/>
  <c r="AP92" i="8"/>
  <c r="AY92" i="8"/>
  <c r="BF92" i="8"/>
  <c r="K92" i="8"/>
  <c r="T92" i="8"/>
  <c r="AA92" i="8"/>
  <c r="AJ92" i="8"/>
  <c r="AQ92" i="8"/>
  <c r="AZ92" i="8"/>
  <c r="BG92" i="8"/>
  <c r="H92" i="8"/>
  <c r="X92" i="8"/>
  <c r="AN92" i="8"/>
  <c r="BD92" i="8"/>
  <c r="N92" i="8"/>
  <c r="AD92" i="8"/>
  <c r="AT92" i="8"/>
  <c r="BJ92" i="8"/>
  <c r="AV92" i="8"/>
  <c r="AF92" i="8"/>
  <c r="AS135" i="8"/>
  <c r="R135" i="8"/>
  <c r="BF135" i="8"/>
  <c r="AU135" i="8"/>
  <c r="AE135" i="8"/>
  <c r="J135" i="8"/>
  <c r="I127" i="8"/>
  <c r="R127" i="8"/>
  <c r="Z127" i="8"/>
  <c r="AI127" i="8"/>
  <c r="AS127" i="8"/>
  <c r="BA127" i="8"/>
  <c r="BJ127" i="8"/>
  <c r="K112" i="8"/>
  <c r="P112" i="8"/>
  <c r="AQ112" i="8"/>
  <c r="BJ112" i="8"/>
  <c r="AA112" i="8"/>
  <c r="AR112" i="8"/>
  <c r="AE92" i="8"/>
  <c r="BB135" i="8"/>
  <c r="BJ135" i="8"/>
  <c r="AY135" i="8"/>
  <c r="AD135" i="8"/>
  <c r="N135" i="8"/>
  <c r="AY127" i="8"/>
  <c r="AC127" i="8"/>
  <c r="J124" i="8"/>
  <c r="P124" i="8"/>
  <c r="V124" i="8"/>
  <c r="AD124" i="8"/>
  <c r="K124" i="8"/>
  <c r="R124" i="8"/>
  <c r="Z124" i="8"/>
  <c r="AE124" i="8"/>
  <c r="AN124" i="8"/>
  <c r="AT124" i="8"/>
  <c r="BD124" i="8"/>
  <c r="BN124" i="8"/>
  <c r="BI124" i="8"/>
  <c r="AS124" i="8"/>
  <c r="AC124" i="8"/>
  <c r="M124" i="8"/>
  <c r="J115" i="8"/>
  <c r="AU115" i="8"/>
  <c r="AH112" i="8"/>
  <c r="Z112" i="8"/>
  <c r="BB92" i="8"/>
  <c r="V92" i="8"/>
  <c r="O144" i="8"/>
  <c r="AL144" i="8"/>
  <c r="Q135" i="8"/>
  <c r="Y135" i="8"/>
  <c r="AL135" i="8"/>
  <c r="AW135" i="8"/>
  <c r="BC135" i="8"/>
  <c r="BN135" i="8"/>
  <c r="AA135" i="8"/>
  <c r="BL92" i="8"/>
  <c r="P92" i="8"/>
  <c r="BE135" i="8"/>
  <c r="AG135" i="8"/>
  <c r="BK135" i="8"/>
  <c r="AP135" i="8"/>
  <c r="Z135" i="8"/>
  <c r="O135" i="8"/>
  <c r="BK92" i="8"/>
  <c r="S141" i="8"/>
  <c r="AO135" i="8"/>
  <c r="M135" i="8"/>
  <c r="AT135" i="8"/>
  <c r="AI135" i="8"/>
  <c r="S135" i="8"/>
  <c r="BN127" i="8"/>
  <c r="AO127" i="8"/>
  <c r="N127" i="8"/>
  <c r="AD144" i="8"/>
  <c r="BK141" i="8"/>
  <c r="J138" i="8"/>
  <c r="I138" i="8"/>
  <c r="AK138" i="8"/>
  <c r="BJ138" i="8"/>
  <c r="BM135" i="8"/>
  <c r="BA135" i="8"/>
  <c r="AM135" i="8"/>
  <c r="V135" i="8"/>
  <c r="I135" i="8"/>
  <c r="AH135" i="8"/>
  <c r="W135" i="8"/>
  <c r="G135" i="8"/>
  <c r="G132" i="8"/>
  <c r="X132" i="8"/>
  <c r="AX132" i="8"/>
  <c r="BI127" i="8"/>
  <c r="AX127" i="8"/>
  <c r="AK127" i="8"/>
  <c r="Y127" i="8"/>
  <c r="M127" i="8"/>
  <c r="BK127" i="8"/>
  <c r="BC127" i="8"/>
  <c r="AU127" i="8"/>
  <c r="AM127" i="8"/>
  <c r="AE127" i="8"/>
  <c r="W127" i="8"/>
  <c r="O127" i="8"/>
  <c r="G127" i="8"/>
  <c r="BB124" i="8"/>
  <c r="AQ124" i="8"/>
  <c r="AF124" i="8"/>
  <c r="S124" i="8"/>
  <c r="D124" i="8"/>
  <c r="BM124" i="8"/>
  <c r="AW124" i="8"/>
  <c r="AG124" i="8"/>
  <c r="Q124" i="8"/>
  <c r="AF112" i="8"/>
  <c r="N112" i="8"/>
  <c r="G109" i="8"/>
  <c r="AI109" i="8"/>
  <c r="M109" i="8"/>
  <c r="BK109" i="8"/>
  <c r="Y109" i="8"/>
  <c r="AU92" i="8"/>
  <c r="O92" i="8"/>
  <c r="BL124" i="8"/>
  <c r="BH124" i="8"/>
  <c r="AZ124" i="8"/>
  <c r="AV124" i="8"/>
  <c r="AJ124" i="8"/>
  <c r="X124" i="8"/>
  <c r="L124" i="8"/>
  <c r="H124" i="8"/>
  <c r="G121" i="8"/>
  <c r="AZ118" i="8"/>
  <c r="AD118" i="8"/>
  <c r="H118" i="8"/>
  <c r="BI118" i="8"/>
  <c r="AS118" i="8"/>
  <c r="AC118" i="8"/>
  <c r="M118" i="8"/>
  <c r="O101" i="8"/>
  <c r="AV101" i="8"/>
  <c r="Y101" i="8"/>
  <c r="BL101" i="8"/>
  <c r="I98" i="8"/>
  <c r="M98" i="8"/>
  <c r="V98" i="8"/>
  <c r="AH98" i="8"/>
  <c r="AS98" i="8"/>
  <c r="BB98" i="8"/>
  <c r="BN98" i="8"/>
  <c r="N98" i="8"/>
  <c r="Z98" i="8"/>
  <c r="AK98" i="8"/>
  <c r="AT98" i="8"/>
  <c r="BF98" i="8"/>
  <c r="J95" i="8"/>
  <c r="U95" i="8"/>
  <c r="AD95" i="8"/>
  <c r="AL95" i="8"/>
  <c r="AW95" i="8"/>
  <c r="BE95" i="8"/>
  <c r="N95" i="8"/>
  <c r="V95" i="8"/>
  <c r="AG95" i="8"/>
  <c r="AO95" i="8"/>
  <c r="AY95" i="8"/>
  <c r="BF95" i="8"/>
  <c r="J106" i="8"/>
  <c r="D92" i="8"/>
  <c r="BK101" i="8"/>
  <c r="BG101" i="8"/>
  <c r="AU101" i="8"/>
  <c r="AA101" i="8"/>
  <c r="K101" i="8"/>
  <c r="BK95" i="8"/>
  <c r="BG95" i="8"/>
  <c r="AU95" i="8"/>
  <c r="AQ95" i="8"/>
  <c r="AE95" i="8"/>
  <c r="AA95" i="8"/>
  <c r="O95" i="8"/>
  <c r="K95" i="8"/>
  <c r="BM92" i="8"/>
  <c r="BI92" i="8"/>
  <c r="BE92" i="8"/>
  <c r="BA92" i="8"/>
  <c r="AW92" i="8"/>
  <c r="AS92" i="8"/>
  <c r="AO92" i="8"/>
  <c r="AK92" i="8"/>
  <c r="AG92" i="8"/>
  <c r="AC92" i="8"/>
  <c r="Y92" i="8"/>
  <c r="U92" i="8"/>
  <c r="Q92" i="8"/>
  <c r="M92" i="8"/>
  <c r="I92" i="8"/>
  <c r="E55" i="4"/>
  <c r="E39" i="4"/>
  <c r="E19" i="4"/>
  <c r="E50" i="4"/>
  <c r="E37" i="4"/>
  <c r="E13" i="4"/>
  <c r="E54" i="4"/>
  <c r="E43" i="4"/>
  <c r="E26" i="4"/>
  <c r="E12" i="4"/>
  <c r="E58" i="4"/>
  <c r="E52" i="4"/>
  <c r="E47" i="4"/>
  <c r="E41" i="4"/>
  <c r="E36" i="4"/>
  <c r="E24" i="4"/>
  <c r="E18" i="4"/>
  <c r="E9" i="4"/>
  <c r="E56" i="4"/>
  <c r="E51" i="4"/>
  <c r="E46" i="4"/>
  <c r="E40" i="4"/>
  <c r="E34" i="4"/>
  <c r="E23" i="4"/>
  <c r="E16" i="4"/>
  <c r="E34" i="5"/>
  <c r="D22" i="6" s="1"/>
  <c r="E22" i="6" s="1"/>
  <c r="G36" i="9"/>
  <c r="AM174" i="8"/>
  <c r="AH174" i="8"/>
  <c r="AC174" i="8"/>
  <c r="W174" i="8"/>
  <c r="R174" i="8"/>
  <c r="M174" i="8"/>
  <c r="G174" i="8"/>
  <c r="AX171" i="8"/>
  <c r="AR171" i="8"/>
  <c r="AM171" i="8"/>
  <c r="AH171" i="8"/>
  <c r="AB171" i="8"/>
  <c r="W171" i="8"/>
  <c r="R171" i="8"/>
  <c r="L171" i="8"/>
  <c r="G171" i="8"/>
  <c r="U168" i="8"/>
  <c r="BA168" i="8"/>
  <c r="Y168" i="8"/>
  <c r="BE168" i="8"/>
  <c r="I162" i="8"/>
  <c r="R162" i="8"/>
  <c r="W162" i="8"/>
  <c r="AG162" i="8"/>
  <c r="AL162" i="8"/>
  <c r="AT162" i="8"/>
  <c r="BA162" i="8"/>
  <c r="BF162" i="8"/>
  <c r="BK162" i="8"/>
  <c r="M162" i="8"/>
  <c r="S162" i="8"/>
  <c r="Y162" i="8"/>
  <c r="AH162" i="8"/>
  <c r="AM162" i="8"/>
  <c r="AW162" i="8"/>
  <c r="BB162" i="8"/>
  <c r="BG162" i="8"/>
  <c r="BM162" i="8"/>
  <c r="AU144" i="8"/>
  <c r="G141" i="8"/>
  <c r="M141" i="8"/>
  <c r="W141" i="8"/>
  <c r="AB141" i="8"/>
  <c r="AI141" i="8"/>
  <c r="AQ141" i="8"/>
  <c r="AW141" i="8"/>
  <c r="BG141" i="8"/>
  <c r="BM141" i="8"/>
  <c r="H141" i="8"/>
  <c r="O141" i="8"/>
  <c r="X141" i="8"/>
  <c r="AC141" i="8"/>
  <c r="AM141" i="8"/>
  <c r="AR141" i="8"/>
  <c r="AY141" i="8"/>
  <c r="BH141" i="8"/>
  <c r="I141" i="8"/>
  <c r="Q141" i="8"/>
  <c r="Y141" i="8"/>
  <c r="AE141" i="8"/>
  <c r="AN141" i="8"/>
  <c r="AS141" i="8"/>
  <c r="BC141" i="8"/>
  <c r="BI141" i="8"/>
  <c r="BA141" i="8"/>
  <c r="AK141" i="8"/>
  <c r="U141" i="8"/>
  <c r="J156" i="8"/>
  <c r="G156" i="8"/>
  <c r="O156" i="8"/>
  <c r="W156" i="8"/>
  <c r="AE156" i="8"/>
  <c r="AM156" i="8"/>
  <c r="AU156" i="8"/>
  <c r="BC156" i="8"/>
  <c r="BK156" i="8"/>
  <c r="H156" i="8"/>
  <c r="P156" i="8"/>
  <c r="X156" i="8"/>
  <c r="AF156" i="8"/>
  <c r="AN156" i="8"/>
  <c r="AV156" i="8"/>
  <c r="BD156" i="8"/>
  <c r="BL156" i="8"/>
  <c r="J144" i="8"/>
  <c r="P144" i="8"/>
  <c r="Z144" i="8"/>
  <c r="AF144" i="8"/>
  <c r="AP144" i="8"/>
  <c r="AV144" i="8"/>
  <c r="BF144" i="8"/>
  <c r="BL144" i="8"/>
  <c r="L144" i="8"/>
  <c r="R144" i="8"/>
  <c r="AA144" i="8"/>
  <c r="AH144" i="8"/>
  <c r="AR144" i="8"/>
  <c r="AX144" i="8"/>
  <c r="BG144" i="8"/>
  <c r="BN144" i="8"/>
  <c r="N144" i="8"/>
  <c r="T144" i="8"/>
  <c r="AB144" i="8"/>
  <c r="AJ144" i="8"/>
  <c r="AT144" i="8"/>
  <c r="AZ144" i="8"/>
  <c r="BH144" i="8"/>
  <c r="BM144" i="8"/>
  <c r="BI144" i="8"/>
  <c r="BE144" i="8"/>
  <c r="BA144" i="8"/>
  <c r="AW144" i="8"/>
  <c r="AS144" i="8"/>
  <c r="AO144" i="8"/>
  <c r="AK144" i="8"/>
  <c r="AG144" i="8"/>
  <c r="AC144" i="8"/>
  <c r="Y144" i="8"/>
  <c r="U144" i="8"/>
  <c r="Q144" i="8"/>
  <c r="M144" i="8"/>
  <c r="I144" i="8"/>
  <c r="BE141" i="8"/>
  <c r="AA141" i="8"/>
  <c r="D138" i="8"/>
  <c r="R101" i="10"/>
  <c r="AT174" i="8"/>
  <c r="AO174" i="8"/>
  <c r="AI174" i="8"/>
  <c r="AD174" i="8"/>
  <c r="Y174" i="8"/>
  <c r="S174" i="8"/>
  <c r="N174" i="8"/>
  <c r="D174" i="8"/>
  <c r="BD171" i="8"/>
  <c r="AY171" i="8"/>
  <c r="AT171" i="8"/>
  <c r="AN171" i="8"/>
  <c r="AI171" i="8"/>
  <c r="AD171" i="8"/>
  <c r="X171" i="8"/>
  <c r="S171" i="8"/>
  <c r="N171" i="8"/>
  <c r="I168" i="8"/>
  <c r="AY162" i="8"/>
  <c r="AK162" i="8"/>
  <c r="V162" i="8"/>
  <c r="G162" i="8"/>
  <c r="AP162" i="8"/>
  <c r="Z162" i="8"/>
  <c r="J162" i="8"/>
  <c r="BH156" i="8"/>
  <c r="AR156" i="8"/>
  <c r="AB156" i="8"/>
  <c r="L156" i="8"/>
  <c r="BB144" i="8"/>
  <c r="V144" i="8"/>
  <c r="AO141" i="8"/>
  <c r="K141" i="8"/>
  <c r="BD144" i="8"/>
  <c r="AN144" i="8"/>
  <c r="X144" i="8"/>
  <c r="H144" i="8"/>
  <c r="BL141" i="8"/>
  <c r="BD141" i="8"/>
  <c r="AZ141" i="8"/>
  <c r="AV141" i="8"/>
  <c r="AJ141" i="8"/>
  <c r="AF141" i="8"/>
  <c r="T141" i="8"/>
  <c r="P141" i="8"/>
  <c r="L141" i="8"/>
  <c r="BH132" i="8"/>
  <c r="BC132" i="8"/>
  <c r="AU132" i="8"/>
  <c r="AP132" i="8"/>
  <c r="AI132" i="8"/>
  <c r="AB132" i="8"/>
  <c r="W132" i="8"/>
  <c r="O132" i="8"/>
  <c r="J132" i="8"/>
  <c r="BM132" i="8"/>
  <c r="BI132" i="8"/>
  <c r="BE132" i="8"/>
  <c r="BA132" i="8"/>
  <c r="AW132" i="8"/>
  <c r="AS132" i="8"/>
  <c r="AO132" i="8"/>
  <c r="AK132" i="8"/>
  <c r="AG132" i="8"/>
  <c r="AC132" i="8"/>
  <c r="Y132" i="8"/>
  <c r="U132" i="8"/>
  <c r="Q132" i="8"/>
  <c r="M132" i="8"/>
  <c r="I132" i="8"/>
  <c r="BI121" i="8"/>
  <c r="BD121" i="8"/>
  <c r="AY121" i="8"/>
  <c r="AR121" i="8"/>
  <c r="AM121" i="8"/>
  <c r="AG121" i="8"/>
  <c r="AA121" i="8"/>
  <c r="U121" i="8"/>
  <c r="O121" i="8"/>
  <c r="I121" i="8"/>
  <c r="BK115" i="8"/>
  <c r="AP115" i="8"/>
  <c r="U115" i="8"/>
  <c r="BM112" i="8"/>
  <c r="BI112" i="8"/>
  <c r="BE112" i="8"/>
  <c r="BA112" i="8"/>
  <c r="AW112" i="8"/>
  <c r="AS112" i="8"/>
  <c r="AO112" i="8"/>
  <c r="AK112" i="8"/>
  <c r="AG112" i="8"/>
  <c r="AC112" i="8"/>
  <c r="Y112" i="8"/>
  <c r="U112" i="8"/>
  <c r="Q112" i="8"/>
  <c r="M112" i="8"/>
  <c r="I112" i="8"/>
  <c r="BI109" i="8"/>
  <c r="BC109" i="8"/>
  <c r="AQ109" i="8"/>
  <c r="AE109" i="8"/>
  <c r="W109" i="8"/>
  <c r="K109" i="8"/>
  <c r="BL109" i="8"/>
  <c r="BH109" i="8"/>
  <c r="AZ109" i="8"/>
  <c r="AV109" i="8"/>
  <c r="AR109" i="8"/>
  <c r="AN109" i="8"/>
  <c r="AJ109" i="8"/>
  <c r="AF109" i="8"/>
  <c r="AB109" i="8"/>
  <c r="X109" i="8"/>
  <c r="T109" i="8"/>
  <c r="P109" i="8"/>
  <c r="L109" i="8"/>
  <c r="AV106" i="8"/>
  <c r="G77" i="8"/>
  <c r="L77" i="8"/>
  <c r="R77" i="8"/>
  <c r="W77" i="8"/>
  <c r="AB77" i="8"/>
  <c r="AH77" i="8"/>
  <c r="AM77" i="8"/>
  <c r="AR77" i="8"/>
  <c r="AX77" i="8"/>
  <c r="BC77" i="8"/>
  <c r="BG77" i="8"/>
  <c r="BK77" i="8"/>
  <c r="H77" i="8"/>
  <c r="N77" i="8"/>
  <c r="S77" i="8"/>
  <c r="X77" i="8"/>
  <c r="AD77" i="8"/>
  <c r="AI77" i="8"/>
  <c r="AN77" i="8"/>
  <c r="AT77" i="8"/>
  <c r="AY77" i="8"/>
  <c r="BD77" i="8"/>
  <c r="BH77" i="8"/>
  <c r="BL77" i="8"/>
  <c r="BL162" i="8"/>
  <c r="BH162" i="8"/>
  <c r="BD162" i="8"/>
  <c r="AZ162" i="8"/>
  <c r="N150" i="8"/>
  <c r="BK144" i="8"/>
  <c r="BC144" i="8"/>
  <c r="AY144" i="8"/>
  <c r="AQ144" i="8"/>
  <c r="AM144" i="8"/>
  <c r="AI144" i="8"/>
  <c r="AE144" i="8"/>
  <c r="W144" i="8"/>
  <c r="S144" i="8"/>
  <c r="K144" i="8"/>
  <c r="BE138" i="8"/>
  <c r="AP138" i="8"/>
  <c r="AD138" i="8"/>
  <c r="P138" i="8"/>
  <c r="BA138" i="8"/>
  <c r="BN132" i="8"/>
  <c r="BG132" i="8"/>
  <c r="BB132" i="8"/>
  <c r="AT132" i="8"/>
  <c r="AN132" i="8"/>
  <c r="AH132" i="8"/>
  <c r="AA132" i="8"/>
  <c r="V132" i="8"/>
  <c r="N132" i="8"/>
  <c r="H132" i="8"/>
  <c r="BL132" i="8"/>
  <c r="AZ132" i="8"/>
  <c r="AV132" i="8"/>
  <c r="AJ132" i="8"/>
  <c r="AF132" i="8"/>
  <c r="T132" i="8"/>
  <c r="P132" i="8"/>
  <c r="BH121" i="8"/>
  <c r="BC121" i="8"/>
  <c r="AW121" i="8"/>
  <c r="AQ121" i="8"/>
  <c r="AK121" i="8"/>
  <c r="AE121" i="8"/>
  <c r="Y121" i="8"/>
  <c r="T121" i="8"/>
  <c r="M121" i="8"/>
  <c r="H121" i="8"/>
  <c r="BN118" i="8"/>
  <c r="BF118" i="8"/>
  <c r="AX118" i="8"/>
  <c r="AP118" i="8"/>
  <c r="AH118" i="8"/>
  <c r="Z118" i="8"/>
  <c r="R118" i="8"/>
  <c r="J118" i="8"/>
  <c r="BA118" i="8"/>
  <c r="AK118" i="8"/>
  <c r="U118" i="8"/>
  <c r="BF115" i="8"/>
  <c r="AK115" i="8"/>
  <c r="O115" i="8"/>
  <c r="BN112" i="8"/>
  <c r="BG112" i="8"/>
  <c r="AV112" i="8"/>
  <c r="AP112" i="8"/>
  <c r="AD112" i="8"/>
  <c r="V112" i="8"/>
  <c r="L112" i="8"/>
  <c r="BD112" i="8"/>
  <c r="AZ112" i="8"/>
  <c r="AN112" i="8"/>
  <c r="AJ112" i="8"/>
  <c r="X112" i="8"/>
  <c r="T112" i="8"/>
  <c r="H112" i="8"/>
  <c r="BG109" i="8"/>
  <c r="AY109" i="8"/>
  <c r="AO109" i="8"/>
  <c r="AC109" i="8"/>
  <c r="S109" i="8"/>
  <c r="I109" i="8"/>
  <c r="AF106" i="8"/>
  <c r="P101" i="8"/>
  <c r="AE101" i="8"/>
  <c r="AQ101" i="8"/>
  <c r="BE101" i="8"/>
  <c r="M71" i="8"/>
  <c r="AC71" i="8"/>
  <c r="AS71" i="8"/>
  <c r="BI71" i="8"/>
  <c r="I71" i="8"/>
  <c r="AG71" i="8"/>
  <c r="BA71" i="8"/>
  <c r="Q71" i="8"/>
  <c r="AK71" i="8"/>
  <c r="BE71" i="8"/>
  <c r="U71" i="8"/>
  <c r="AO71" i="8"/>
  <c r="BM71" i="8"/>
  <c r="AC171" i="8"/>
  <c r="Y171" i="8"/>
  <c r="U171" i="8"/>
  <c r="Q171" i="8"/>
  <c r="M171" i="8"/>
  <c r="I171" i="8"/>
  <c r="BI165" i="8"/>
  <c r="BA165" i="8"/>
  <c r="AS165" i="8"/>
  <c r="AK165" i="8"/>
  <c r="AC165" i="8"/>
  <c r="U165" i="8"/>
  <c r="AU162" i="8"/>
  <c r="AQ162" i="8"/>
  <c r="AE162" i="8"/>
  <c r="AA162" i="8"/>
  <c r="O162" i="8"/>
  <c r="K162" i="8"/>
  <c r="BM159" i="8"/>
  <c r="BI159" i="8"/>
  <c r="BE159" i="8"/>
  <c r="BA159" i="8"/>
  <c r="AW159" i="8"/>
  <c r="AS159" i="8"/>
  <c r="AO159" i="8"/>
  <c r="AK159" i="8"/>
  <c r="AG159" i="8"/>
  <c r="AC159" i="8"/>
  <c r="Y159" i="8"/>
  <c r="U159" i="8"/>
  <c r="Q159" i="8"/>
  <c r="M159" i="8"/>
  <c r="I159" i="8"/>
  <c r="I153" i="8"/>
  <c r="BM150" i="8"/>
  <c r="AW150" i="8"/>
  <c r="AG150" i="8"/>
  <c r="Q150" i="8"/>
  <c r="BL138" i="8"/>
  <c r="AZ138" i="8"/>
  <c r="AO138" i="8"/>
  <c r="Z138" i="8"/>
  <c r="N138" i="8"/>
  <c r="BK132" i="8"/>
  <c r="BF132" i="8"/>
  <c r="AY132" i="8"/>
  <c r="AR132" i="8"/>
  <c r="AM132" i="8"/>
  <c r="AE132" i="8"/>
  <c r="Z132" i="8"/>
  <c r="S132" i="8"/>
  <c r="L132" i="8"/>
  <c r="BM121" i="8"/>
  <c r="BG121" i="8"/>
  <c r="BA121" i="8"/>
  <c r="AU121" i="8"/>
  <c r="AO121" i="8"/>
  <c r="AJ121" i="8"/>
  <c r="AC121" i="8"/>
  <c r="X121" i="8"/>
  <c r="S121" i="8"/>
  <c r="L121" i="8"/>
  <c r="BL118" i="8"/>
  <c r="BE118" i="8"/>
  <c r="AV118" i="8"/>
  <c r="AO118" i="8"/>
  <c r="AF118" i="8"/>
  <c r="Y118" i="8"/>
  <c r="P118" i="8"/>
  <c r="I118" i="8"/>
  <c r="BA115" i="8"/>
  <c r="AE115" i="8"/>
  <c r="BL112" i="8"/>
  <c r="BF112" i="8"/>
  <c r="AT112" i="8"/>
  <c r="AL112" i="8"/>
  <c r="AB112" i="8"/>
  <c r="R112" i="8"/>
  <c r="BK112" i="8"/>
  <c r="BC112" i="8"/>
  <c r="AY112" i="8"/>
  <c r="AU112" i="8"/>
  <c r="AM112" i="8"/>
  <c r="AI112" i="8"/>
  <c r="AE112" i="8"/>
  <c r="W112" i="8"/>
  <c r="S112" i="8"/>
  <c r="O112" i="8"/>
  <c r="BE109" i="8"/>
  <c r="AU109" i="8"/>
  <c r="AM109" i="8"/>
  <c r="AA109" i="8"/>
  <c r="O109" i="8"/>
  <c r="BL106" i="8"/>
  <c r="U106" i="8"/>
  <c r="AZ101" i="8"/>
  <c r="AJ101" i="8"/>
  <c r="T101" i="8"/>
  <c r="G95" i="8"/>
  <c r="D89" i="8"/>
  <c r="D74" i="8"/>
  <c r="BL121" i="8"/>
  <c r="AV121" i="8"/>
  <c r="AF121" i="8"/>
  <c r="P121" i="8"/>
  <c r="BM109" i="8"/>
  <c r="BA109" i="8"/>
  <c r="AW109" i="8"/>
  <c r="AK109" i="8"/>
  <c r="AG109" i="8"/>
  <c r="U109" i="8"/>
  <c r="Q109" i="8"/>
  <c r="D101" i="8"/>
  <c r="AP106" i="8"/>
  <c r="Z106" i="8"/>
  <c r="BA101" i="8"/>
  <c r="AK101" i="8"/>
  <c r="U101" i="8"/>
  <c r="I101" i="8"/>
  <c r="BM98" i="8"/>
  <c r="BE98" i="8"/>
  <c r="AW98" i="8"/>
  <c r="AO98" i="8"/>
  <c r="AG98" i="8"/>
  <c r="Y98" i="8"/>
  <c r="Q98" i="8"/>
  <c r="BN95" i="8"/>
  <c r="BI95" i="8"/>
  <c r="BC95" i="8"/>
  <c r="AX95" i="8"/>
  <c r="AS95" i="8"/>
  <c r="AM95" i="8"/>
  <c r="AH95" i="8"/>
  <c r="AC95" i="8"/>
  <c r="W95" i="8"/>
  <c r="R95" i="8"/>
  <c r="M95" i="8"/>
  <c r="BN92" i="8"/>
  <c r="BH92" i="8"/>
  <c r="BC92" i="8"/>
  <c r="AX92" i="8"/>
  <c r="AR92" i="8"/>
  <c r="AM92" i="8"/>
  <c r="AH92" i="8"/>
  <c r="AB92" i="8"/>
  <c r="W92" i="8"/>
  <c r="R92" i="8"/>
  <c r="L92" i="8"/>
  <c r="BH74" i="8"/>
  <c r="AO74" i="8"/>
  <c r="X74" i="8"/>
  <c r="BF68" i="8"/>
  <c r="AQ68" i="8"/>
  <c r="AH68" i="8"/>
  <c r="V68" i="8"/>
  <c r="BG68" i="8"/>
  <c r="BJ59" i="8"/>
  <c r="AT59" i="8"/>
  <c r="AD59" i="8"/>
  <c r="N59" i="8"/>
  <c r="AA45" i="8"/>
  <c r="L74" i="8"/>
  <c r="AB74" i="8"/>
  <c r="AN74" i="8"/>
  <c r="AZ74" i="8"/>
  <c r="H68" i="8"/>
  <c r="J68" i="8"/>
  <c r="S68" i="8"/>
  <c r="AA68" i="8"/>
  <c r="AL68" i="8"/>
  <c r="AT68" i="8"/>
  <c r="BC68" i="8"/>
  <c r="BK68" i="8"/>
  <c r="AU68" i="8"/>
  <c r="AE68" i="8"/>
  <c r="O68" i="8"/>
  <c r="BD59" i="8"/>
  <c r="AN59" i="8"/>
  <c r="X59" i="8"/>
  <c r="BG45" i="8"/>
  <c r="BJ71" i="8"/>
  <c r="BB71" i="8"/>
  <c r="AT71" i="8"/>
  <c r="AL71" i="8"/>
  <c r="AD71" i="8"/>
  <c r="V71" i="8"/>
  <c r="N71" i="8"/>
  <c r="J59" i="8"/>
  <c r="R59" i="8"/>
  <c r="Z59" i="8"/>
  <c r="AH59" i="8"/>
  <c r="AP59" i="8"/>
  <c r="AX59" i="8"/>
  <c r="BF59" i="8"/>
  <c r="BN59" i="8"/>
  <c r="L59" i="8"/>
  <c r="T59" i="8"/>
  <c r="AB59" i="8"/>
  <c r="AJ59" i="8"/>
  <c r="AR59" i="8"/>
  <c r="AZ59" i="8"/>
  <c r="BH59" i="8"/>
  <c r="BM59" i="8"/>
  <c r="BI59" i="8"/>
  <c r="BE59" i="8"/>
  <c r="BA59" i="8"/>
  <c r="AW59" i="8"/>
  <c r="AS59" i="8"/>
  <c r="AO59" i="8"/>
  <c r="AK59" i="8"/>
  <c r="AG59" i="8"/>
  <c r="AC59" i="8"/>
  <c r="Y59" i="8"/>
  <c r="U59" i="8"/>
  <c r="Q59" i="8"/>
  <c r="M59" i="8"/>
  <c r="I59" i="8"/>
  <c r="J45" i="8"/>
  <c r="O45" i="8"/>
  <c r="T45" i="8"/>
  <c r="Z45" i="8"/>
  <c r="AE45" i="8"/>
  <c r="AJ45" i="8"/>
  <c r="AP45" i="8"/>
  <c r="AU45" i="8"/>
  <c r="AZ45" i="8"/>
  <c r="BF45" i="8"/>
  <c r="BK45" i="8"/>
  <c r="G45" i="8"/>
  <c r="L45" i="8"/>
  <c r="R45" i="8"/>
  <c r="W45" i="8"/>
  <c r="AB45" i="8"/>
  <c r="AH45" i="8"/>
  <c r="AM45" i="8"/>
  <c r="AR45" i="8"/>
  <c r="AX45" i="8"/>
  <c r="BC45" i="8"/>
  <c r="BH45" i="8"/>
  <c r="BN45" i="8"/>
  <c r="H45" i="8"/>
  <c r="S45" i="8"/>
  <c r="AD45" i="8"/>
  <c r="AN45" i="8"/>
  <c r="AY45" i="8"/>
  <c r="BJ45" i="8"/>
  <c r="K45" i="8"/>
  <c r="V45" i="8"/>
  <c r="AF45" i="8"/>
  <c r="AQ45" i="8"/>
  <c r="BB45" i="8"/>
  <c r="BL45" i="8"/>
  <c r="N45" i="8"/>
  <c r="X45" i="8"/>
  <c r="AI45" i="8"/>
  <c r="AT45" i="8"/>
  <c r="BD45" i="8"/>
  <c r="D45" i="8"/>
  <c r="D33" i="8"/>
  <c r="G53" i="8"/>
  <c r="M53" i="8"/>
  <c r="Q53" i="8"/>
  <c r="U53" i="8"/>
  <c r="Y53" i="8"/>
  <c r="I53" i="8"/>
  <c r="D50" i="8"/>
  <c r="BI74" i="8"/>
  <c r="BE74" i="8"/>
  <c r="BA74" i="8"/>
  <c r="AW74" i="8"/>
  <c r="AS74" i="8"/>
  <c r="AK74" i="8"/>
  <c r="AC74" i="8"/>
  <c r="Y74" i="8"/>
  <c r="U74" i="8"/>
  <c r="Q74" i="8"/>
  <c r="M74" i="8"/>
  <c r="BM65" i="8"/>
  <c r="AW65" i="8"/>
  <c r="AG65" i="8"/>
  <c r="Q65" i="8"/>
  <c r="BK59" i="8"/>
  <c r="BG59" i="8"/>
  <c r="BC59" i="8"/>
  <c r="AY59" i="8"/>
  <c r="AU59" i="8"/>
  <c r="AQ59" i="8"/>
  <c r="AM59" i="8"/>
  <c r="AI59" i="8"/>
  <c r="AE59" i="8"/>
  <c r="AA59" i="8"/>
  <c r="W59" i="8"/>
  <c r="S59" i="8"/>
  <c r="O59" i="8"/>
  <c r="K59" i="8"/>
  <c r="BG56" i="8"/>
  <c r="AY56" i="8"/>
  <c r="AQ56" i="8"/>
  <c r="AI56" i="8"/>
  <c r="AA56" i="8"/>
  <c r="S56" i="8"/>
  <c r="K56" i="8"/>
  <c r="BL53" i="8"/>
  <c r="BH53" i="8"/>
  <c r="BD53" i="8"/>
  <c r="AZ53" i="8"/>
  <c r="AV53" i="8"/>
  <c r="AR53" i="8"/>
  <c r="AN53" i="8"/>
  <c r="AJ53" i="8"/>
  <c r="AF53" i="8"/>
  <c r="AB53" i="8"/>
  <c r="W53" i="8"/>
  <c r="R53" i="8"/>
  <c r="L53" i="8"/>
  <c r="H33" i="8"/>
  <c r="D71" i="7"/>
  <c r="D47" i="7"/>
  <c r="H50" i="8"/>
  <c r="J33" i="8"/>
  <c r="R33" i="8"/>
  <c r="X33" i="8"/>
  <c r="AD33" i="8"/>
  <c r="AM33" i="8"/>
  <c r="AR33" i="8"/>
  <c r="BB33" i="8"/>
  <c r="BG33" i="8"/>
  <c r="G33" i="8"/>
  <c r="L33" i="8"/>
  <c r="V33" i="8"/>
  <c r="AA33" i="8"/>
  <c r="AI33" i="8"/>
  <c r="AP33" i="8"/>
  <c r="AX33" i="8"/>
  <c r="BD33" i="8"/>
  <c r="BJ33" i="8"/>
  <c r="I30" i="8"/>
  <c r="U30" i="8"/>
  <c r="AJ30" i="8"/>
  <c r="AU30" i="8"/>
  <c r="BG30" i="8"/>
  <c r="O30" i="8"/>
  <c r="AA30" i="8"/>
  <c r="AO30" i="8"/>
  <c r="BA30" i="8"/>
  <c r="E24" i="6"/>
  <c r="D36" i="7"/>
  <c r="BM50" i="8"/>
  <c r="BC50" i="8"/>
  <c r="AR50" i="8"/>
  <c r="AC50" i="8"/>
  <c r="M50" i="8"/>
  <c r="BM45" i="8"/>
  <c r="BI45" i="8"/>
  <c r="BE45" i="8"/>
  <c r="BA45" i="8"/>
  <c r="AW45" i="8"/>
  <c r="AS45" i="8"/>
  <c r="AO45" i="8"/>
  <c r="AK45" i="8"/>
  <c r="AG45" i="8"/>
  <c r="AC45" i="8"/>
  <c r="Y45" i="8"/>
  <c r="U45" i="8"/>
  <c r="Q45" i="8"/>
  <c r="M45" i="8"/>
  <c r="I45" i="8"/>
  <c r="BH42" i="8"/>
  <c r="AR42" i="8"/>
  <c r="AB42" i="8"/>
  <c r="BC33" i="8"/>
  <c r="AN33" i="8"/>
  <c r="Z33" i="8"/>
  <c r="K33" i="8"/>
  <c r="AQ30" i="8"/>
  <c r="T30" i="8"/>
  <c r="D30" i="8"/>
  <c r="J27" i="8"/>
  <c r="Q27" i="8"/>
  <c r="AG27" i="8"/>
  <c r="AW27" i="8"/>
  <c r="BM27" i="8"/>
  <c r="L27" i="8"/>
  <c r="Z27" i="8"/>
  <c r="AR27" i="8"/>
  <c r="BF27" i="8"/>
  <c r="BI42" i="8"/>
  <c r="BE42" i="8"/>
  <c r="BA42" i="8"/>
  <c r="AW42" i="8"/>
  <c r="AS42" i="8"/>
  <c r="AO42" i="8"/>
  <c r="AK42" i="8"/>
  <c r="AG42" i="8"/>
  <c r="AC42" i="8"/>
  <c r="Y42" i="8"/>
  <c r="U42" i="8"/>
  <c r="Q42" i="8"/>
  <c r="M42" i="8"/>
  <c r="I42" i="8"/>
  <c r="BG39" i="8"/>
  <c r="AQ39" i="8"/>
  <c r="AA39" i="8"/>
  <c r="BK33" i="8"/>
  <c r="AU33" i="8"/>
  <c r="AE33" i="8"/>
  <c r="O33" i="8"/>
  <c r="AK27" i="8"/>
  <c r="BN21" i="8"/>
  <c r="BF21" i="8"/>
  <c r="AX21" i="8"/>
  <c r="AP21" i="8"/>
  <c r="AH21" i="8"/>
  <c r="Z21" i="8"/>
  <c r="R21" i="8"/>
  <c r="AQ13" i="8"/>
  <c r="D107" i="7"/>
  <c r="D63" i="7"/>
  <c r="D39" i="7"/>
  <c r="D90" i="7"/>
  <c r="D78" i="7"/>
  <c r="BM68" i="8"/>
  <c r="BI68" i="8"/>
  <c r="BE68" i="8"/>
  <c r="BA68" i="8"/>
  <c r="AW68" i="8"/>
  <c r="AS68" i="8"/>
  <c r="AO68" i="8"/>
  <c r="AK68" i="8"/>
  <c r="AG68" i="8"/>
  <c r="AC68" i="8"/>
  <c r="Y68" i="8"/>
  <c r="U68" i="8"/>
  <c r="Q68" i="8"/>
  <c r="M68" i="8"/>
  <c r="I68" i="8"/>
  <c r="BK65" i="8"/>
  <c r="AY65" i="8"/>
  <c r="AU65" i="8"/>
  <c r="AI65" i="8"/>
  <c r="AE65" i="8"/>
  <c r="S65" i="8"/>
  <c r="O65" i="8"/>
  <c r="D41" i="7"/>
  <c r="D30" i="7"/>
  <c r="G62" i="5"/>
  <c r="F34" i="6" s="1"/>
  <c r="G34" i="6" s="1"/>
  <c r="BM33" i="8"/>
  <c r="BI33" i="8"/>
  <c r="BE33" i="8"/>
  <c r="BA33" i="8"/>
  <c r="AW33" i="8"/>
  <c r="AS33" i="8"/>
  <c r="AO33" i="8"/>
  <c r="AK33" i="8"/>
  <c r="AG33" i="8"/>
  <c r="AC33" i="8"/>
  <c r="Y33" i="8"/>
  <c r="U33" i="8"/>
  <c r="Q33" i="8"/>
  <c r="M33" i="8"/>
  <c r="I33" i="8"/>
  <c r="BM21" i="8"/>
  <c r="BI21" i="8"/>
  <c r="BE21" i="8"/>
  <c r="BA21" i="8"/>
  <c r="AW21" i="8"/>
  <c r="AS21" i="8"/>
  <c r="AO21" i="8"/>
  <c r="AK21" i="8"/>
  <c r="AG21" i="8"/>
  <c r="AC21" i="8"/>
  <c r="Y21" i="8"/>
  <c r="U21" i="8"/>
  <c r="Q21" i="8"/>
  <c r="M21" i="8"/>
  <c r="I21" i="8"/>
  <c r="D113" i="7"/>
  <c r="D101" i="7"/>
  <c r="D93" i="7"/>
  <c r="D69" i="7"/>
  <c r="D53" i="7"/>
  <c r="D45" i="7"/>
  <c r="AO21" i="9"/>
  <c r="AF21" i="9"/>
  <c r="X21" i="9"/>
  <c r="AJ21" i="9"/>
  <c r="AB21" i="9"/>
  <c r="T21" i="9"/>
  <c r="AS21" i="9"/>
  <c r="AG21" i="9"/>
  <c r="F21" i="9"/>
  <c r="D168" i="8"/>
  <c r="C33" i="10"/>
  <c r="V21" i="9"/>
  <c r="D32" i="10"/>
  <c r="F171" i="8"/>
  <c r="J168" i="8"/>
  <c r="N168" i="8"/>
  <c r="R168" i="8"/>
  <c r="V168" i="8"/>
  <c r="Z168" i="8"/>
  <c r="AD168" i="8"/>
  <c r="AH168" i="8"/>
  <c r="AL168" i="8"/>
  <c r="AP168" i="8"/>
  <c r="AT168" i="8"/>
  <c r="AX168" i="8"/>
  <c r="BB168" i="8"/>
  <c r="BF168" i="8"/>
  <c r="BJ168" i="8"/>
  <c r="BN168" i="8"/>
  <c r="G168" i="8"/>
  <c r="K168" i="8"/>
  <c r="O168" i="8"/>
  <c r="S168" i="8"/>
  <c r="W168" i="8"/>
  <c r="AA168" i="8"/>
  <c r="AE168" i="8"/>
  <c r="AI168" i="8"/>
  <c r="AM168" i="8"/>
  <c r="AQ168" i="8"/>
  <c r="AU168" i="8"/>
  <c r="AY168" i="8"/>
  <c r="BC168" i="8"/>
  <c r="BG168" i="8"/>
  <c r="BK168" i="8"/>
  <c r="H168" i="8"/>
  <c r="L168" i="8"/>
  <c r="P168" i="8"/>
  <c r="T168" i="8"/>
  <c r="X168" i="8"/>
  <c r="AB168" i="8"/>
  <c r="AF168" i="8"/>
  <c r="AJ168" i="8"/>
  <c r="AN168" i="8"/>
  <c r="AR168" i="8"/>
  <c r="AV168" i="8"/>
  <c r="AZ168" i="8"/>
  <c r="BD168" i="8"/>
  <c r="BH168" i="8"/>
  <c r="BL168" i="8"/>
  <c r="D165" i="8"/>
  <c r="H174" i="8"/>
  <c r="BM168" i="8"/>
  <c r="AW168" i="8"/>
  <c r="AG168" i="8"/>
  <c r="Q168" i="8"/>
  <c r="BI168" i="8"/>
  <c r="AS168" i="8"/>
  <c r="AC168" i="8"/>
  <c r="M168" i="8"/>
  <c r="G165" i="8"/>
  <c r="F159" i="8"/>
  <c r="D150" i="8"/>
  <c r="D109" i="8"/>
  <c r="D98" i="8"/>
  <c r="G86" i="8"/>
  <c r="K86" i="8"/>
  <c r="O86" i="8"/>
  <c r="S86" i="8"/>
  <c r="W86" i="8"/>
  <c r="AA86" i="8"/>
  <c r="AE86" i="8"/>
  <c r="AI86" i="8"/>
  <c r="AM86" i="8"/>
  <c r="AQ86" i="8"/>
  <c r="AU86" i="8"/>
  <c r="AY86" i="8"/>
  <c r="BC86" i="8"/>
  <c r="BG86" i="8"/>
  <c r="BK86" i="8"/>
  <c r="H86" i="8"/>
  <c r="L86" i="8"/>
  <c r="P86" i="8"/>
  <c r="T86" i="8"/>
  <c r="X86" i="8"/>
  <c r="AB86" i="8"/>
  <c r="AF86" i="8"/>
  <c r="AJ86" i="8"/>
  <c r="AN86" i="8"/>
  <c r="AR86" i="8"/>
  <c r="AV86" i="8"/>
  <c r="AZ86" i="8"/>
  <c r="BD86" i="8"/>
  <c r="BH86" i="8"/>
  <c r="BL86" i="8"/>
  <c r="I86" i="8"/>
  <c r="Q86" i="8"/>
  <c r="Y86" i="8"/>
  <c r="AG86" i="8"/>
  <c r="AO86" i="8"/>
  <c r="AW86" i="8"/>
  <c r="BE86" i="8"/>
  <c r="BM86" i="8"/>
  <c r="J86" i="8"/>
  <c r="R86" i="8"/>
  <c r="Z86" i="8"/>
  <c r="AH86" i="8"/>
  <c r="AP86" i="8"/>
  <c r="AX86" i="8"/>
  <c r="BF86" i="8"/>
  <c r="BN86" i="8"/>
  <c r="N86" i="8"/>
  <c r="V86" i="8"/>
  <c r="AD86" i="8"/>
  <c r="AL86" i="8"/>
  <c r="AT86" i="8"/>
  <c r="BB86" i="8"/>
  <c r="BJ86" i="8"/>
  <c r="G80" i="8"/>
  <c r="K80" i="8"/>
  <c r="O80" i="8"/>
  <c r="S80" i="8"/>
  <c r="W80" i="8"/>
  <c r="AA80" i="8"/>
  <c r="AE80" i="8"/>
  <c r="AI80" i="8"/>
  <c r="AM80" i="8"/>
  <c r="AQ80" i="8"/>
  <c r="AU80" i="8"/>
  <c r="AY80" i="8"/>
  <c r="BC80" i="8"/>
  <c r="BG80" i="8"/>
  <c r="BK80" i="8"/>
  <c r="H80" i="8"/>
  <c r="L80" i="8"/>
  <c r="P80" i="8"/>
  <c r="T80" i="8"/>
  <c r="X80" i="8"/>
  <c r="AB80" i="8"/>
  <c r="AF80" i="8"/>
  <c r="AJ80" i="8"/>
  <c r="AN80" i="8"/>
  <c r="AR80" i="8"/>
  <c r="AV80" i="8"/>
  <c r="AZ80" i="8"/>
  <c r="BD80" i="8"/>
  <c r="BH80" i="8"/>
  <c r="BL80" i="8"/>
  <c r="I80" i="8"/>
  <c r="Q80" i="8"/>
  <c r="Y80" i="8"/>
  <c r="AG80" i="8"/>
  <c r="AO80" i="8"/>
  <c r="AW80" i="8"/>
  <c r="BE80" i="8"/>
  <c r="BM80" i="8"/>
  <c r="J80" i="8"/>
  <c r="R80" i="8"/>
  <c r="Z80" i="8"/>
  <c r="AH80" i="8"/>
  <c r="AP80" i="8"/>
  <c r="AX80" i="8"/>
  <c r="BF80" i="8"/>
  <c r="BN80" i="8"/>
  <c r="N80" i="8"/>
  <c r="V80" i="8"/>
  <c r="AD80" i="8"/>
  <c r="AL80" i="8"/>
  <c r="AT80" i="8"/>
  <c r="BB80" i="8"/>
  <c r="BJ80" i="8"/>
  <c r="D162" i="8"/>
  <c r="Y153" i="8"/>
  <c r="Q153" i="8"/>
  <c r="BJ150" i="8"/>
  <c r="BB150" i="8"/>
  <c r="AT150" i="8"/>
  <c r="AL150" i="8"/>
  <c r="AD150" i="8"/>
  <c r="V150" i="8"/>
  <c r="BN147" i="8"/>
  <c r="BF147" i="8"/>
  <c r="AX147" i="8"/>
  <c r="AP147" i="8"/>
  <c r="AH147" i="8"/>
  <c r="Z147" i="8"/>
  <c r="R147" i="8"/>
  <c r="AF138" i="8"/>
  <c r="U138" i="8"/>
  <c r="D121" i="8"/>
  <c r="H109" i="8"/>
  <c r="G106" i="8"/>
  <c r="K106" i="8"/>
  <c r="O106" i="8"/>
  <c r="S106" i="8"/>
  <c r="W106" i="8"/>
  <c r="AA106" i="8"/>
  <c r="AE106" i="8"/>
  <c r="AI106" i="8"/>
  <c r="AM106" i="8"/>
  <c r="AQ106" i="8"/>
  <c r="AU106" i="8"/>
  <c r="AY106" i="8"/>
  <c r="BC106" i="8"/>
  <c r="BG106" i="8"/>
  <c r="BK106" i="8"/>
  <c r="H106" i="8"/>
  <c r="M106" i="8"/>
  <c r="R106" i="8"/>
  <c r="X106" i="8"/>
  <c r="AC106" i="8"/>
  <c r="AH106" i="8"/>
  <c r="AN106" i="8"/>
  <c r="AS106" i="8"/>
  <c r="AX106" i="8"/>
  <c r="BD106" i="8"/>
  <c r="BI106" i="8"/>
  <c r="BN106" i="8"/>
  <c r="I106" i="8"/>
  <c r="N106" i="8"/>
  <c r="T106" i="8"/>
  <c r="Y106" i="8"/>
  <c r="AD106" i="8"/>
  <c r="AJ106" i="8"/>
  <c r="AO106" i="8"/>
  <c r="AT106" i="8"/>
  <c r="AZ106" i="8"/>
  <c r="BE106" i="8"/>
  <c r="BJ106" i="8"/>
  <c r="L106" i="8"/>
  <c r="Q106" i="8"/>
  <c r="V106" i="8"/>
  <c r="AB106" i="8"/>
  <c r="AG106" i="8"/>
  <c r="AL106" i="8"/>
  <c r="AR106" i="8"/>
  <c r="AW106" i="8"/>
  <c r="BB106" i="8"/>
  <c r="BH106" i="8"/>
  <c r="BM106" i="8"/>
  <c r="BI86" i="8"/>
  <c r="AC86" i="8"/>
  <c r="BI80" i="8"/>
  <c r="AC80" i="8"/>
  <c r="BL165" i="8"/>
  <c r="BH165" i="8"/>
  <c r="BD165" i="8"/>
  <c r="AZ165" i="8"/>
  <c r="AV165" i="8"/>
  <c r="AR165" i="8"/>
  <c r="AN165" i="8"/>
  <c r="AJ165" i="8"/>
  <c r="AF165" i="8"/>
  <c r="AB165" i="8"/>
  <c r="X165" i="8"/>
  <c r="T165" i="8"/>
  <c r="P165" i="8"/>
  <c r="L165" i="8"/>
  <c r="H165" i="8"/>
  <c r="D159" i="8"/>
  <c r="H150" i="8"/>
  <c r="L150" i="8"/>
  <c r="P150" i="8"/>
  <c r="T150" i="8"/>
  <c r="X150" i="8"/>
  <c r="AB150" i="8"/>
  <c r="AF150" i="8"/>
  <c r="AJ150" i="8"/>
  <c r="AN150" i="8"/>
  <c r="AR150" i="8"/>
  <c r="AV150" i="8"/>
  <c r="AZ150" i="8"/>
  <c r="BD150" i="8"/>
  <c r="BH150" i="8"/>
  <c r="BL150" i="8"/>
  <c r="G150" i="8"/>
  <c r="K150" i="8"/>
  <c r="O150" i="8"/>
  <c r="S150" i="8"/>
  <c r="W150" i="8"/>
  <c r="AA150" i="8"/>
  <c r="AE150" i="8"/>
  <c r="AI150" i="8"/>
  <c r="AM150" i="8"/>
  <c r="AQ150" i="8"/>
  <c r="AU150" i="8"/>
  <c r="AY150" i="8"/>
  <c r="BC150" i="8"/>
  <c r="BG150" i="8"/>
  <c r="BK150" i="8"/>
  <c r="H147" i="8"/>
  <c r="L147" i="8"/>
  <c r="G147" i="8"/>
  <c r="M147" i="8"/>
  <c r="Q147" i="8"/>
  <c r="U147" i="8"/>
  <c r="Y147" i="8"/>
  <c r="AC147" i="8"/>
  <c r="AG147" i="8"/>
  <c r="AK147" i="8"/>
  <c r="AO147" i="8"/>
  <c r="AS147" i="8"/>
  <c r="AW147" i="8"/>
  <c r="BA147" i="8"/>
  <c r="BE147" i="8"/>
  <c r="BI147" i="8"/>
  <c r="BM147" i="8"/>
  <c r="K147" i="8"/>
  <c r="P147" i="8"/>
  <c r="T147" i="8"/>
  <c r="X147" i="8"/>
  <c r="AB147" i="8"/>
  <c r="AF147" i="8"/>
  <c r="AJ147" i="8"/>
  <c r="AN147" i="8"/>
  <c r="AR147" i="8"/>
  <c r="AV147" i="8"/>
  <c r="AZ147" i="8"/>
  <c r="BD147" i="8"/>
  <c r="BH147" i="8"/>
  <c r="BL147" i="8"/>
  <c r="D144" i="8"/>
  <c r="G144" i="8"/>
  <c r="BA86" i="8"/>
  <c r="U86" i="8"/>
  <c r="BA80" i="8"/>
  <c r="U80" i="8"/>
  <c r="D36" i="8"/>
  <c r="G36" i="8"/>
  <c r="D84" i="7"/>
  <c r="G117" i="8"/>
  <c r="D118" i="8" s="1"/>
  <c r="D80" i="7"/>
  <c r="BL174" i="8"/>
  <c r="BH174" i="8"/>
  <c r="BD174" i="8"/>
  <c r="AZ174" i="8"/>
  <c r="AV174" i="8"/>
  <c r="AR174" i="8"/>
  <c r="AN174" i="8"/>
  <c r="AJ174" i="8"/>
  <c r="AF174" i="8"/>
  <c r="AB174" i="8"/>
  <c r="X174" i="8"/>
  <c r="T174" i="8"/>
  <c r="P174" i="8"/>
  <c r="L174" i="8"/>
  <c r="BK165" i="8"/>
  <c r="BG165" i="8"/>
  <c r="BC165" i="8"/>
  <c r="AY165" i="8"/>
  <c r="AU165" i="8"/>
  <c r="AQ165" i="8"/>
  <c r="AM165" i="8"/>
  <c r="AI165" i="8"/>
  <c r="AE165" i="8"/>
  <c r="AA165" i="8"/>
  <c r="W165" i="8"/>
  <c r="S165" i="8"/>
  <c r="O165" i="8"/>
  <c r="K165" i="8"/>
  <c r="H162" i="8"/>
  <c r="L162" i="8"/>
  <c r="P162" i="8"/>
  <c r="T162" i="8"/>
  <c r="X162" i="8"/>
  <c r="AB162" i="8"/>
  <c r="AF162" i="8"/>
  <c r="AJ162" i="8"/>
  <c r="AN162" i="8"/>
  <c r="AR162" i="8"/>
  <c r="AV162" i="8"/>
  <c r="G153" i="8"/>
  <c r="K153" i="8"/>
  <c r="O153" i="8"/>
  <c r="S153" i="8"/>
  <c r="W153" i="8"/>
  <c r="AA153" i="8"/>
  <c r="AE153" i="8"/>
  <c r="AI153" i="8"/>
  <c r="AM153" i="8"/>
  <c r="AQ153" i="8"/>
  <c r="AU153" i="8"/>
  <c r="AY153" i="8"/>
  <c r="BC153" i="8"/>
  <c r="BG153" i="8"/>
  <c r="BK153" i="8"/>
  <c r="J153" i="8"/>
  <c r="N153" i="8"/>
  <c r="R153" i="8"/>
  <c r="V153" i="8"/>
  <c r="Z153" i="8"/>
  <c r="AD153" i="8"/>
  <c r="AH153" i="8"/>
  <c r="AL153" i="8"/>
  <c r="AP153" i="8"/>
  <c r="AT153" i="8"/>
  <c r="AX153" i="8"/>
  <c r="BB153" i="8"/>
  <c r="BF153" i="8"/>
  <c r="BJ153" i="8"/>
  <c r="BN153" i="8"/>
  <c r="BN150" i="8"/>
  <c r="BF150" i="8"/>
  <c r="AX150" i="8"/>
  <c r="AP150" i="8"/>
  <c r="AH150" i="8"/>
  <c r="Z150" i="8"/>
  <c r="R150" i="8"/>
  <c r="J150" i="8"/>
  <c r="BJ147" i="8"/>
  <c r="BB147" i="8"/>
  <c r="AT147" i="8"/>
  <c r="AL147" i="8"/>
  <c r="AD147" i="8"/>
  <c r="V147" i="8"/>
  <c r="N147" i="8"/>
  <c r="D141" i="8"/>
  <c r="G138" i="8"/>
  <c r="K138" i="8"/>
  <c r="O138" i="8"/>
  <c r="S138" i="8"/>
  <c r="W138" i="8"/>
  <c r="AA138" i="8"/>
  <c r="AE138" i="8"/>
  <c r="AI138" i="8"/>
  <c r="AM138" i="8"/>
  <c r="AQ138" i="8"/>
  <c r="AU138" i="8"/>
  <c r="AY138" i="8"/>
  <c r="BC138" i="8"/>
  <c r="BG138" i="8"/>
  <c r="BK138" i="8"/>
  <c r="H138" i="8"/>
  <c r="M138" i="8"/>
  <c r="R138" i="8"/>
  <c r="X138" i="8"/>
  <c r="AC138" i="8"/>
  <c r="AH138" i="8"/>
  <c r="AN138" i="8"/>
  <c r="AS138" i="8"/>
  <c r="AX138" i="8"/>
  <c r="BD138" i="8"/>
  <c r="BI138" i="8"/>
  <c r="BN138" i="8"/>
  <c r="L138" i="8"/>
  <c r="Q138" i="8"/>
  <c r="V138" i="8"/>
  <c r="AB138" i="8"/>
  <c r="AG138" i="8"/>
  <c r="AL138" i="8"/>
  <c r="AR138" i="8"/>
  <c r="AW138" i="8"/>
  <c r="BB138" i="8"/>
  <c r="BH138" i="8"/>
  <c r="BM138" i="8"/>
  <c r="D135" i="8"/>
  <c r="H115" i="8"/>
  <c r="L115" i="8"/>
  <c r="P115" i="8"/>
  <c r="T115" i="8"/>
  <c r="X115" i="8"/>
  <c r="AB115" i="8"/>
  <c r="AF115" i="8"/>
  <c r="AJ115" i="8"/>
  <c r="AN115" i="8"/>
  <c r="AR115" i="8"/>
  <c r="AV115" i="8"/>
  <c r="AZ115" i="8"/>
  <c r="BD115" i="8"/>
  <c r="BH115" i="8"/>
  <c r="BL115" i="8"/>
  <c r="G115" i="8"/>
  <c r="M115" i="8"/>
  <c r="R115" i="8"/>
  <c r="W115" i="8"/>
  <c r="AC115" i="8"/>
  <c r="AH115" i="8"/>
  <c r="AM115" i="8"/>
  <c r="AS115" i="8"/>
  <c r="AX115" i="8"/>
  <c r="BC115" i="8"/>
  <c r="BI115" i="8"/>
  <c r="BN115" i="8"/>
  <c r="I115" i="8"/>
  <c r="N115" i="8"/>
  <c r="S115" i="8"/>
  <c r="Y115" i="8"/>
  <c r="AD115" i="8"/>
  <c r="AI115" i="8"/>
  <c r="AO115" i="8"/>
  <c r="AT115" i="8"/>
  <c r="AY115" i="8"/>
  <c r="BE115" i="8"/>
  <c r="BJ115" i="8"/>
  <c r="K115" i="8"/>
  <c r="Q115" i="8"/>
  <c r="V115" i="8"/>
  <c r="AA115" i="8"/>
  <c r="AG115" i="8"/>
  <c r="AL115" i="8"/>
  <c r="AQ115" i="8"/>
  <c r="AW115" i="8"/>
  <c r="BB115" i="8"/>
  <c r="BG115" i="8"/>
  <c r="BM115" i="8"/>
  <c r="D112" i="8"/>
  <c r="G112" i="8"/>
  <c r="BF106" i="8"/>
  <c r="AK106" i="8"/>
  <c r="P106" i="8"/>
  <c r="D106" i="8"/>
  <c r="AS86" i="8"/>
  <c r="M86" i="8"/>
  <c r="AS80" i="8"/>
  <c r="M80" i="8"/>
  <c r="J62" i="8"/>
  <c r="N62" i="8"/>
  <c r="R62" i="8"/>
  <c r="V62" i="8"/>
  <c r="Z62" i="8"/>
  <c r="AD62" i="8"/>
  <c r="AH62" i="8"/>
  <c r="AL62" i="8"/>
  <c r="AP62" i="8"/>
  <c r="AT62" i="8"/>
  <c r="AX62" i="8"/>
  <c r="BB62" i="8"/>
  <c r="BF62" i="8"/>
  <c r="BJ62" i="8"/>
  <c r="BN62" i="8"/>
  <c r="G62" i="8"/>
  <c r="K62" i="8"/>
  <c r="O62" i="8"/>
  <c r="S62" i="8"/>
  <c r="W62" i="8"/>
  <c r="AA62" i="8"/>
  <c r="AE62" i="8"/>
  <c r="AI62" i="8"/>
  <c r="AM62" i="8"/>
  <c r="AQ62" i="8"/>
  <c r="AU62" i="8"/>
  <c r="AY62" i="8"/>
  <c r="BC62" i="8"/>
  <c r="BG62" i="8"/>
  <c r="BK62" i="8"/>
  <c r="H62" i="8"/>
  <c r="L62" i="8"/>
  <c r="P62" i="8"/>
  <c r="T62" i="8"/>
  <c r="X62" i="8"/>
  <c r="AB62" i="8"/>
  <c r="AF62" i="8"/>
  <c r="AJ62" i="8"/>
  <c r="AN62" i="8"/>
  <c r="AR62" i="8"/>
  <c r="AV62" i="8"/>
  <c r="AZ62" i="8"/>
  <c r="BD62" i="8"/>
  <c r="BH62" i="8"/>
  <c r="BL62" i="8"/>
  <c r="M62" i="8"/>
  <c r="AC62" i="8"/>
  <c r="AS62" i="8"/>
  <c r="BI62" i="8"/>
  <c r="Q62" i="8"/>
  <c r="AG62" i="8"/>
  <c r="AW62" i="8"/>
  <c r="BM62" i="8"/>
  <c r="U62" i="8"/>
  <c r="BA62" i="8"/>
  <c r="Y62" i="8"/>
  <c r="BE62" i="8"/>
  <c r="I62" i="8"/>
  <c r="AO62" i="8"/>
  <c r="H127" i="8"/>
  <c r="L127" i="8"/>
  <c r="P127" i="8"/>
  <c r="T127" i="8"/>
  <c r="X127" i="8"/>
  <c r="AB127" i="8"/>
  <c r="AF127" i="8"/>
  <c r="AJ127" i="8"/>
  <c r="AN127" i="8"/>
  <c r="AR127" i="8"/>
  <c r="AV127" i="8"/>
  <c r="AZ127" i="8"/>
  <c r="BD127" i="8"/>
  <c r="BH127" i="8"/>
  <c r="BL127" i="8"/>
  <c r="J101" i="8"/>
  <c r="N101" i="8"/>
  <c r="R101" i="8"/>
  <c r="V101" i="8"/>
  <c r="Z101" i="8"/>
  <c r="AD101" i="8"/>
  <c r="AH101" i="8"/>
  <c r="AL101" i="8"/>
  <c r="AP101" i="8"/>
  <c r="AT101" i="8"/>
  <c r="AX101" i="8"/>
  <c r="BB101" i="8"/>
  <c r="BF101" i="8"/>
  <c r="BJ101" i="8"/>
  <c r="BN101" i="8"/>
  <c r="H95" i="8"/>
  <c r="D71" i="8"/>
  <c r="G59" i="8"/>
  <c r="F59" i="8" s="1"/>
  <c r="D59" i="8"/>
  <c r="D56" i="8"/>
  <c r="D127" i="8"/>
  <c r="J121" i="8"/>
  <c r="N121" i="8"/>
  <c r="R121" i="8"/>
  <c r="V121" i="8"/>
  <c r="Z121" i="8"/>
  <c r="AD121" i="8"/>
  <c r="AH121" i="8"/>
  <c r="AL121" i="8"/>
  <c r="AP121" i="8"/>
  <c r="AT121" i="8"/>
  <c r="AX121" i="8"/>
  <c r="BB121" i="8"/>
  <c r="BF121" i="8"/>
  <c r="BJ121" i="8"/>
  <c r="BN121" i="8"/>
  <c r="BM118" i="8"/>
  <c r="BH118" i="8"/>
  <c r="BB118" i="8"/>
  <c r="AW118" i="8"/>
  <c r="AR118" i="8"/>
  <c r="AL118" i="8"/>
  <c r="AG118" i="8"/>
  <c r="AB118" i="8"/>
  <c r="V118" i="8"/>
  <c r="Q118" i="8"/>
  <c r="BI101" i="8"/>
  <c r="BD101" i="8"/>
  <c r="AY101" i="8"/>
  <c r="AS101" i="8"/>
  <c r="AN101" i="8"/>
  <c r="AI101" i="8"/>
  <c r="AC101" i="8"/>
  <c r="X101" i="8"/>
  <c r="S101" i="8"/>
  <c r="M101" i="8"/>
  <c r="H101" i="8"/>
  <c r="D95" i="8"/>
  <c r="J89" i="8"/>
  <c r="N89" i="8"/>
  <c r="R89" i="8"/>
  <c r="V89" i="8"/>
  <c r="Z89" i="8"/>
  <c r="AD89" i="8"/>
  <c r="AH89" i="8"/>
  <c r="AL89" i="8"/>
  <c r="AP89" i="8"/>
  <c r="AT89" i="8"/>
  <c r="AX89" i="8"/>
  <c r="BB89" i="8"/>
  <c r="BF89" i="8"/>
  <c r="BJ89" i="8"/>
  <c r="BN89" i="8"/>
  <c r="G89" i="8"/>
  <c r="K89" i="8"/>
  <c r="O89" i="8"/>
  <c r="S89" i="8"/>
  <c r="W89" i="8"/>
  <c r="AA89" i="8"/>
  <c r="AE89" i="8"/>
  <c r="AI89" i="8"/>
  <c r="AM89" i="8"/>
  <c r="AQ89" i="8"/>
  <c r="AU89" i="8"/>
  <c r="AY89" i="8"/>
  <c r="BC89" i="8"/>
  <c r="BG89" i="8"/>
  <c r="BK89" i="8"/>
  <c r="BN156" i="8"/>
  <c r="BJ156" i="8"/>
  <c r="BF156" i="8"/>
  <c r="BB156" i="8"/>
  <c r="AX156" i="8"/>
  <c r="AT156" i="8"/>
  <c r="AP156" i="8"/>
  <c r="AL156" i="8"/>
  <c r="AH156" i="8"/>
  <c r="AD156" i="8"/>
  <c r="Z156" i="8"/>
  <c r="V156" i="8"/>
  <c r="R156" i="8"/>
  <c r="N156" i="8"/>
  <c r="D147" i="8"/>
  <c r="J141" i="8"/>
  <c r="N141" i="8"/>
  <c r="R141" i="8"/>
  <c r="V141" i="8"/>
  <c r="Z141" i="8"/>
  <c r="AD141" i="8"/>
  <c r="AH141" i="8"/>
  <c r="AL141" i="8"/>
  <c r="AP141" i="8"/>
  <c r="AT141" i="8"/>
  <c r="AX141" i="8"/>
  <c r="BB141" i="8"/>
  <c r="BF141" i="8"/>
  <c r="BJ141" i="8"/>
  <c r="BN141" i="8"/>
  <c r="H135" i="8"/>
  <c r="L135" i="8"/>
  <c r="P135" i="8"/>
  <c r="T135" i="8"/>
  <c r="X135" i="8"/>
  <c r="AB135" i="8"/>
  <c r="AF135" i="8"/>
  <c r="AJ135" i="8"/>
  <c r="AN135" i="8"/>
  <c r="AR135" i="8"/>
  <c r="AV135" i="8"/>
  <c r="AZ135" i="8"/>
  <c r="BD135" i="8"/>
  <c r="BH135" i="8"/>
  <c r="BL135" i="8"/>
  <c r="BM127" i="8"/>
  <c r="BG127" i="8"/>
  <c r="BB127" i="8"/>
  <c r="AW127" i="8"/>
  <c r="AQ127" i="8"/>
  <c r="AL127" i="8"/>
  <c r="AG127" i="8"/>
  <c r="AA127" i="8"/>
  <c r="V127" i="8"/>
  <c r="Q127" i="8"/>
  <c r="K127" i="8"/>
  <c r="G118" i="8"/>
  <c r="K118" i="8"/>
  <c r="O118" i="8"/>
  <c r="S118" i="8"/>
  <c r="W118" i="8"/>
  <c r="AA118" i="8"/>
  <c r="AE118" i="8"/>
  <c r="AI118" i="8"/>
  <c r="AM118" i="8"/>
  <c r="AQ118" i="8"/>
  <c r="AU118" i="8"/>
  <c r="AY118" i="8"/>
  <c r="BC118" i="8"/>
  <c r="BG118" i="8"/>
  <c r="BK118" i="8"/>
  <c r="D115" i="8"/>
  <c r="J109" i="8"/>
  <c r="N109" i="8"/>
  <c r="R109" i="8"/>
  <c r="V109" i="8"/>
  <c r="Z109" i="8"/>
  <c r="AD109" i="8"/>
  <c r="AH109" i="8"/>
  <c r="AL109" i="8"/>
  <c r="AP109" i="8"/>
  <c r="AT109" i="8"/>
  <c r="AX109" i="8"/>
  <c r="BB109" i="8"/>
  <c r="BF109" i="8"/>
  <c r="BJ109" i="8"/>
  <c r="BN109" i="8"/>
  <c r="BM101" i="8"/>
  <c r="BH101" i="8"/>
  <c r="BC101" i="8"/>
  <c r="AW101" i="8"/>
  <c r="AR101" i="8"/>
  <c r="AM101" i="8"/>
  <c r="AG101" i="8"/>
  <c r="AB101" i="8"/>
  <c r="W101" i="8"/>
  <c r="Q101" i="8"/>
  <c r="L101" i="8"/>
  <c r="G101" i="8"/>
  <c r="G98" i="8"/>
  <c r="K98" i="8"/>
  <c r="O98" i="8"/>
  <c r="S98" i="8"/>
  <c r="W98" i="8"/>
  <c r="AA98" i="8"/>
  <c r="AE98" i="8"/>
  <c r="AI98" i="8"/>
  <c r="AM98" i="8"/>
  <c r="AQ98" i="8"/>
  <c r="AU98" i="8"/>
  <c r="AY98" i="8"/>
  <c r="BC98" i="8"/>
  <c r="BG98" i="8"/>
  <c r="BK98" i="8"/>
  <c r="H98" i="8"/>
  <c r="L98" i="8"/>
  <c r="P98" i="8"/>
  <c r="T98" i="8"/>
  <c r="X98" i="8"/>
  <c r="AB98" i="8"/>
  <c r="AF98" i="8"/>
  <c r="AJ98" i="8"/>
  <c r="AN98" i="8"/>
  <c r="AR98" i="8"/>
  <c r="AV98" i="8"/>
  <c r="AZ98" i="8"/>
  <c r="BD98" i="8"/>
  <c r="BH98" i="8"/>
  <c r="BL98" i="8"/>
  <c r="D86" i="8"/>
  <c r="D80" i="8"/>
  <c r="F77" i="8"/>
  <c r="J39" i="8"/>
  <c r="D39" i="8"/>
  <c r="D49" i="7"/>
  <c r="G64" i="8"/>
  <c r="G71" i="8"/>
  <c r="K71" i="8"/>
  <c r="O71" i="8"/>
  <c r="S71" i="8"/>
  <c r="W71" i="8"/>
  <c r="AA71" i="8"/>
  <c r="AE71" i="8"/>
  <c r="AI71" i="8"/>
  <c r="AM71" i="8"/>
  <c r="AQ71" i="8"/>
  <c r="AU71" i="8"/>
  <c r="AY71" i="8"/>
  <c r="BC71" i="8"/>
  <c r="BG71" i="8"/>
  <c r="BK71" i="8"/>
  <c r="H71" i="8"/>
  <c r="L71" i="8"/>
  <c r="P71" i="8"/>
  <c r="T71" i="8"/>
  <c r="X71" i="8"/>
  <c r="AB71" i="8"/>
  <c r="AF71" i="8"/>
  <c r="AJ71" i="8"/>
  <c r="AN71" i="8"/>
  <c r="AR71" i="8"/>
  <c r="AV71" i="8"/>
  <c r="AZ71" i="8"/>
  <c r="BD71" i="8"/>
  <c r="BH71" i="8"/>
  <c r="BL71" i="8"/>
  <c r="D62" i="8"/>
  <c r="D53" i="8"/>
  <c r="H53" i="8"/>
  <c r="F45" i="8"/>
  <c r="D105" i="7"/>
  <c r="BL95" i="8"/>
  <c r="BH95" i="8"/>
  <c r="BD95" i="8"/>
  <c r="AZ95" i="8"/>
  <c r="AV95" i="8"/>
  <c r="AR95" i="8"/>
  <c r="AN95" i="8"/>
  <c r="AJ95" i="8"/>
  <c r="AF95" i="8"/>
  <c r="AB95" i="8"/>
  <c r="X95" i="8"/>
  <c r="T95" i="8"/>
  <c r="P95" i="8"/>
  <c r="L95" i="8"/>
  <c r="J74" i="8"/>
  <c r="N74" i="8"/>
  <c r="R74" i="8"/>
  <c r="V74" i="8"/>
  <c r="Z74" i="8"/>
  <c r="AD74" i="8"/>
  <c r="AH74" i="8"/>
  <c r="AL74" i="8"/>
  <c r="AP74" i="8"/>
  <c r="AT74" i="8"/>
  <c r="AX74" i="8"/>
  <c r="BB74" i="8"/>
  <c r="BF74" i="8"/>
  <c r="BJ74" i="8"/>
  <c r="BN74" i="8"/>
  <c r="G74" i="8"/>
  <c r="K74" i="8"/>
  <c r="O74" i="8"/>
  <c r="S74" i="8"/>
  <c r="W74" i="8"/>
  <c r="AA74" i="8"/>
  <c r="AE74" i="8"/>
  <c r="AI74" i="8"/>
  <c r="AM74" i="8"/>
  <c r="AQ74" i="8"/>
  <c r="AU74" i="8"/>
  <c r="AY74" i="8"/>
  <c r="BC74" i="8"/>
  <c r="BG74" i="8"/>
  <c r="BK74" i="8"/>
  <c r="BN71" i="8"/>
  <c r="BF71" i="8"/>
  <c r="AX71" i="8"/>
  <c r="AP71" i="8"/>
  <c r="AH71" i="8"/>
  <c r="Z71" i="8"/>
  <c r="R71" i="8"/>
  <c r="J71" i="8"/>
  <c r="D68" i="8"/>
  <c r="BN56" i="8"/>
  <c r="BJ56" i="8"/>
  <c r="BF56" i="8"/>
  <c r="BB56" i="8"/>
  <c r="AX56" i="8"/>
  <c r="AT56" i="8"/>
  <c r="AP56" i="8"/>
  <c r="AL56" i="8"/>
  <c r="AH56" i="8"/>
  <c r="AD56" i="8"/>
  <c r="Z56" i="8"/>
  <c r="V56" i="8"/>
  <c r="R56" i="8"/>
  <c r="N56" i="8"/>
  <c r="J56" i="8"/>
  <c r="BI50" i="8"/>
  <c r="BD50" i="8"/>
  <c r="AY50" i="8"/>
  <c r="AS50" i="8"/>
  <c r="AN50" i="8"/>
  <c r="AF50" i="8"/>
  <c r="X50" i="8"/>
  <c r="P50" i="8"/>
  <c r="J30" i="8"/>
  <c r="N30" i="8"/>
  <c r="R30" i="8"/>
  <c r="V30" i="8"/>
  <c r="Z30" i="8"/>
  <c r="AD30" i="8"/>
  <c r="AH30" i="8"/>
  <c r="AL30" i="8"/>
  <c r="AP30" i="8"/>
  <c r="AT30" i="8"/>
  <c r="AX30" i="8"/>
  <c r="BB30" i="8"/>
  <c r="BF30" i="8"/>
  <c r="BJ30" i="8"/>
  <c r="BN30" i="8"/>
  <c r="G30" i="8"/>
  <c r="L30" i="8"/>
  <c r="Q30" i="8"/>
  <c r="W30" i="8"/>
  <c r="AB30" i="8"/>
  <c r="AG30" i="8"/>
  <c r="AM30" i="8"/>
  <c r="AR30" i="8"/>
  <c r="AW30" i="8"/>
  <c r="BC30" i="8"/>
  <c r="BH30" i="8"/>
  <c r="BM30" i="8"/>
  <c r="H30" i="8"/>
  <c r="M30" i="8"/>
  <c r="S30" i="8"/>
  <c r="X30" i="8"/>
  <c r="AC30" i="8"/>
  <c r="AI30" i="8"/>
  <c r="AN30" i="8"/>
  <c r="AS30" i="8"/>
  <c r="AY30" i="8"/>
  <c r="BD30" i="8"/>
  <c r="BI30" i="8"/>
  <c r="BL27" i="8"/>
  <c r="BA27" i="8"/>
  <c r="AP27" i="8"/>
  <c r="AF27" i="8"/>
  <c r="U27" i="8"/>
  <c r="J50" i="8"/>
  <c r="N50" i="8"/>
  <c r="R50" i="8"/>
  <c r="V50" i="8"/>
  <c r="Z50" i="8"/>
  <c r="AD50" i="8"/>
  <c r="AH50" i="8"/>
  <c r="AL50" i="8"/>
  <c r="AP50" i="8"/>
  <c r="AT50" i="8"/>
  <c r="AX50" i="8"/>
  <c r="BB50" i="8"/>
  <c r="BF50" i="8"/>
  <c r="BJ50" i="8"/>
  <c r="BN50" i="8"/>
  <c r="G50" i="8"/>
  <c r="K50" i="8"/>
  <c r="O50" i="8"/>
  <c r="S50" i="8"/>
  <c r="W50" i="8"/>
  <c r="AA50" i="8"/>
  <c r="AE50" i="8"/>
  <c r="AI50" i="8"/>
  <c r="AM50" i="8"/>
  <c r="D97" i="7"/>
  <c r="D26" i="7"/>
  <c r="D22" i="7"/>
  <c r="H23" i="8"/>
  <c r="D24" i="8" s="1"/>
  <c r="E34" i="6"/>
  <c r="E32" i="6"/>
  <c r="I32" i="6" s="1"/>
  <c r="H32" i="6"/>
  <c r="E53" i="5"/>
  <c r="D28" i="6" s="1"/>
  <c r="BL68" i="8"/>
  <c r="BH68" i="8"/>
  <c r="BD68" i="8"/>
  <c r="AZ68" i="8"/>
  <c r="AV68" i="8"/>
  <c r="AR68" i="8"/>
  <c r="AN68" i="8"/>
  <c r="AJ68" i="8"/>
  <c r="AF68" i="8"/>
  <c r="AB68" i="8"/>
  <c r="X68" i="8"/>
  <c r="T68" i="8"/>
  <c r="P68" i="8"/>
  <c r="L68" i="8"/>
  <c r="F68" i="8" s="1"/>
  <c r="BL56" i="8"/>
  <c r="BH56" i="8"/>
  <c r="BD56" i="8"/>
  <c r="AZ56" i="8"/>
  <c r="AV56" i="8"/>
  <c r="AR56" i="8"/>
  <c r="AN56" i="8"/>
  <c r="AJ56" i="8"/>
  <c r="AF56" i="8"/>
  <c r="AB56" i="8"/>
  <c r="X56" i="8"/>
  <c r="T56" i="8"/>
  <c r="P56" i="8"/>
  <c r="L56" i="8"/>
  <c r="BL50" i="8"/>
  <c r="BG50" i="8"/>
  <c r="BA50" i="8"/>
  <c r="AV50" i="8"/>
  <c r="AQ50" i="8"/>
  <c r="AJ50" i="8"/>
  <c r="AB50" i="8"/>
  <c r="T50" i="8"/>
  <c r="L50" i="8"/>
  <c r="J42" i="8"/>
  <c r="N42" i="8"/>
  <c r="R42" i="8"/>
  <c r="V42" i="8"/>
  <c r="Z42" i="8"/>
  <c r="AD42" i="8"/>
  <c r="AH42" i="8"/>
  <c r="AL42" i="8"/>
  <c r="AP42" i="8"/>
  <c r="AT42" i="8"/>
  <c r="AX42" i="8"/>
  <c r="BB42" i="8"/>
  <c r="BF42" i="8"/>
  <c r="BJ42" i="8"/>
  <c r="BN42" i="8"/>
  <c r="G42" i="8"/>
  <c r="K42" i="8"/>
  <c r="O42" i="8"/>
  <c r="S42" i="8"/>
  <c r="W42" i="8"/>
  <c r="AA42" i="8"/>
  <c r="AE42" i="8"/>
  <c r="AI42" i="8"/>
  <c r="AM42" i="8"/>
  <c r="AQ42" i="8"/>
  <c r="AU42" i="8"/>
  <c r="AY42" i="8"/>
  <c r="BC42" i="8"/>
  <c r="BG42" i="8"/>
  <c r="BK42" i="8"/>
  <c r="K27" i="8"/>
  <c r="O27" i="8"/>
  <c r="S27" i="8"/>
  <c r="W27" i="8"/>
  <c r="AA27" i="8"/>
  <c r="AE27" i="8"/>
  <c r="AI27" i="8"/>
  <c r="AM27" i="8"/>
  <c r="AQ27" i="8"/>
  <c r="AU27" i="8"/>
  <c r="AY27" i="8"/>
  <c r="BC27" i="8"/>
  <c r="BG27" i="8"/>
  <c r="BK27" i="8"/>
  <c r="H27" i="8"/>
  <c r="M27" i="8"/>
  <c r="R27" i="8"/>
  <c r="X27" i="8"/>
  <c r="AC27" i="8"/>
  <c r="AH27" i="8"/>
  <c r="AN27" i="8"/>
  <c r="AS27" i="8"/>
  <c r="AX27" i="8"/>
  <c r="BD27" i="8"/>
  <c r="BI27" i="8"/>
  <c r="BN27" i="8"/>
  <c r="I27" i="8"/>
  <c r="N27" i="8"/>
  <c r="T27" i="8"/>
  <c r="Y27" i="8"/>
  <c r="AD27" i="8"/>
  <c r="AJ27" i="8"/>
  <c r="AO27" i="8"/>
  <c r="AT27" i="8"/>
  <c r="AZ27" i="8"/>
  <c r="BE27" i="8"/>
  <c r="BJ27" i="8"/>
  <c r="D99" i="7"/>
  <c r="D109" i="7"/>
  <c r="D86" i="7"/>
  <c r="D82" i="7"/>
  <c r="D59" i="7"/>
  <c r="D55" i="7"/>
  <c r="D28" i="7"/>
  <c r="H36" i="8"/>
  <c r="L36" i="8"/>
  <c r="P36" i="8"/>
  <c r="T36" i="8"/>
  <c r="X36" i="8"/>
  <c r="AB36" i="8"/>
  <c r="AF36" i="8"/>
  <c r="AJ36" i="8"/>
  <c r="AN36" i="8"/>
  <c r="AR36" i="8"/>
  <c r="AV36" i="8"/>
  <c r="AZ36" i="8"/>
  <c r="BD36" i="8"/>
  <c r="BH36" i="8"/>
  <c r="BL36" i="8"/>
  <c r="L24" i="8"/>
  <c r="P24" i="8"/>
  <c r="T24" i="8"/>
  <c r="X24" i="8"/>
  <c r="AB24" i="8"/>
  <c r="AF24" i="8"/>
  <c r="AJ24" i="8"/>
  <c r="AN24" i="8"/>
  <c r="AR24" i="8"/>
  <c r="AV24" i="8"/>
  <c r="AZ24" i="8"/>
  <c r="BD24" i="8"/>
  <c r="BH24" i="8"/>
  <c r="BL24" i="8"/>
  <c r="G24" i="8"/>
  <c r="K24" i="8"/>
  <c r="O24" i="8"/>
  <c r="S24" i="8"/>
  <c r="W24" i="8"/>
  <c r="AA24" i="8"/>
  <c r="AE24" i="8"/>
  <c r="AI24" i="8"/>
  <c r="AM24" i="8"/>
  <c r="AQ24" i="8"/>
  <c r="AU24" i="8"/>
  <c r="AY24" i="8"/>
  <c r="BC24" i="8"/>
  <c r="BG24" i="8"/>
  <c r="BK24" i="8"/>
  <c r="D119" i="7"/>
  <c r="D115" i="7"/>
  <c r="D88" i="7"/>
  <c r="D65" i="7"/>
  <c r="D57" i="7"/>
  <c r="D32" i="7"/>
  <c r="E44" i="5"/>
  <c r="D26" i="6" s="1"/>
  <c r="G39" i="8"/>
  <c r="K39" i="8"/>
  <c r="BJ36" i="8"/>
  <c r="BE36" i="8"/>
  <c r="AY36" i="8"/>
  <c r="AT36" i="8"/>
  <c r="AO36" i="8"/>
  <c r="AI36" i="8"/>
  <c r="AD36" i="8"/>
  <c r="Y36" i="8"/>
  <c r="S36" i="8"/>
  <c r="N36" i="8"/>
  <c r="I36" i="8"/>
  <c r="BN24" i="8"/>
  <c r="BF24" i="8"/>
  <c r="AX24" i="8"/>
  <c r="AP24" i="8"/>
  <c r="AH24" i="8"/>
  <c r="Z24" i="8"/>
  <c r="R24" i="8"/>
  <c r="J24" i="8"/>
  <c r="D21" i="8"/>
  <c r="D121" i="7"/>
  <c r="D117" i="7"/>
  <c r="D95" i="7"/>
  <c r="D67" i="7"/>
  <c r="D34" i="7"/>
  <c r="D24" i="7"/>
  <c r="G26" i="8"/>
  <c r="D27" i="8" s="1"/>
  <c r="D20" i="7"/>
  <c r="G53" i="5"/>
  <c r="F28" i="6" s="1"/>
  <c r="G28" i="6" s="1"/>
  <c r="G34" i="5"/>
  <c r="F22" i="6" s="1"/>
  <c r="G22" i="6" s="1"/>
  <c r="O14" i="3"/>
  <c r="O15" i="3" s="1"/>
  <c r="D111" i="7"/>
  <c r="D76" i="7"/>
  <c r="D51" i="7"/>
  <c r="I30" i="6"/>
  <c r="G44" i="5"/>
  <c r="F26" i="6" s="1"/>
  <c r="G26" i="6" s="1"/>
  <c r="E10" i="4"/>
  <c r="E14" i="4"/>
  <c r="E17" i="4"/>
  <c r="E21" i="4"/>
  <c r="E25" i="4"/>
  <c r="E35" i="4"/>
  <c r="E38" i="4"/>
  <c r="E42" i="4"/>
  <c r="E45" i="4"/>
  <c r="E49" i="4"/>
  <c r="E53" i="4"/>
  <c r="E57" i="4"/>
  <c r="E60" i="4"/>
  <c r="D103" i="7"/>
  <c r="D73" i="7"/>
  <c r="D43" i="7"/>
  <c r="E73" i="5"/>
  <c r="D36" i="6" s="1"/>
  <c r="E33" i="4"/>
  <c r="E20" i="4"/>
  <c r="E15" i="4"/>
  <c r="E11" i="4"/>
  <c r="I34" i="6" l="1"/>
  <c r="F48" i="4"/>
  <c r="F124" i="8"/>
  <c r="F33" i="8"/>
  <c r="H24" i="8"/>
  <c r="F24" i="8" s="1"/>
  <c r="I24" i="6"/>
  <c r="H24" i="6"/>
  <c r="H34" i="6"/>
  <c r="F53" i="8"/>
  <c r="F21" i="8"/>
  <c r="F39" i="8"/>
  <c r="F92" i="8"/>
  <c r="F132" i="8"/>
  <c r="A37" i="4"/>
  <c r="F112" i="8"/>
  <c r="F144" i="8"/>
  <c r="F156" i="8"/>
  <c r="F121" i="8"/>
  <c r="F127" i="8"/>
  <c r="J177" i="8"/>
  <c r="J178" i="8" s="1"/>
  <c r="O177" i="8"/>
  <c r="O178" i="8" s="1"/>
  <c r="AE177" i="8"/>
  <c r="AE178" i="8" s="1"/>
  <c r="AU177" i="8"/>
  <c r="AU178" i="8" s="1"/>
  <c r="BK177" i="8"/>
  <c r="BK178" i="8" s="1"/>
  <c r="Y177" i="8"/>
  <c r="Y178" i="8" s="1"/>
  <c r="BI177" i="8"/>
  <c r="BI178" i="8" s="1"/>
  <c r="BC177" i="8"/>
  <c r="BC178" i="8" s="1"/>
  <c r="AM177" i="8"/>
  <c r="AM178" i="8" s="1"/>
  <c r="W177" i="8"/>
  <c r="W178" i="8" s="1"/>
  <c r="A15" i="4"/>
  <c r="A26" i="4"/>
  <c r="F109" i="8"/>
  <c r="F174" i="8"/>
  <c r="AY177" i="8"/>
  <c r="AY178" i="8" s="1"/>
  <c r="AI177" i="8"/>
  <c r="AI178" i="8" s="1"/>
  <c r="S177" i="8"/>
  <c r="S178" i="8" s="1"/>
  <c r="BN177" i="8"/>
  <c r="BN178" i="8" s="1"/>
  <c r="AX177" i="8"/>
  <c r="AX178" i="8" s="1"/>
  <c r="AH177" i="8"/>
  <c r="AH178" i="8" s="1"/>
  <c r="R177" i="8"/>
  <c r="R178" i="8" s="1"/>
  <c r="V177" i="8"/>
  <c r="V178" i="8" s="1"/>
  <c r="BB177" i="8"/>
  <c r="BB178" i="8" s="1"/>
  <c r="F162" i="8"/>
  <c r="BE177" i="8"/>
  <c r="BE178" i="8" s="1"/>
  <c r="AO177" i="8"/>
  <c r="AO178" i="8" s="1"/>
  <c r="BJ177" i="8"/>
  <c r="BJ178" i="8" s="1"/>
  <c r="AT177" i="8"/>
  <c r="AT178" i="8" s="1"/>
  <c r="AD177" i="8"/>
  <c r="AD178" i="8" s="1"/>
  <c r="N177" i="8"/>
  <c r="N178" i="8" s="1"/>
  <c r="F56" i="8"/>
  <c r="F141" i="8"/>
  <c r="AL177" i="8"/>
  <c r="AL178" i="8" s="1"/>
  <c r="F95" i="8"/>
  <c r="F135" i="8"/>
  <c r="Z177" i="8"/>
  <c r="Z178" i="8" s="1"/>
  <c r="AP177" i="8"/>
  <c r="AP178" i="8" s="1"/>
  <c r="BF177" i="8"/>
  <c r="BF178" i="8" s="1"/>
  <c r="I177" i="8"/>
  <c r="K177" i="8"/>
  <c r="K178" i="8" s="1"/>
  <c r="AA177" i="8"/>
  <c r="AA178" i="8" s="1"/>
  <c r="AQ177" i="8"/>
  <c r="AQ178" i="8" s="1"/>
  <c r="BG177" i="8"/>
  <c r="BG178" i="8" s="1"/>
  <c r="BA177" i="8"/>
  <c r="BA178" i="8" s="1"/>
  <c r="H36" i="6"/>
  <c r="E36" i="6"/>
  <c r="I36" i="6" s="1"/>
  <c r="E26" i="6"/>
  <c r="I26" i="6" s="1"/>
  <c r="H26" i="6"/>
  <c r="F42" i="8"/>
  <c r="F50" i="8"/>
  <c r="F98" i="8"/>
  <c r="F62" i="8"/>
  <c r="X177" i="8"/>
  <c r="X178" i="8" s="1"/>
  <c r="AN177" i="8"/>
  <c r="AN178" i="8" s="1"/>
  <c r="BD177" i="8"/>
  <c r="BD178" i="8" s="1"/>
  <c r="AK177" i="8"/>
  <c r="AK178" i="8" s="1"/>
  <c r="U177" i="8"/>
  <c r="U178" i="8" s="1"/>
  <c r="F150" i="8"/>
  <c r="AC177" i="8"/>
  <c r="AC178" i="8" s="1"/>
  <c r="AG177" i="8"/>
  <c r="AG178" i="8" s="1"/>
  <c r="G27" i="8"/>
  <c r="F27" i="8" s="1"/>
  <c r="E28" i="6"/>
  <c r="I28" i="6" s="1"/>
  <c r="H28" i="6"/>
  <c r="H22" i="6"/>
  <c r="F74" i="8"/>
  <c r="F71" i="8"/>
  <c r="F101" i="8"/>
  <c r="F138" i="8"/>
  <c r="L177" i="8"/>
  <c r="L178" i="8" s="1"/>
  <c r="AB177" i="8"/>
  <c r="AB178" i="8" s="1"/>
  <c r="AR177" i="8"/>
  <c r="AR178" i="8" s="1"/>
  <c r="BH177" i="8"/>
  <c r="BH178" i="8" s="1"/>
  <c r="F106" i="8"/>
  <c r="AS177" i="8"/>
  <c r="AS178" i="8" s="1"/>
  <c r="AW177" i="8"/>
  <c r="AW178" i="8" s="1"/>
  <c r="A45" i="4"/>
  <c r="I22" i="6"/>
  <c r="F30" i="8"/>
  <c r="D65" i="8"/>
  <c r="G65" i="8"/>
  <c r="F65" i="8" s="1"/>
  <c r="P177" i="8"/>
  <c r="P178" i="8" s="1"/>
  <c r="AF177" i="8"/>
  <c r="AF178" i="8" s="1"/>
  <c r="AV177" i="8"/>
  <c r="AV178" i="8" s="1"/>
  <c r="BL177" i="8"/>
  <c r="BL178" i="8" s="1"/>
  <c r="F36" i="8"/>
  <c r="F80" i="8"/>
  <c r="F165" i="8"/>
  <c r="BM177" i="8"/>
  <c r="BM178" i="8" s="1"/>
  <c r="A60" i="4"/>
  <c r="F118" i="8"/>
  <c r="F89" i="8"/>
  <c r="F115" i="8"/>
  <c r="F153" i="8"/>
  <c r="T177" i="8"/>
  <c r="T178" i="8" s="1"/>
  <c r="AJ177" i="8"/>
  <c r="AJ178" i="8" s="1"/>
  <c r="AZ177" i="8"/>
  <c r="AZ178" i="8" s="1"/>
  <c r="F147" i="8"/>
  <c r="F86" i="8"/>
  <c r="M177" i="8"/>
  <c r="M178" i="8" s="1"/>
  <c r="Q177" i="8"/>
  <c r="Q178" i="8" s="1"/>
  <c r="F168" i="8"/>
  <c r="C34" i="10"/>
  <c r="D34" i="10" s="1"/>
  <c r="D33" i="10"/>
  <c r="H177" i="8" l="1"/>
  <c r="F47" i="8"/>
  <c r="F176" i="8"/>
  <c r="F129" i="8"/>
  <c r="F82" i="8"/>
  <c r="D99" i="2"/>
  <c r="G177" i="8"/>
  <c r="G178" i="8" s="1"/>
  <c r="F103" i="8"/>
  <c r="H178" i="8" l="1"/>
  <c r="I178" i="8" s="1"/>
  <c r="B5" i="4"/>
  <c r="E5" i="4" s="1"/>
  <c r="B30" i="4"/>
  <c r="E30" i="4" s="1"/>
  <c r="H74" i="5"/>
  <c r="G25" i="5"/>
  <c r="F20" i="6" s="1"/>
  <c r="G20" i="6" s="1"/>
  <c r="F177" i="8"/>
  <c r="D100" i="2"/>
  <c r="G46" i="6" l="1"/>
  <c r="F21" i="13"/>
  <c r="K22" i="9"/>
  <c r="O22" i="9"/>
  <c r="S22" i="9"/>
  <c r="W22" i="9"/>
  <c r="AA22" i="9"/>
  <c r="AE22" i="9"/>
  <c r="AI22" i="9"/>
  <c r="AM22" i="9"/>
  <c r="AQ22" i="9"/>
  <c r="AU22" i="9"/>
  <c r="AY22" i="9"/>
  <c r="BC22" i="9"/>
  <c r="BG22" i="9"/>
  <c r="BK22" i="9"/>
  <c r="BO22" i="9"/>
  <c r="BS22" i="9"/>
  <c r="J22" i="9"/>
  <c r="P22" i="9"/>
  <c r="U22" i="9"/>
  <c r="Z22" i="9"/>
  <c r="AF22" i="9"/>
  <c r="AK22" i="9"/>
  <c r="AP22" i="9"/>
  <c r="AV22" i="9"/>
  <c r="BA22" i="9"/>
  <c r="BF22" i="9"/>
  <c r="BL22" i="9"/>
  <c r="BQ22" i="9"/>
  <c r="J29" i="9"/>
  <c r="N29" i="9"/>
  <c r="R29" i="9"/>
  <c r="V29" i="9"/>
  <c r="Z29" i="9"/>
  <c r="AD29" i="9"/>
  <c r="AH29" i="9"/>
  <c r="AL29" i="9"/>
  <c r="AP29" i="9"/>
  <c r="AT29" i="9"/>
  <c r="AX29" i="9"/>
  <c r="BB29" i="9"/>
  <c r="BF29" i="9"/>
  <c r="BJ29" i="9"/>
  <c r="BN29" i="9"/>
  <c r="BR29" i="9"/>
  <c r="L22" i="9"/>
  <c r="Q22" i="9"/>
  <c r="V22" i="9"/>
  <c r="AB22" i="9"/>
  <c r="AG22" i="9"/>
  <c r="AL22" i="9"/>
  <c r="AR22" i="9"/>
  <c r="AW22" i="9"/>
  <c r="BB22" i="9"/>
  <c r="BH22" i="9"/>
  <c r="BM22" i="9"/>
  <c r="BR22" i="9"/>
  <c r="BR31" i="9" s="1"/>
  <c r="BR32" i="9" s="1"/>
  <c r="BR33" i="9" s="1"/>
  <c r="K29" i="9"/>
  <c r="O29" i="9"/>
  <c r="S29" i="9"/>
  <c r="W29" i="9"/>
  <c r="AA29" i="9"/>
  <c r="AE29" i="9"/>
  <c r="AI29" i="9"/>
  <c r="AM29" i="9"/>
  <c r="AQ29" i="9"/>
  <c r="AU29" i="9"/>
  <c r="AY29" i="9"/>
  <c r="BC29" i="9"/>
  <c r="BG29" i="9"/>
  <c r="BK29" i="9"/>
  <c r="BO29" i="9"/>
  <c r="BS29" i="9"/>
  <c r="H22" i="9"/>
  <c r="M22" i="9"/>
  <c r="R22" i="9"/>
  <c r="X22" i="9"/>
  <c r="AC22" i="9"/>
  <c r="AH22" i="9"/>
  <c r="AN22" i="9"/>
  <c r="AS22" i="9"/>
  <c r="AX22" i="9"/>
  <c r="BD22" i="9"/>
  <c r="BI22" i="9"/>
  <c r="BN22" i="9"/>
  <c r="H29" i="9"/>
  <c r="L29" i="9"/>
  <c r="P29" i="9"/>
  <c r="T29" i="9"/>
  <c r="X29" i="9"/>
  <c r="AB29" i="9"/>
  <c r="AF29" i="9"/>
  <c r="AJ29" i="9"/>
  <c r="AN29" i="9"/>
  <c r="AR29" i="9"/>
  <c r="AV29" i="9"/>
  <c r="AZ29" i="9"/>
  <c r="BD29" i="9"/>
  <c r="BH29" i="9"/>
  <c r="BL29" i="9"/>
  <c r="BP29" i="9"/>
  <c r="T22" i="9"/>
  <c r="AO22" i="9"/>
  <c r="BJ22" i="9"/>
  <c r="M29" i="9"/>
  <c r="AC29" i="9"/>
  <c r="AS29" i="9"/>
  <c r="BI29" i="9"/>
  <c r="J33" i="10"/>
  <c r="J37" i="10"/>
  <c r="T39" i="10"/>
  <c r="U39" i="10" s="1"/>
  <c r="J41" i="10"/>
  <c r="T43" i="10"/>
  <c r="U43" i="10" s="1"/>
  <c r="J45" i="10"/>
  <c r="T47" i="10"/>
  <c r="U47" i="10" s="1"/>
  <c r="J49" i="10"/>
  <c r="T51" i="10"/>
  <c r="U51" i="10" s="1"/>
  <c r="J53" i="10"/>
  <c r="T55" i="10"/>
  <c r="U55" i="10" s="1"/>
  <c r="J57" i="10"/>
  <c r="T59" i="10"/>
  <c r="U59" i="10" s="1"/>
  <c r="J61" i="10"/>
  <c r="T63" i="10"/>
  <c r="U63" i="10" s="1"/>
  <c r="J65" i="10"/>
  <c r="T67" i="10"/>
  <c r="U67" i="10" s="1"/>
  <c r="J69" i="10"/>
  <c r="T71" i="10"/>
  <c r="U71" i="10" s="1"/>
  <c r="J73" i="10"/>
  <c r="T75" i="10"/>
  <c r="U75" i="10" s="1"/>
  <c r="J77" i="10"/>
  <c r="Y22" i="9"/>
  <c r="AT22" i="9"/>
  <c r="BP22" i="9"/>
  <c r="BP31" i="9" s="1"/>
  <c r="BP32" i="9" s="1"/>
  <c r="BP33" i="9" s="1"/>
  <c r="Q29" i="9"/>
  <c r="AG29" i="9"/>
  <c r="AW29" i="9"/>
  <c r="BM29" i="9"/>
  <c r="J32" i="10"/>
  <c r="J36" i="10"/>
  <c r="T38" i="10"/>
  <c r="U38" i="10" s="1"/>
  <c r="J40" i="10"/>
  <c r="T42" i="10"/>
  <c r="U42" i="10" s="1"/>
  <c r="J44" i="10"/>
  <c r="T46" i="10"/>
  <c r="U46" i="10" s="1"/>
  <c r="J48" i="10"/>
  <c r="T50" i="10"/>
  <c r="U50" i="10" s="1"/>
  <c r="J52" i="10"/>
  <c r="T54" i="10"/>
  <c r="U54" i="10" s="1"/>
  <c r="J56" i="10"/>
  <c r="T58" i="10"/>
  <c r="U58" i="10" s="1"/>
  <c r="J60" i="10"/>
  <c r="T62" i="10"/>
  <c r="U62" i="10" s="1"/>
  <c r="J64" i="10"/>
  <c r="T66" i="10"/>
  <c r="U66" i="10" s="1"/>
  <c r="J68" i="10"/>
  <c r="T70" i="10"/>
  <c r="U70" i="10" s="1"/>
  <c r="J72" i="10"/>
  <c r="T74" i="10"/>
  <c r="U74" i="10" s="1"/>
  <c r="I22" i="9"/>
  <c r="AD22" i="9"/>
  <c r="AZ22" i="9"/>
  <c r="AZ31" i="9" s="1"/>
  <c r="AZ32" i="9" s="1"/>
  <c r="AZ33" i="9" s="1"/>
  <c r="U29" i="9"/>
  <c r="AK29" i="9"/>
  <c r="BA29" i="9"/>
  <c r="BQ29" i="9"/>
  <c r="J35" i="10"/>
  <c r="T37" i="10"/>
  <c r="U37" i="10" s="1"/>
  <c r="J39" i="10"/>
  <c r="T41" i="10"/>
  <c r="U41" i="10" s="1"/>
  <c r="J43" i="10"/>
  <c r="T45" i="10"/>
  <c r="U45" i="10" s="1"/>
  <c r="J47" i="10"/>
  <c r="T49" i="10"/>
  <c r="U49" i="10" s="1"/>
  <c r="J51" i="10"/>
  <c r="T53" i="10"/>
  <c r="U53" i="10" s="1"/>
  <c r="J55" i="10"/>
  <c r="T57" i="10"/>
  <c r="U57" i="10" s="1"/>
  <c r="J59" i="10"/>
  <c r="T61" i="10"/>
  <c r="U61" i="10" s="1"/>
  <c r="J63" i="10"/>
  <c r="T65" i="10"/>
  <c r="U65" i="10" s="1"/>
  <c r="J67" i="10"/>
  <c r="N22" i="9"/>
  <c r="AJ22" i="9"/>
  <c r="BE22" i="9"/>
  <c r="I29" i="9"/>
  <c r="Y29" i="9"/>
  <c r="AO29" i="9"/>
  <c r="BE29" i="9"/>
  <c r="J34" i="10"/>
  <c r="J38" i="10"/>
  <c r="T40" i="10"/>
  <c r="U40" i="10" s="1"/>
  <c r="J42" i="10"/>
  <c r="T44" i="10"/>
  <c r="U44" i="10" s="1"/>
  <c r="J46" i="10"/>
  <c r="J50" i="10"/>
  <c r="T52" i="10"/>
  <c r="U52" i="10" s="1"/>
  <c r="J58" i="10"/>
  <c r="T60" i="10"/>
  <c r="U60" i="10" s="1"/>
  <c r="J66" i="10"/>
  <c r="T73" i="10"/>
  <c r="U73" i="10" s="1"/>
  <c r="J74" i="10"/>
  <c r="J76" i="10"/>
  <c r="T76" i="10"/>
  <c r="U76" i="10" s="1"/>
  <c r="J79" i="10"/>
  <c r="T81" i="10"/>
  <c r="U81" i="10" s="1"/>
  <c r="J83" i="10"/>
  <c r="T85" i="10"/>
  <c r="U85" i="10" s="1"/>
  <c r="J87" i="10"/>
  <c r="T89" i="10"/>
  <c r="U89" i="10" s="1"/>
  <c r="J91" i="10"/>
  <c r="J93" i="10"/>
  <c r="J95" i="10"/>
  <c r="J97" i="10"/>
  <c r="J99" i="10"/>
  <c r="T94" i="10"/>
  <c r="U94" i="10" s="1"/>
  <c r="T68" i="10"/>
  <c r="U68" i="10" s="1"/>
  <c r="T77" i="10"/>
  <c r="U77" i="10" s="1"/>
  <c r="T80" i="10"/>
  <c r="U80" i="10" s="1"/>
  <c r="J82" i="10"/>
  <c r="T84" i="10"/>
  <c r="U84" i="10" s="1"/>
  <c r="J86" i="10"/>
  <c r="T88" i="10"/>
  <c r="U88" i="10" s="1"/>
  <c r="J90" i="10"/>
  <c r="T91" i="10"/>
  <c r="U91" i="10" s="1"/>
  <c r="T93" i="10"/>
  <c r="U93" i="10" s="1"/>
  <c r="T95" i="10"/>
  <c r="U95" i="10" s="1"/>
  <c r="T97" i="10"/>
  <c r="U97" i="10" s="1"/>
  <c r="T99" i="10"/>
  <c r="U99" i="10" s="1"/>
  <c r="J84" i="10"/>
  <c r="T48" i="10"/>
  <c r="U48" i="10" s="1"/>
  <c r="J54" i="10"/>
  <c r="T56" i="10"/>
  <c r="U56" i="10" s="1"/>
  <c r="J62" i="10"/>
  <c r="T64" i="10"/>
  <c r="U64" i="10" s="1"/>
  <c r="J71" i="10"/>
  <c r="T72" i="10"/>
  <c r="U72" i="10" s="1"/>
  <c r="J78" i="10"/>
  <c r="T79" i="10"/>
  <c r="U79" i="10" s="1"/>
  <c r="J81" i="10"/>
  <c r="T83" i="10"/>
  <c r="U83" i="10" s="1"/>
  <c r="J85" i="10"/>
  <c r="T87" i="10"/>
  <c r="U87" i="10" s="1"/>
  <c r="J89" i="10"/>
  <c r="J92" i="10"/>
  <c r="J94" i="10"/>
  <c r="J96" i="10"/>
  <c r="J98" i="10"/>
  <c r="J88" i="10"/>
  <c r="T96" i="10"/>
  <c r="U96" i="10" s="1"/>
  <c r="T98" i="10"/>
  <c r="U98" i="10" s="1"/>
  <c r="T69" i="10"/>
  <c r="U69" i="10" s="1"/>
  <c r="J70" i="10"/>
  <c r="J75" i="10"/>
  <c r="T78" i="10"/>
  <c r="U78" i="10" s="1"/>
  <c r="J80" i="10"/>
  <c r="T82" i="10"/>
  <c r="U82" i="10" s="1"/>
  <c r="T86" i="10"/>
  <c r="U86" i="10" s="1"/>
  <c r="T90" i="10"/>
  <c r="U90" i="10" s="1"/>
  <c r="T92" i="10"/>
  <c r="U92" i="10" s="1"/>
  <c r="F74" i="5"/>
  <c r="E25" i="5"/>
  <c r="D20" i="6" s="1"/>
  <c r="AH31" i="9" l="1"/>
  <c r="AH32" i="9" s="1"/>
  <c r="AH33" i="9" s="1"/>
  <c r="BB31" i="9"/>
  <c r="BB32" i="9" s="1"/>
  <c r="BB33" i="9" s="1"/>
  <c r="BN31" i="9"/>
  <c r="BN32" i="9" s="1"/>
  <c r="BN33" i="9" s="1"/>
  <c r="R31" i="9"/>
  <c r="R32" i="9" s="1"/>
  <c r="R33" i="9" s="1"/>
  <c r="AT31" i="9"/>
  <c r="AT32" i="9" s="1"/>
  <c r="AT33" i="9" s="1"/>
  <c r="BJ31" i="9"/>
  <c r="BJ32" i="9" s="1"/>
  <c r="BJ33" i="9" s="1"/>
  <c r="AD31" i="9"/>
  <c r="AD32" i="9" s="1"/>
  <c r="AD33" i="9" s="1"/>
  <c r="N31" i="9"/>
  <c r="N32" i="9" s="1"/>
  <c r="N33" i="9" s="1"/>
  <c r="AX31" i="9"/>
  <c r="AX32" i="9" s="1"/>
  <c r="AX33" i="9" s="1"/>
  <c r="V31" i="9"/>
  <c r="V32" i="9" s="1"/>
  <c r="V33" i="9" s="1"/>
  <c r="AL31" i="9"/>
  <c r="AL32" i="9" s="1"/>
  <c r="AL33" i="9" s="1"/>
  <c r="AJ31" i="9"/>
  <c r="AJ32" i="9" s="1"/>
  <c r="AJ33" i="9" s="1"/>
  <c r="H20" i="6"/>
  <c r="E20" i="6"/>
  <c r="I20" i="6" s="1"/>
  <c r="Y31" i="9"/>
  <c r="Y32" i="9" s="1"/>
  <c r="Y33" i="9" s="1"/>
  <c r="K33" i="10"/>
  <c r="AC31" i="9"/>
  <c r="AC32" i="9" s="1"/>
  <c r="AC33" i="9" s="1"/>
  <c r="H31" i="9"/>
  <c r="H32" i="9" s="1"/>
  <c r="H33" i="9" s="1"/>
  <c r="BH31" i="9"/>
  <c r="BH32" i="9" s="1"/>
  <c r="BH33" i="9" s="1"/>
  <c r="Q31" i="9"/>
  <c r="Q32" i="9" s="1"/>
  <c r="Q33" i="9" s="1"/>
  <c r="BQ31" i="9"/>
  <c r="BQ32" i="9" s="1"/>
  <c r="BQ33" i="9" s="1"/>
  <c r="AV31" i="9"/>
  <c r="AV32" i="9" s="1"/>
  <c r="AV33" i="9" s="1"/>
  <c r="Z31" i="9"/>
  <c r="Z32" i="9" s="1"/>
  <c r="Z33" i="9" s="1"/>
  <c r="BG31" i="9"/>
  <c r="BG32" i="9" s="1"/>
  <c r="BG33" i="9" s="1"/>
  <c r="AQ31" i="9"/>
  <c r="AQ32" i="9" s="1"/>
  <c r="AQ33" i="9" s="1"/>
  <c r="AA31" i="9"/>
  <c r="AA32" i="9" s="1"/>
  <c r="AA33" i="9" s="1"/>
  <c r="K31" i="9"/>
  <c r="K32" i="9" s="1"/>
  <c r="K33" i="9" s="1"/>
  <c r="E46" i="6"/>
  <c r="H76" i="5"/>
  <c r="E74" i="5"/>
  <c r="F19" i="13"/>
  <c r="AS31" i="9"/>
  <c r="AS32" i="9" s="1"/>
  <c r="AS33" i="9" s="1"/>
  <c r="X31" i="9"/>
  <c r="X32" i="9" s="1"/>
  <c r="X33" i="9" s="1"/>
  <c r="AG31" i="9"/>
  <c r="AG32" i="9" s="1"/>
  <c r="AG33" i="9" s="1"/>
  <c r="L31" i="9"/>
  <c r="L32" i="9" s="1"/>
  <c r="L33" i="9" s="1"/>
  <c r="BL31" i="9"/>
  <c r="BL32" i="9" s="1"/>
  <c r="BL33" i="9" s="1"/>
  <c r="AP31" i="9"/>
  <c r="AP32" i="9" s="1"/>
  <c r="AP33" i="9" s="1"/>
  <c r="U31" i="9"/>
  <c r="U32" i="9" s="1"/>
  <c r="U33" i="9" s="1"/>
  <c r="BS31" i="9"/>
  <c r="BS32" i="9" s="1"/>
  <c r="BS33" i="9" s="1"/>
  <c r="BC31" i="9"/>
  <c r="BC32" i="9" s="1"/>
  <c r="BC33" i="9" s="1"/>
  <c r="AM31" i="9"/>
  <c r="AM32" i="9" s="1"/>
  <c r="AM33" i="9" s="1"/>
  <c r="W31" i="9"/>
  <c r="W32" i="9" s="1"/>
  <c r="W33" i="9" s="1"/>
  <c r="AO31" i="9"/>
  <c r="AO32" i="9" s="1"/>
  <c r="AO33" i="9" s="1"/>
  <c r="BI31" i="9"/>
  <c r="BI32" i="9" s="1"/>
  <c r="BI33" i="9" s="1"/>
  <c r="AN31" i="9"/>
  <c r="AN32" i="9" s="1"/>
  <c r="AN33" i="9" s="1"/>
  <c r="AW31" i="9"/>
  <c r="AW32" i="9" s="1"/>
  <c r="AW33" i="9" s="1"/>
  <c r="AB31" i="9"/>
  <c r="AB32" i="9" s="1"/>
  <c r="AB33" i="9" s="1"/>
  <c r="BF31" i="9"/>
  <c r="BF32" i="9" s="1"/>
  <c r="BF33" i="9" s="1"/>
  <c r="AK31" i="9"/>
  <c r="AK32" i="9" s="1"/>
  <c r="AK33" i="9" s="1"/>
  <c r="P31" i="9"/>
  <c r="P32" i="9" s="1"/>
  <c r="P33" i="9" s="1"/>
  <c r="BO31" i="9"/>
  <c r="BO32" i="9" s="1"/>
  <c r="BO33" i="9" s="1"/>
  <c r="AY31" i="9"/>
  <c r="AY32" i="9" s="1"/>
  <c r="AY33" i="9" s="1"/>
  <c r="AI31" i="9"/>
  <c r="AI32" i="9" s="1"/>
  <c r="AI33" i="9" s="1"/>
  <c r="S31" i="9"/>
  <c r="S32" i="9" s="1"/>
  <c r="S33" i="9" s="1"/>
  <c r="BE31" i="9"/>
  <c r="BE32" i="9" s="1"/>
  <c r="BE33" i="9" s="1"/>
  <c r="I31" i="9"/>
  <c r="I32" i="9" s="1"/>
  <c r="I33" i="9" s="1"/>
  <c r="T31" i="9"/>
  <c r="T32" i="9" s="1"/>
  <c r="T33" i="9" s="1"/>
  <c r="BD31" i="9"/>
  <c r="BD32" i="9" s="1"/>
  <c r="BD33" i="9" s="1"/>
  <c r="M31" i="9"/>
  <c r="M32" i="9" s="1"/>
  <c r="M33" i="9" s="1"/>
  <c r="BM31" i="9"/>
  <c r="BM32" i="9" s="1"/>
  <c r="BM33" i="9" s="1"/>
  <c r="AR31" i="9"/>
  <c r="AR32" i="9" s="1"/>
  <c r="AR33" i="9" s="1"/>
  <c r="BA31" i="9"/>
  <c r="BA32" i="9" s="1"/>
  <c r="BA33" i="9" s="1"/>
  <c r="AF31" i="9"/>
  <c r="AF32" i="9" s="1"/>
  <c r="AF33" i="9" s="1"/>
  <c r="J31" i="9"/>
  <c r="J32" i="9" s="1"/>
  <c r="J33" i="9" s="1"/>
  <c r="BK31" i="9"/>
  <c r="BK32" i="9" s="1"/>
  <c r="BK33" i="9" s="1"/>
  <c r="AU31" i="9"/>
  <c r="AU32" i="9" s="1"/>
  <c r="AU33" i="9" s="1"/>
  <c r="AE31" i="9"/>
  <c r="AE32" i="9" s="1"/>
  <c r="AE33" i="9" s="1"/>
  <c r="O31" i="9"/>
  <c r="O32" i="9" s="1"/>
  <c r="O33" i="9" s="1"/>
  <c r="D46" i="6" l="1"/>
  <c r="E19" i="13"/>
  <c r="D90" i="2"/>
  <c r="F76" i="5"/>
  <c r="I76" i="5" s="1"/>
  <c r="I46" i="6"/>
  <c r="I48" i="6" s="1"/>
  <c r="D91" i="2"/>
  <c r="D93" i="2" s="1"/>
  <c r="C26" i="9"/>
  <c r="P14" i="10"/>
  <c r="E17" i="11"/>
  <c r="F23" i="13"/>
  <c r="E17" i="12"/>
  <c r="D95" i="2" l="1"/>
  <c r="F42" i="10"/>
  <c r="K44" i="10" s="1"/>
  <c r="F94" i="10"/>
  <c r="K96" i="10" s="1"/>
  <c r="F34" i="10"/>
  <c r="K36" i="10" s="1"/>
  <c r="F80" i="10"/>
  <c r="K82" i="10" s="1"/>
  <c r="BD18" i="9"/>
  <c r="F88" i="10"/>
  <c r="K90" i="10" s="1"/>
  <c r="I18" i="9"/>
  <c r="F60" i="10"/>
  <c r="K62" i="10" s="1"/>
  <c r="AW18" i="9"/>
  <c r="H18" i="9"/>
  <c r="F65" i="10"/>
  <c r="K67" i="10" s="1"/>
  <c r="AV18" i="9"/>
  <c r="D18" i="9"/>
  <c r="F59" i="10"/>
  <c r="K61" i="10" s="1"/>
  <c r="BA18" i="9"/>
  <c r="U18" i="9"/>
  <c r="F86" i="10"/>
  <c r="K88" i="10" s="1"/>
  <c r="F72" i="10"/>
  <c r="K74" i="10" s="1"/>
  <c r="F50" i="10"/>
  <c r="K52" i="10" s="1"/>
  <c r="F43" i="10"/>
  <c r="K45" i="10" s="1"/>
  <c r="BC18" i="9"/>
  <c r="AM18" i="9"/>
  <c r="W18" i="9"/>
  <c r="G18" i="9"/>
  <c r="F95" i="10"/>
  <c r="K97" i="10" s="1"/>
  <c r="F82" i="10"/>
  <c r="K84" i="10" s="1"/>
  <c r="F69" i="10"/>
  <c r="K71" i="10" s="1"/>
  <c r="F56" i="10"/>
  <c r="K58" i="10" s="1"/>
  <c r="F37" i="10"/>
  <c r="K39" i="10" s="1"/>
  <c r="AX18" i="9"/>
  <c r="AH18" i="9"/>
  <c r="R18" i="9"/>
  <c r="F41" i="10"/>
  <c r="K43" i="10" s="1"/>
  <c r="F74" i="10"/>
  <c r="K76" i="10" s="1"/>
  <c r="F32" i="10"/>
  <c r="F75" i="10"/>
  <c r="K77" i="10" s="1"/>
  <c r="AG18" i="9"/>
  <c r="F83" i="10"/>
  <c r="K85" i="10" s="1"/>
  <c r="F52" i="10"/>
  <c r="K54" i="10" s="1"/>
  <c r="AN18" i="9"/>
  <c r="F79" i="10"/>
  <c r="K81" i="10" s="1"/>
  <c r="F64" i="10"/>
  <c r="K66" i="10" s="1"/>
  <c r="AJ18" i="9"/>
  <c r="F98" i="10"/>
  <c r="F53" i="10"/>
  <c r="K55" i="10" s="1"/>
  <c r="AS18" i="9"/>
  <c r="M18" i="9"/>
  <c r="F85" i="10"/>
  <c r="K87" i="10" s="1"/>
  <c r="F68" i="10"/>
  <c r="K70" i="10" s="1"/>
  <c r="F49" i="10"/>
  <c r="K51" i="10" s="1"/>
  <c r="F36" i="10"/>
  <c r="K38" i="10" s="1"/>
  <c r="AY18" i="9"/>
  <c r="AI18" i="9"/>
  <c r="S18" i="9"/>
  <c r="C18" i="9"/>
  <c r="F93" i="10"/>
  <c r="K95" i="10" s="1"/>
  <c r="F78" i="10"/>
  <c r="K80" i="10" s="1"/>
  <c r="F62" i="10"/>
  <c r="K64" i="10" s="1"/>
  <c r="F55" i="10"/>
  <c r="K57" i="10" s="1"/>
  <c r="BJ18" i="9"/>
  <c r="AT18" i="9"/>
  <c r="AD18" i="9"/>
  <c r="N18" i="9"/>
  <c r="D106" i="2"/>
  <c r="F40" i="10"/>
  <c r="K42" i="10" s="1"/>
  <c r="AR18" i="9"/>
  <c r="T18" i="9"/>
  <c r="F45" i="10"/>
  <c r="K47" i="10" s="1"/>
  <c r="L18" i="9"/>
  <c r="AZ18" i="9"/>
  <c r="F96" i="10"/>
  <c r="K98" i="10" s="1"/>
  <c r="F46" i="10"/>
  <c r="K48" i="10" s="1"/>
  <c r="AB18" i="9"/>
  <c r="F71" i="10"/>
  <c r="K73" i="10" s="1"/>
  <c r="F63" i="10"/>
  <c r="K65" i="10" s="1"/>
  <c r="Y18" i="9"/>
  <c r="F84" i="10"/>
  <c r="K86" i="10" s="1"/>
  <c r="F38" i="10"/>
  <c r="K40" i="10" s="1"/>
  <c r="AK18" i="9"/>
  <c r="E18" i="9"/>
  <c r="F81" i="10"/>
  <c r="K83" i="10" s="1"/>
  <c r="F61" i="10"/>
  <c r="K63" i="10" s="1"/>
  <c r="F48" i="10"/>
  <c r="K50" i="10" s="1"/>
  <c r="F33" i="10"/>
  <c r="K35" i="10" s="1"/>
  <c r="AU18" i="9"/>
  <c r="X18" i="9"/>
  <c r="F66" i="10"/>
  <c r="K68" i="10" s="1"/>
  <c r="BI18" i="9"/>
  <c r="F54" i="10"/>
  <c r="K56" i="10" s="1"/>
  <c r="AE18" i="9"/>
  <c r="F99" i="10"/>
  <c r="F77" i="10"/>
  <c r="K79" i="10" s="1"/>
  <c r="F51" i="10"/>
  <c r="K53" i="10" s="1"/>
  <c r="AP18" i="9"/>
  <c r="J18" i="9"/>
  <c r="F67" i="10"/>
  <c r="K69" i="10" s="1"/>
  <c r="F35" i="10"/>
  <c r="K37" i="10" s="1"/>
  <c r="F89" i="10"/>
  <c r="K91" i="10" s="1"/>
  <c r="BE18" i="9"/>
  <c r="AC18" i="9"/>
  <c r="F47" i="10"/>
  <c r="K49" i="10" s="1"/>
  <c r="AA18" i="9"/>
  <c r="F97" i="10"/>
  <c r="K99" i="10" s="1"/>
  <c r="F73" i="10"/>
  <c r="K75" i="10" s="1"/>
  <c r="F44" i="10"/>
  <c r="K46" i="10" s="1"/>
  <c r="AL18" i="9"/>
  <c r="F18" i="9"/>
  <c r="F39" i="10"/>
  <c r="K41" i="10" s="1"/>
  <c r="F92" i="10"/>
  <c r="K94" i="10" s="1"/>
  <c r="BH18" i="9"/>
  <c r="P18" i="9"/>
  <c r="F90" i="10"/>
  <c r="K92" i="10" s="1"/>
  <c r="BG18" i="9"/>
  <c r="O18" i="9"/>
  <c r="F91" i="10"/>
  <c r="K93" i="10" s="1"/>
  <c r="F58" i="10"/>
  <c r="K60" i="10" s="1"/>
  <c r="BF18" i="9"/>
  <c r="Z18" i="9"/>
  <c r="AO18" i="9"/>
  <c r="AF18" i="9"/>
  <c r="Q18" i="9"/>
  <c r="F70" i="10"/>
  <c r="K72" i="10" s="1"/>
  <c r="F76" i="10"/>
  <c r="K78" i="10" s="1"/>
  <c r="AQ18" i="9"/>
  <c r="K18" i="9"/>
  <c r="F87" i="10"/>
  <c r="K89" i="10" s="1"/>
  <c r="F57" i="10"/>
  <c r="K59" i="10" s="1"/>
  <c r="BB18" i="9"/>
  <c r="V18" i="9"/>
  <c r="H32" i="10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G74" i="5"/>
  <c r="H46" i="6"/>
  <c r="D17" i="12"/>
  <c r="D17" i="11"/>
  <c r="E23" i="13"/>
  <c r="BL25" i="9"/>
  <c r="BP25" i="9"/>
  <c r="BM25" i="9"/>
  <c r="BQ25" i="9"/>
  <c r="BN25" i="9"/>
  <c r="BR25" i="9"/>
  <c r="BO25" i="9"/>
  <c r="BS25" i="9"/>
  <c r="BK25" i="9"/>
  <c r="E27" i="9"/>
  <c r="E25" i="9" s="1"/>
  <c r="I27" i="9"/>
  <c r="I25" i="9" s="1"/>
  <c r="M27" i="9"/>
  <c r="M25" i="9" s="1"/>
  <c r="Q27" i="9"/>
  <c r="Q25" i="9" s="1"/>
  <c r="U27" i="9"/>
  <c r="U25" i="9" s="1"/>
  <c r="Y27" i="9"/>
  <c r="Y25" i="9" s="1"/>
  <c r="AC27" i="9"/>
  <c r="AC25" i="9" s="1"/>
  <c r="AG27" i="9"/>
  <c r="AG25" i="9" s="1"/>
  <c r="AK27" i="9"/>
  <c r="AK25" i="9" s="1"/>
  <c r="AO27" i="9"/>
  <c r="AO25" i="9" s="1"/>
  <c r="AS27" i="9"/>
  <c r="AS25" i="9" s="1"/>
  <c r="AW27" i="9"/>
  <c r="AW25" i="9" s="1"/>
  <c r="BA27" i="9"/>
  <c r="BA25" i="9" s="1"/>
  <c r="BE27" i="9"/>
  <c r="BE25" i="9" s="1"/>
  <c r="BI27" i="9"/>
  <c r="BI25" i="9" s="1"/>
  <c r="F27" i="9"/>
  <c r="F25" i="9" s="1"/>
  <c r="J27" i="9"/>
  <c r="J25" i="9" s="1"/>
  <c r="N27" i="9"/>
  <c r="N25" i="9" s="1"/>
  <c r="R27" i="9"/>
  <c r="R25" i="9" s="1"/>
  <c r="V27" i="9"/>
  <c r="V25" i="9" s="1"/>
  <c r="Z27" i="9"/>
  <c r="Z25" i="9" s="1"/>
  <c r="AD27" i="9"/>
  <c r="AD25" i="9" s="1"/>
  <c r="AH27" i="9"/>
  <c r="AH25" i="9" s="1"/>
  <c r="AL27" i="9"/>
  <c r="AL25" i="9" s="1"/>
  <c r="AP27" i="9"/>
  <c r="AP25" i="9" s="1"/>
  <c r="AT27" i="9"/>
  <c r="AT25" i="9" s="1"/>
  <c r="AX27" i="9"/>
  <c r="AX25" i="9" s="1"/>
  <c r="BB27" i="9"/>
  <c r="BB25" i="9" s="1"/>
  <c r="BF27" i="9"/>
  <c r="BF25" i="9" s="1"/>
  <c r="BJ27" i="9"/>
  <c r="BJ25" i="9" s="1"/>
  <c r="C27" i="9"/>
  <c r="G27" i="9"/>
  <c r="G25" i="9" s="1"/>
  <c r="K27" i="9"/>
  <c r="K25" i="9" s="1"/>
  <c r="O27" i="9"/>
  <c r="O25" i="9" s="1"/>
  <c r="S27" i="9"/>
  <c r="S25" i="9" s="1"/>
  <c r="W27" i="9"/>
  <c r="W25" i="9" s="1"/>
  <c r="AA27" i="9"/>
  <c r="AA25" i="9" s="1"/>
  <c r="AE27" i="9"/>
  <c r="AE25" i="9" s="1"/>
  <c r="AI27" i="9"/>
  <c r="AI25" i="9" s="1"/>
  <c r="AM27" i="9"/>
  <c r="AM25" i="9" s="1"/>
  <c r="AQ27" i="9"/>
  <c r="AQ25" i="9" s="1"/>
  <c r="AU27" i="9"/>
  <c r="AU25" i="9" s="1"/>
  <c r="AY27" i="9"/>
  <c r="AY25" i="9" s="1"/>
  <c r="BC27" i="9"/>
  <c r="BC25" i="9" s="1"/>
  <c r="BG27" i="9"/>
  <c r="BG25" i="9" s="1"/>
  <c r="L27" i="9"/>
  <c r="L25" i="9" s="1"/>
  <c r="AB27" i="9"/>
  <c r="AB25" i="9" s="1"/>
  <c r="AR27" i="9"/>
  <c r="AR25" i="9" s="1"/>
  <c r="BH27" i="9"/>
  <c r="BH25" i="9" s="1"/>
  <c r="G41" i="9"/>
  <c r="P15" i="10"/>
  <c r="Q32" i="10"/>
  <c r="Q36" i="10"/>
  <c r="Q40" i="10"/>
  <c r="Q44" i="10"/>
  <c r="Q48" i="10"/>
  <c r="Q52" i="10"/>
  <c r="Q56" i="10"/>
  <c r="Q60" i="10"/>
  <c r="Q64" i="10"/>
  <c r="Q68" i="10"/>
  <c r="Q72" i="10"/>
  <c r="Q76" i="10"/>
  <c r="P27" i="9"/>
  <c r="P25" i="9" s="1"/>
  <c r="AF27" i="9"/>
  <c r="AF25" i="9" s="1"/>
  <c r="AV27" i="9"/>
  <c r="AV25" i="9" s="1"/>
  <c r="Q35" i="10"/>
  <c r="Q39" i="10"/>
  <c r="Q43" i="10"/>
  <c r="Q47" i="10"/>
  <c r="Q51" i="10"/>
  <c r="Q55" i="10"/>
  <c r="Q59" i="10"/>
  <c r="Q63" i="10"/>
  <c r="Q67" i="10"/>
  <c r="Q71" i="10"/>
  <c r="Q75" i="10"/>
  <c r="D27" i="9"/>
  <c r="D25" i="9" s="1"/>
  <c r="T27" i="9"/>
  <c r="T25" i="9" s="1"/>
  <c r="AJ27" i="9"/>
  <c r="AJ25" i="9" s="1"/>
  <c r="AZ27" i="9"/>
  <c r="AZ25" i="9" s="1"/>
  <c r="Q34" i="10"/>
  <c r="Q38" i="10"/>
  <c r="Q42" i="10"/>
  <c r="Q46" i="10"/>
  <c r="Q50" i="10"/>
  <c r="Q54" i="10"/>
  <c r="Q58" i="10"/>
  <c r="Q62" i="10"/>
  <c r="Q66" i="10"/>
  <c r="H27" i="9"/>
  <c r="H25" i="9" s="1"/>
  <c r="X27" i="9"/>
  <c r="X25" i="9" s="1"/>
  <c r="AN27" i="9"/>
  <c r="AN25" i="9" s="1"/>
  <c r="BD27" i="9"/>
  <c r="BD25" i="9" s="1"/>
  <c r="Q33" i="10"/>
  <c r="Q37" i="10"/>
  <c r="Q41" i="10"/>
  <c r="Q45" i="10"/>
  <c r="Q78" i="10"/>
  <c r="Q82" i="10"/>
  <c r="Q86" i="10"/>
  <c r="Q90" i="10"/>
  <c r="Q95" i="10"/>
  <c r="Q97" i="10"/>
  <c r="Q53" i="10"/>
  <c r="Q61" i="10"/>
  <c r="Q69" i="10"/>
  <c r="Q81" i="10"/>
  <c r="Q85" i="10"/>
  <c r="Q89" i="10"/>
  <c r="Q92" i="10"/>
  <c r="Q94" i="10"/>
  <c r="Q96" i="10"/>
  <c r="Q98" i="10"/>
  <c r="S104" i="10"/>
  <c r="Q70" i="10"/>
  <c r="Q73" i="10"/>
  <c r="Q77" i="10"/>
  <c r="Q80" i="10"/>
  <c r="Q84" i="10"/>
  <c r="Q88" i="10"/>
  <c r="Q79" i="10"/>
  <c r="Q83" i="10"/>
  <c r="Q93" i="10"/>
  <c r="Q99" i="10"/>
  <c r="Q49" i="10"/>
  <c r="Q57" i="10"/>
  <c r="Q65" i="10"/>
  <c r="Q74" i="10"/>
  <c r="Q87" i="10"/>
  <c r="Q91" i="10"/>
  <c r="BT18" i="9" l="1"/>
  <c r="F101" i="10"/>
  <c r="K34" i="10"/>
  <c r="P22" i="10"/>
  <c r="F106" i="2"/>
  <c r="Q101" i="10"/>
  <c r="C29" i="9"/>
  <c r="C25" i="9"/>
  <c r="BT25" i="9" s="1"/>
  <c r="BT27" i="9"/>
  <c r="F46" i="6"/>
  <c r="E48" i="6" s="1"/>
  <c r="E21" i="13"/>
  <c r="K102" i="10" l="1"/>
  <c r="E27" i="10"/>
  <c r="R22" i="10"/>
  <c r="E31" i="10"/>
  <c r="C21" i="9"/>
  <c r="D29" i="9"/>
  <c r="BT21" i="9" l="1"/>
  <c r="P31" i="10"/>
  <c r="E101" i="10"/>
  <c r="N102" i="10" s="1"/>
  <c r="L32" i="10"/>
  <c r="M32" i="10" s="1"/>
  <c r="L75" i="10"/>
  <c r="M75" i="10" s="1"/>
  <c r="L85" i="10"/>
  <c r="M85" i="10" s="1"/>
  <c r="L63" i="10"/>
  <c r="M63" i="10" s="1"/>
  <c r="L47" i="10"/>
  <c r="M47" i="10" s="1"/>
  <c r="L65" i="10"/>
  <c r="M65" i="10" s="1"/>
  <c r="L49" i="10"/>
  <c r="M49" i="10" s="1"/>
  <c r="L33" i="10"/>
  <c r="M33" i="10" s="1"/>
  <c r="L92" i="10"/>
  <c r="M92" i="10" s="1"/>
  <c r="L98" i="10"/>
  <c r="M98" i="10" s="1"/>
  <c r="L81" i="10"/>
  <c r="M81" i="10" s="1"/>
  <c r="L67" i="10"/>
  <c r="M67" i="10" s="1"/>
  <c r="L51" i="10"/>
  <c r="M51" i="10" s="1"/>
  <c r="L94" i="10"/>
  <c r="M94" i="10" s="1"/>
  <c r="L57" i="10"/>
  <c r="M57" i="10" s="1"/>
  <c r="L72" i="10"/>
  <c r="M72" i="10" s="1"/>
  <c r="L90" i="10"/>
  <c r="M90" i="10" s="1"/>
  <c r="L59" i="10"/>
  <c r="M59" i="10" s="1"/>
  <c r="L96" i="10"/>
  <c r="M96" i="10" s="1"/>
  <c r="L39" i="10"/>
  <c r="M39" i="10" s="1"/>
  <c r="L93" i="10"/>
  <c r="M93" i="10" s="1"/>
  <c r="L77" i="10"/>
  <c r="M77" i="10" s="1"/>
  <c r="L45" i="10"/>
  <c r="M45" i="10" s="1"/>
  <c r="L91" i="10"/>
  <c r="M91" i="10" s="1"/>
  <c r="L52" i="10"/>
  <c r="M52" i="10" s="1"/>
  <c r="L88" i="10"/>
  <c r="M88" i="10" s="1"/>
  <c r="L62" i="10"/>
  <c r="M62" i="10" s="1"/>
  <c r="L86" i="10"/>
  <c r="M86" i="10" s="1"/>
  <c r="L74" i="10"/>
  <c r="M74" i="10" s="1"/>
  <c r="L95" i="10"/>
  <c r="M95" i="10" s="1"/>
  <c r="L79" i="10"/>
  <c r="M79" i="10" s="1"/>
  <c r="L34" i="10"/>
  <c r="M34" i="10" s="1"/>
  <c r="L64" i="10"/>
  <c r="M64" i="10" s="1"/>
  <c r="L48" i="10"/>
  <c r="M48" i="10" s="1"/>
  <c r="L54" i="10"/>
  <c r="M54" i="10" s="1"/>
  <c r="L82" i="10"/>
  <c r="M82" i="10" s="1"/>
  <c r="L66" i="10"/>
  <c r="M66" i="10" s="1"/>
  <c r="L35" i="10"/>
  <c r="M35" i="10" s="1"/>
  <c r="L69" i="10"/>
  <c r="M69" i="10" s="1"/>
  <c r="L53" i="10"/>
  <c r="M53" i="10" s="1"/>
  <c r="L37" i="10"/>
  <c r="M37" i="10" s="1"/>
  <c r="L99" i="10"/>
  <c r="M99" i="10" s="1"/>
  <c r="L83" i="10"/>
  <c r="M83" i="10" s="1"/>
  <c r="L46" i="10"/>
  <c r="M46" i="10" s="1"/>
  <c r="L60" i="10"/>
  <c r="M60" i="10" s="1"/>
  <c r="L44" i="10"/>
  <c r="M44" i="10" s="1"/>
  <c r="L55" i="10"/>
  <c r="M55" i="10" s="1"/>
  <c r="L73" i="10"/>
  <c r="M73" i="10" s="1"/>
  <c r="L41" i="10"/>
  <c r="M41" i="10" s="1"/>
  <c r="L89" i="10"/>
  <c r="M89" i="10" s="1"/>
  <c r="L71" i="10"/>
  <c r="M71" i="10" s="1"/>
  <c r="L43" i="10"/>
  <c r="M43" i="10" s="1"/>
  <c r="L76" i="10"/>
  <c r="M76" i="10" s="1"/>
  <c r="L78" i="10"/>
  <c r="M78" i="10" s="1"/>
  <c r="L84" i="10"/>
  <c r="M84" i="10" s="1"/>
  <c r="L97" i="10"/>
  <c r="M97" i="10" s="1"/>
  <c r="L58" i="10"/>
  <c r="M58" i="10" s="1"/>
  <c r="L87" i="10"/>
  <c r="M87" i="10" s="1"/>
  <c r="L42" i="10"/>
  <c r="M42" i="10" s="1"/>
  <c r="L56" i="10"/>
  <c r="M56" i="10" s="1"/>
  <c r="L40" i="10"/>
  <c r="M40" i="10" s="1"/>
  <c r="L70" i="10"/>
  <c r="M70" i="10" s="1"/>
  <c r="L80" i="10"/>
  <c r="M80" i="10" s="1"/>
  <c r="L50" i="10"/>
  <c r="M50" i="10" s="1"/>
  <c r="L61" i="10"/>
  <c r="M61" i="10" s="1"/>
  <c r="L38" i="10"/>
  <c r="M38" i="10" s="1"/>
  <c r="L68" i="10"/>
  <c r="M68" i="10" s="1"/>
  <c r="L36" i="10"/>
  <c r="M36" i="10" s="1"/>
  <c r="E29" i="9"/>
  <c r="G19" i="9" l="1"/>
  <c r="P36" i="10"/>
  <c r="S36" i="10" s="1"/>
  <c r="O36" i="10"/>
  <c r="G20" i="9" s="1"/>
  <c r="BP19" i="9"/>
  <c r="O97" i="10"/>
  <c r="BP20" i="9" s="1"/>
  <c r="P97" i="10"/>
  <c r="S97" i="10" s="1"/>
  <c r="X19" i="9"/>
  <c r="P53" i="10"/>
  <c r="S53" i="10" s="1"/>
  <c r="O53" i="10"/>
  <c r="X20" i="9" s="1"/>
  <c r="BE19" i="9"/>
  <c r="O86" i="10"/>
  <c r="BE20" i="9" s="1"/>
  <c r="P86" i="10"/>
  <c r="S86" i="10" s="1"/>
  <c r="AQ19" i="9"/>
  <c r="O72" i="10"/>
  <c r="AQ20" i="9" s="1"/>
  <c r="P72" i="10"/>
  <c r="S72" i="10" s="1"/>
  <c r="AM19" i="9"/>
  <c r="P68" i="10"/>
  <c r="S68" i="10" s="1"/>
  <c r="O68" i="10"/>
  <c r="AM20" i="9" s="1"/>
  <c r="AY19" i="9"/>
  <c r="O80" i="10"/>
  <c r="AY20" i="9" s="1"/>
  <c r="P80" i="10"/>
  <c r="S80" i="10" s="1"/>
  <c r="M19" i="9"/>
  <c r="O42" i="10"/>
  <c r="M20" i="9" s="1"/>
  <c r="P42" i="10"/>
  <c r="S42" i="10" s="1"/>
  <c r="BC19" i="9"/>
  <c r="O84" i="10"/>
  <c r="BC20" i="9" s="1"/>
  <c r="P84" i="10"/>
  <c r="S84" i="10" s="1"/>
  <c r="AP19" i="9"/>
  <c r="O71" i="10"/>
  <c r="AP20" i="9" s="1"/>
  <c r="P71" i="10"/>
  <c r="S71" i="10" s="1"/>
  <c r="Z19" i="9"/>
  <c r="P55" i="10"/>
  <c r="S55" i="10" s="1"/>
  <c r="O55" i="10"/>
  <c r="Z20" i="9" s="1"/>
  <c r="BB19" i="9"/>
  <c r="O83" i="10"/>
  <c r="BB20" i="9" s="1"/>
  <c r="P83" i="10"/>
  <c r="S83" i="10" s="1"/>
  <c r="AN19" i="9"/>
  <c r="P69" i="10"/>
  <c r="S69" i="10" s="1"/>
  <c r="O69" i="10"/>
  <c r="AN20" i="9" s="1"/>
  <c r="Y19" i="9"/>
  <c r="O54" i="10"/>
  <c r="Y20" i="9" s="1"/>
  <c r="P54" i="10"/>
  <c r="S54" i="10" s="1"/>
  <c r="AX19" i="9"/>
  <c r="O79" i="10"/>
  <c r="AX20" i="9" s="1"/>
  <c r="P79" i="10"/>
  <c r="S79" i="10" s="1"/>
  <c r="AG19" i="9"/>
  <c r="P62" i="10"/>
  <c r="S62" i="10" s="1"/>
  <c r="O62" i="10"/>
  <c r="AG20" i="9" s="1"/>
  <c r="P19" i="9"/>
  <c r="P45" i="10"/>
  <c r="S45" i="10" s="1"/>
  <c r="O45" i="10"/>
  <c r="P20" i="9" s="1"/>
  <c r="BO19" i="9"/>
  <c r="P96" i="10"/>
  <c r="S96" i="10" s="1"/>
  <c r="O96" i="10"/>
  <c r="BO20" i="9" s="1"/>
  <c r="AB19" i="9"/>
  <c r="O57" i="10"/>
  <c r="AB20" i="9" s="1"/>
  <c r="P57" i="10"/>
  <c r="S57" i="10" s="1"/>
  <c r="AZ19" i="9"/>
  <c r="P81" i="10"/>
  <c r="S81" i="10" s="1"/>
  <c r="O81" i="10"/>
  <c r="AZ20" i="9" s="1"/>
  <c r="T19" i="9"/>
  <c r="O49" i="10"/>
  <c r="T20" i="9" s="1"/>
  <c r="P49" i="10"/>
  <c r="S49" i="10" s="1"/>
  <c r="BD19" i="9"/>
  <c r="P85" i="10"/>
  <c r="S85" i="10" s="1"/>
  <c r="O85" i="10"/>
  <c r="BD20" i="9" s="1"/>
  <c r="S31" i="10"/>
  <c r="T31" i="10" s="1"/>
  <c r="U19" i="9"/>
  <c r="O50" i="10"/>
  <c r="U20" i="9" s="1"/>
  <c r="P50" i="10"/>
  <c r="S50" i="10" s="1"/>
  <c r="N19" i="9"/>
  <c r="O43" i="10"/>
  <c r="N20" i="9" s="1"/>
  <c r="P43" i="10"/>
  <c r="S43" i="10" s="1"/>
  <c r="Q19" i="9"/>
  <c r="P46" i="10"/>
  <c r="S46" i="10" s="1"/>
  <c r="O46" i="10"/>
  <c r="Q20" i="9" s="1"/>
  <c r="BA19" i="9"/>
  <c r="P82" i="10"/>
  <c r="S82" i="10" s="1"/>
  <c r="O82" i="10"/>
  <c r="BA20" i="9" s="1"/>
  <c r="BJ19" i="9"/>
  <c r="O91" i="10"/>
  <c r="BJ20" i="9" s="1"/>
  <c r="P91" i="10"/>
  <c r="S91" i="10" s="1"/>
  <c r="AL19" i="9"/>
  <c r="O67" i="10"/>
  <c r="AL20" i="9" s="1"/>
  <c r="P67" i="10"/>
  <c r="S67" i="10" s="1"/>
  <c r="AH19" i="9"/>
  <c r="P63" i="10"/>
  <c r="S63" i="10" s="1"/>
  <c r="O63" i="10"/>
  <c r="AH20" i="9" s="1"/>
  <c r="I19" i="9"/>
  <c r="O38" i="10"/>
  <c r="I20" i="9" s="1"/>
  <c r="P38" i="10"/>
  <c r="S38" i="10" s="1"/>
  <c r="AO19" i="9"/>
  <c r="O70" i="10"/>
  <c r="AO20" i="9" s="1"/>
  <c r="P70" i="10"/>
  <c r="S70" i="10" s="1"/>
  <c r="BF19" i="9"/>
  <c r="P87" i="10"/>
  <c r="S87" i="10" s="1"/>
  <c r="O87" i="10"/>
  <c r="BF20" i="9" s="1"/>
  <c r="AW19" i="9"/>
  <c r="P78" i="10"/>
  <c r="S78" i="10" s="1"/>
  <c r="O78" i="10"/>
  <c r="AW20" i="9" s="1"/>
  <c r="BH19" i="9"/>
  <c r="O89" i="10"/>
  <c r="BH20" i="9" s="1"/>
  <c r="P89" i="10"/>
  <c r="S89" i="10" s="1"/>
  <c r="O19" i="9"/>
  <c r="O44" i="10"/>
  <c r="O20" i="9" s="1"/>
  <c r="P44" i="10"/>
  <c r="S44" i="10" s="1"/>
  <c r="BR19" i="9"/>
  <c r="P99" i="10"/>
  <c r="S99" i="10" s="1"/>
  <c r="O99" i="10"/>
  <c r="BR20" i="9" s="1"/>
  <c r="F19" i="9"/>
  <c r="O35" i="10"/>
  <c r="F20" i="9" s="1"/>
  <c r="P35" i="10"/>
  <c r="S35" i="10" s="1"/>
  <c r="S19" i="9"/>
  <c r="P48" i="10"/>
  <c r="S48" i="10" s="1"/>
  <c r="O48" i="10"/>
  <c r="S20" i="9" s="1"/>
  <c r="BN19" i="9"/>
  <c r="P95" i="10"/>
  <c r="S95" i="10" s="1"/>
  <c r="O95" i="10"/>
  <c r="BN20" i="9" s="1"/>
  <c r="BG19" i="9"/>
  <c r="P88" i="10"/>
  <c r="S88" i="10" s="1"/>
  <c r="O88" i="10"/>
  <c r="BG20" i="9" s="1"/>
  <c r="AV19" i="9"/>
  <c r="O77" i="10"/>
  <c r="AV20" i="9" s="1"/>
  <c r="P77" i="10"/>
  <c r="S77" i="10" s="1"/>
  <c r="AD19" i="9"/>
  <c r="O59" i="10"/>
  <c r="AD20" i="9" s="1"/>
  <c r="P59" i="10"/>
  <c r="S59" i="10" s="1"/>
  <c r="BM19" i="9"/>
  <c r="O94" i="10"/>
  <c r="BM20" i="9" s="1"/>
  <c r="P94" i="10"/>
  <c r="S94" i="10" s="1"/>
  <c r="BQ19" i="9"/>
  <c r="P98" i="10"/>
  <c r="S98" i="10" s="1"/>
  <c r="O98" i="10"/>
  <c r="BQ20" i="9" s="1"/>
  <c r="AJ19" i="9"/>
  <c r="P65" i="10"/>
  <c r="S65" i="10" s="1"/>
  <c r="O65" i="10"/>
  <c r="AJ20" i="9" s="1"/>
  <c r="AT19" i="9"/>
  <c r="P75" i="10"/>
  <c r="S75" i="10" s="1"/>
  <c r="O75" i="10"/>
  <c r="AT20" i="9" s="1"/>
  <c r="AA19" i="9"/>
  <c r="P56" i="10"/>
  <c r="S56" i="10" s="1"/>
  <c r="O56" i="10"/>
  <c r="AA20" i="9" s="1"/>
  <c r="AR19" i="9"/>
  <c r="O73" i="10"/>
  <c r="AR20" i="9" s="1"/>
  <c r="P73" i="10"/>
  <c r="S73" i="10" s="1"/>
  <c r="E19" i="9"/>
  <c r="P34" i="10"/>
  <c r="S34" i="10" s="1"/>
  <c r="O34" i="10"/>
  <c r="E20" i="9" s="1"/>
  <c r="J19" i="9"/>
  <c r="P39" i="10"/>
  <c r="S39" i="10" s="1"/>
  <c r="O39" i="10"/>
  <c r="J20" i="9" s="1"/>
  <c r="P33" i="10"/>
  <c r="S33" i="10" s="1"/>
  <c r="D19" i="9"/>
  <c r="O33" i="10"/>
  <c r="D20" i="9" s="1"/>
  <c r="AF19" i="9"/>
  <c r="P61" i="10"/>
  <c r="S61" i="10" s="1"/>
  <c r="O61" i="10"/>
  <c r="AF20" i="9" s="1"/>
  <c r="K19" i="9"/>
  <c r="O40" i="10"/>
  <c r="K20" i="9" s="1"/>
  <c r="P40" i="10"/>
  <c r="S40" i="10" s="1"/>
  <c r="AC19" i="9"/>
  <c r="O58" i="10"/>
  <c r="AC20" i="9" s="1"/>
  <c r="P58" i="10"/>
  <c r="S58" i="10" s="1"/>
  <c r="AU19" i="9"/>
  <c r="P76" i="10"/>
  <c r="S76" i="10" s="1"/>
  <c r="O76" i="10"/>
  <c r="AU20" i="9" s="1"/>
  <c r="L19" i="9"/>
  <c r="P41" i="10"/>
  <c r="S41" i="10" s="1"/>
  <c r="O41" i="10"/>
  <c r="L20" i="9" s="1"/>
  <c r="AE19" i="9"/>
  <c r="P60" i="10"/>
  <c r="S60" i="10" s="1"/>
  <c r="O60" i="10"/>
  <c r="AE20" i="9" s="1"/>
  <c r="H19" i="9"/>
  <c r="O37" i="10"/>
  <c r="H20" i="9" s="1"/>
  <c r="P37" i="10"/>
  <c r="S37" i="10" s="1"/>
  <c r="AK19" i="9"/>
  <c r="O66" i="10"/>
  <c r="AK20" i="9" s="1"/>
  <c r="P66" i="10"/>
  <c r="S66" i="10" s="1"/>
  <c r="AI19" i="9"/>
  <c r="P64" i="10"/>
  <c r="S64" i="10" s="1"/>
  <c r="O64" i="10"/>
  <c r="AI20" i="9" s="1"/>
  <c r="AS19" i="9"/>
  <c r="P74" i="10"/>
  <c r="S74" i="10" s="1"/>
  <c r="O74" i="10"/>
  <c r="AS20" i="9" s="1"/>
  <c r="W19" i="9"/>
  <c r="P52" i="10"/>
  <c r="S52" i="10" s="1"/>
  <c r="O52" i="10"/>
  <c r="W20" i="9" s="1"/>
  <c r="BL19" i="9"/>
  <c r="P93" i="10"/>
  <c r="S93" i="10" s="1"/>
  <c r="O93" i="10"/>
  <c r="BL20" i="9" s="1"/>
  <c r="BI19" i="9"/>
  <c r="P90" i="10"/>
  <c r="S90" i="10" s="1"/>
  <c r="O90" i="10"/>
  <c r="BI20" i="9" s="1"/>
  <c r="V19" i="9"/>
  <c r="O51" i="10"/>
  <c r="V20" i="9" s="1"/>
  <c r="P51" i="10"/>
  <c r="S51" i="10" s="1"/>
  <c r="BK19" i="9"/>
  <c r="O92" i="10"/>
  <c r="BK20" i="9" s="1"/>
  <c r="P92" i="10"/>
  <c r="S92" i="10" s="1"/>
  <c r="R19" i="9"/>
  <c r="P47" i="10"/>
  <c r="S47" i="10" s="1"/>
  <c r="O47" i="10"/>
  <c r="R20" i="9" s="1"/>
  <c r="N32" i="10"/>
  <c r="C19" i="9"/>
  <c r="O32" i="10"/>
  <c r="C20" i="9" s="1"/>
  <c r="P32" i="10"/>
  <c r="S32" i="10" s="1"/>
  <c r="M101" i="10"/>
  <c r="F29" i="9"/>
  <c r="T32" i="10" l="1"/>
  <c r="U32" i="10" s="1"/>
  <c r="P101" i="10"/>
  <c r="P102" i="10" s="1"/>
  <c r="BT20" i="9"/>
  <c r="C22" i="9"/>
  <c r="C31" i="9" s="1"/>
  <c r="C32" i="9" s="1"/>
  <c r="C33" i="9" s="1"/>
  <c r="BT19" i="9"/>
  <c r="T33" i="10"/>
  <c r="U33" i="10" s="1"/>
  <c r="G29" i="9"/>
  <c r="T34" i="10" l="1"/>
  <c r="D22" i="9"/>
  <c r="T35" i="10" l="1"/>
  <c r="U34" i="10"/>
  <c r="E22" i="9"/>
  <c r="D31" i="9"/>
  <c r="D32" i="9" s="1"/>
  <c r="F22" i="9" l="1"/>
  <c r="E31" i="9"/>
  <c r="D33" i="9"/>
  <c r="U35" i="10"/>
  <c r="T36" i="10"/>
  <c r="U36" i="10" s="1"/>
  <c r="U101" i="10" l="1"/>
  <c r="S103" i="10" s="1"/>
  <c r="U103" i="10" s="1"/>
  <c r="E32" i="9"/>
  <c r="E33" i="9" s="1"/>
  <c r="I37" i="9"/>
  <c r="G22" i="9"/>
  <c r="G31" i="9" s="1"/>
  <c r="G32" i="9" s="1"/>
  <c r="G33" i="9" s="1"/>
  <c r="F31" i="9"/>
  <c r="F32" i="9" s="1"/>
  <c r="F33" i="9" l="1"/>
  <c r="BT32" i="9"/>
  <c r="G40" i="9" s="1"/>
  <c r="D19" i="11" l="1"/>
  <c r="E26" i="13"/>
  <c r="I40" i="9"/>
  <c r="D19" i="12"/>
  <c r="D27" i="11"/>
  <c r="D35" i="11" s="1"/>
  <c r="C27" i="11"/>
  <c r="E19" i="11" l="1"/>
  <c r="F26" i="13"/>
  <c r="E19" i="12"/>
  <c r="C37" i="11"/>
  <c r="E29" i="13"/>
  <c r="E37" i="11"/>
  <c r="D21" i="12"/>
  <c r="D22" i="12" s="1"/>
  <c r="D26" i="12" l="1"/>
  <c r="C26" i="12"/>
  <c r="F29" i="13"/>
  <c r="E21" i="12"/>
  <c r="E26" i="12" l="1"/>
  <c r="E36" i="12" s="1"/>
  <c r="D36" i="12"/>
  <c r="E31" i="13" s="1"/>
  <c r="F31" i="13" l="1"/>
  <c r="F42" i="13"/>
  <c r="F43" i="13" s="1"/>
</calcChain>
</file>

<file path=xl/comments1.xml><?xml version="1.0" encoding="utf-8"?>
<comments xmlns="http://schemas.openxmlformats.org/spreadsheetml/2006/main">
  <authors>
    <author>CasPer</author>
    <author>Un usuario de Microsoft Office satisfecho</author>
  </authors>
  <commentList>
    <comment ref="E21" authorId="0" shapeId="0">
      <text>
        <r>
          <rPr>
            <b/>
            <sz val="9"/>
            <rFont val="Tahoma"/>
            <family val="2"/>
          </rPr>
          <t xml:space="preserve">CasPer: </t>
        </r>
        <r>
          <rPr>
            <sz val="9"/>
            <rFont val="Tahoma"/>
            <family val="2"/>
          </rPr>
          <t xml:space="preserve">Elije el Tipo de Anticipo
</t>
        </r>
      </text>
    </comment>
    <comment ref="E56" authorId="1" shapeId="0">
      <text>
        <r>
          <rPr>
            <b/>
            <sz val="8"/>
            <rFont val="Tahoma"/>
            <family val="2"/>
          </rPr>
          <t>Elija de la Lista</t>
        </r>
        <r>
          <rPr>
            <sz val="8"/>
            <rFont val="Tahoma"/>
            <family val="2"/>
          </rPr>
          <t xml:space="preserve">
Periodo Mínimo=1
Periodo Máximo=8</t>
        </r>
      </text>
    </comment>
    <comment ref="E58" authorId="0" shapeId="0">
      <text>
        <r>
          <rPr>
            <b/>
            <sz val="8"/>
            <rFont val="Tahoma"/>
            <family val="2"/>
          </rPr>
          <t>ESCRIBA:
Valor Mínimo=</t>
        </r>
        <r>
          <rPr>
            <sz val="8"/>
            <rFont val="Tahoma"/>
            <family val="2"/>
          </rPr>
          <t>0</t>
        </r>
        <r>
          <rPr>
            <b/>
            <sz val="8"/>
            <rFont val="Tahoma"/>
            <family val="2"/>
          </rPr>
          <t xml:space="preserve">
Valor Máximo= </t>
        </r>
        <r>
          <rPr>
            <sz val="8"/>
            <rFont val="Tahoma"/>
            <family val="2"/>
          </rPr>
          <t>Ultimo Periodo del Programa- Periodo de Cobro Primera Estimacion</t>
        </r>
        <r>
          <rPr>
            <sz val="9"/>
            <rFont val="Tahoma"/>
            <family val="2"/>
          </rPr>
          <t xml:space="preserve">
</t>
        </r>
      </text>
    </comment>
    <comment ref="D64" authorId="1" shapeId="0">
      <text>
        <r>
          <rPr>
            <sz val="8"/>
            <rFont val="Tahoma"/>
            <family val="2"/>
          </rPr>
          <t xml:space="preserve">Castulo Pereyra:
No borrar forman parte de una función
</t>
        </r>
      </text>
    </comment>
    <comment ref="E64" authorId="1" shapeId="0">
      <text>
        <r>
          <rPr>
            <sz val="8"/>
            <rFont val="Tahoma"/>
            <family val="2"/>
          </rPr>
          <t xml:space="preserve">Castulo Pereyra:
No borrar Forman parte de una Función
</t>
        </r>
      </text>
    </comment>
    <comment ref="D65" authorId="1" shapeId="0">
      <text>
        <r>
          <rPr>
            <sz val="8"/>
            <rFont val="Tahoma"/>
            <family val="2"/>
          </rPr>
          <t xml:space="preserve">Castulo Pereyra:
No borrar forman parte de una función
</t>
        </r>
      </text>
    </comment>
    <comment ref="D66" authorId="1" shapeId="0">
      <text>
        <r>
          <rPr>
            <sz val="8"/>
            <rFont val="Tahoma"/>
            <family val="2"/>
          </rPr>
          <t xml:space="preserve">Castulo Pereyra:
No borrar forman parte de una función
</t>
        </r>
      </text>
    </comment>
    <comment ref="E75" authorId="0" shapeId="0">
      <text>
        <r>
          <rPr>
            <b/>
            <sz val="9"/>
            <rFont val="Tahoma"/>
            <family val="2"/>
          </rPr>
          <t xml:space="preserve">CasPer: </t>
        </r>
        <r>
          <rPr>
            <sz val="9"/>
            <rFont val="Tahoma"/>
            <family val="2"/>
          </rPr>
          <t xml:space="preserve">Aplica para obras que al Inicio no hay anticipo y se entrega el anticipo despues de iniciar la obra
</t>
        </r>
      </text>
    </comment>
  </commentList>
</comments>
</file>

<file path=xl/comments2.xml><?xml version="1.0" encoding="utf-8"?>
<comments xmlns="http://schemas.openxmlformats.org/spreadsheetml/2006/main">
  <authors>
    <author>Ing: Cástulo Pereyra E</author>
  </authors>
  <commentList>
    <comment ref="B6" authorId="0" shapeId="0">
      <text>
        <r>
          <rPr>
            <sz val="8"/>
            <rFont val="Tahoma"/>
            <family val="2"/>
          </rPr>
          <t>Descuelgue los valores y elija de la lista</t>
        </r>
      </text>
    </comment>
    <comment ref="C6" authorId="0" shapeId="0">
      <text>
        <r>
          <rPr>
            <sz val="8"/>
            <rFont val="Tahoma"/>
            <family val="2"/>
          </rPr>
          <t>Escriba 0, para no tomar en cuenta la categoria</t>
        </r>
      </text>
    </comment>
    <comment ref="D6" authorId="0" shapeId="0">
      <text>
        <r>
          <rPr>
            <sz val="8"/>
            <rFont val="Tahoma"/>
            <family val="2"/>
          </rPr>
          <t>Teclee el salario mensual de cada categoria</t>
        </r>
      </text>
    </comment>
    <comment ref="B31" authorId="0" shapeId="0">
      <text>
        <r>
          <rPr>
            <sz val="8"/>
            <rFont val="Tahoma"/>
            <family val="2"/>
          </rPr>
          <t>Descuelgue los valores y elija de la lista</t>
        </r>
        <r>
          <rPr>
            <sz val="8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CasPer</author>
    <author>Un usuario de Microsoft Office satisfecho</author>
  </authors>
  <commentList>
    <comment ref="J30" authorId="0" shapeId="0">
      <text>
        <r>
          <rPr>
            <b/>
            <sz val="9"/>
            <rFont val="Tahoma"/>
            <family val="2"/>
          </rPr>
          <t xml:space="preserve">CasPer: </t>
        </r>
        <r>
          <rPr>
            <sz val="8"/>
            <rFont val="Tahoma"/>
            <family val="2"/>
          </rPr>
          <t>Periodo donde se inicia a Cobrar, Tiene valor 1 para realizar operaciones auxiliares</t>
        </r>
        <r>
          <rPr>
            <sz val="9"/>
            <rFont val="Tahoma"/>
            <family val="2"/>
          </rPr>
          <t xml:space="preserve">
</t>
        </r>
      </text>
    </comment>
    <comment ref="K30" authorId="0" shapeId="0">
      <text>
        <r>
          <rPr>
            <b/>
            <sz val="9"/>
            <rFont val="Tahoma"/>
            <family val="2"/>
          </rPr>
          <t xml:space="preserve">CasPer: </t>
        </r>
        <r>
          <rPr>
            <sz val="9"/>
            <rFont val="Tahoma"/>
            <family val="2"/>
          </rPr>
          <t xml:space="preserve">Importe de la Estimacion, sin amortizar
</t>
        </r>
      </text>
    </comment>
    <comment ref="R32" authorId="1" shapeId="0">
      <text>
        <r>
          <rPr>
            <sz val="8"/>
            <rFont val="Tahoma"/>
            <family val="2"/>
          </rPr>
          <t xml:space="preserve">En estas celdas introduzca el anticipo a proveedores, de acuerdo al programa de suministros
</t>
        </r>
      </text>
    </comment>
  </commentList>
</comments>
</file>

<file path=xl/sharedStrings.xml><?xml version="1.0" encoding="utf-8"?>
<sst xmlns="http://schemas.openxmlformats.org/spreadsheetml/2006/main" count="3906" uniqueCount="549">
  <si>
    <t>Construcción de Instalaciones generales</t>
  </si>
  <si>
    <t>PeriodoInicial</t>
  </si>
  <si>
    <t>Telefono(s) de la empresa.</t>
  </si>
  <si>
    <t>Dirección de la obra.</t>
  </si>
  <si>
    <t xml:space="preserve">Y </t>
  </si>
  <si>
    <t>IMPORTE EJERCER1:</t>
  </si>
  <si>
    <t>JEFE DEPTO. DE CONTROL</t>
  </si>
  <si>
    <t>ANÁLISIS   DE   LOS  COSTOS   DE    FINANCIAMIENTO</t>
  </si>
  <si>
    <t>TABLA DE DATOS DE ACUERDO A LA ELECCION DEL TIPO DE ANTICIPO</t>
  </si>
  <si>
    <t>DIAS PARA PAGO DE ESTIMACIONES :</t>
  </si>
  <si>
    <t>COSTO INDIRECTO</t>
  </si>
  <si>
    <t>COSTO OTROS INSUMOS</t>
  </si>
  <si>
    <t>TOTALES</t>
  </si>
  <si>
    <r>
      <rPr>
        <b/>
        <sz val="8"/>
        <rFont val="Arial"/>
        <family val="2"/>
      </rPr>
      <t>%Am2</t>
    </r>
    <r>
      <rPr>
        <sz val="8"/>
        <rFont val="Arial"/>
        <family val="2"/>
      </rPr>
      <t xml:space="preserve">= </t>
    </r>
    <r>
      <rPr>
        <b/>
        <sz val="8"/>
        <rFont val="Arial"/>
        <family val="2"/>
      </rPr>
      <t>Spa1</t>
    </r>
    <r>
      <rPr>
        <sz val="8"/>
        <rFont val="Arial"/>
        <family val="2"/>
      </rPr>
      <t xml:space="preserve">  / </t>
    </r>
    <r>
      <rPr>
        <b/>
        <sz val="8"/>
        <rFont val="Arial"/>
        <family val="2"/>
      </rPr>
      <t>Ipe2</t>
    </r>
  </si>
  <si>
    <t>Terminacion:</t>
  </si>
  <si>
    <t>TASA DE INTERES DIARIA :</t>
  </si>
  <si>
    <t>TIPO DE ANTICIPO</t>
  </si>
  <si>
    <t>d.</t>
  </si>
  <si>
    <t xml:space="preserve">COBROS </t>
  </si>
  <si>
    <t>GASTOS TECNICOS</t>
  </si>
  <si>
    <t>MONTO A EJERCER</t>
  </si>
  <si>
    <t>Primas por Seguro</t>
  </si>
  <si>
    <t>Inicio:</t>
  </si>
  <si>
    <t>Fecha:</t>
  </si>
  <si>
    <t>Los que deriven de suscripción de contratos de trabajo del inciso a,b y c.</t>
  </si>
  <si>
    <t>INTERES NETO A PAGAR</t>
  </si>
  <si>
    <t>CONTADOR</t>
  </si>
  <si>
    <t>ANTICIPO EN UN EJERCICIO PRESUPUESTAL CON DOS ANTICIPOS</t>
  </si>
  <si>
    <t>NOMBRE DE CELDA</t>
  </si>
  <si>
    <t>ESTE PORCENTAJE ESTÁ CALCULADO SOBRE LA SUMA DEL COSTO DIRECTO MAS INDIRECTOS.</t>
  </si>
  <si>
    <t/>
  </si>
  <si>
    <t>SEGUROS  Y FIANZAS</t>
  </si>
  <si>
    <t>PLAZO EN DIAS:</t>
  </si>
  <si>
    <t>remateprimeramoneda</t>
  </si>
  <si>
    <t>departamento</t>
  </si>
  <si>
    <t>COSTO DIRECTO DE LA OBRA:</t>
  </si>
  <si>
    <t>Montaje y desmantelamiento de equipo</t>
  </si>
  <si>
    <t>ANTICIPO A PROVEEDORES AL INICIO DE OBRA:</t>
  </si>
  <si>
    <t xml:space="preserve"> CALLE MAGNOLIA, ESQ. CON CALLE GERANIO, COL SATÉLITE</t>
  </si>
  <si>
    <t>El dia:</t>
  </si>
  <si>
    <t>PERIODO DE ENTREGA</t>
  </si>
  <si>
    <t>OFICINA CENTRAL</t>
  </si>
  <si>
    <t>CHOFER</t>
  </si>
  <si>
    <t>AUXILIAR SUPERINTENDENTE 2</t>
  </si>
  <si>
    <t>DEPARTAMENTO</t>
  </si>
  <si>
    <t>Obra:</t>
  </si>
  <si>
    <t>Cliente:</t>
  </si>
  <si>
    <t>COSTO DIRECTO + COSTO INDIRECTO</t>
  </si>
  <si>
    <t>RESUMEN DE COSTOS INDIRECTOS</t>
  </si>
  <si>
    <r>
      <rPr>
        <b/>
        <sz val="8"/>
        <rFont val="Arial"/>
        <family val="2"/>
      </rPr>
      <t>Ipe2</t>
    </r>
    <r>
      <rPr>
        <sz val="8"/>
        <rFont val="Arial"/>
        <family val="2"/>
      </rPr>
      <t>= Importe por Ejercer al Recibir el 2do Anticipo:</t>
    </r>
  </si>
  <si>
    <t>JEFE DEPTO. PLANEACION</t>
  </si>
  <si>
    <t xml:space="preserve">CARGO POR UTILIDAD (COSTO DIRECTO+ COSTO INDIRECTO+ COSTO FINANCIAMIENTO) x % UTILIDAD NETA </t>
  </si>
  <si>
    <t xml:space="preserve">No </t>
  </si>
  <si>
    <t xml:space="preserve">  MODELO DE CALCULO DEL FINANCIAMIENTO</t>
  </si>
  <si>
    <t>CF</t>
  </si>
  <si>
    <t>fechainicio</t>
  </si>
  <si>
    <t>Barra</t>
  </si>
  <si>
    <t>2. De equipo de construcción</t>
  </si>
  <si>
    <t>Locales de Mantenimiento y Guarda</t>
  </si>
  <si>
    <t>ING. SEGURIDAD INDUSTRIAL</t>
  </si>
  <si>
    <t>FIRMA</t>
  </si>
  <si>
    <t>ING. DE LABORATORIO</t>
  </si>
  <si>
    <t>PLANTILLA DE OFICINA CENTRAL Y CAMPO</t>
  </si>
  <si>
    <t>Registro CMIC de la empresa.</t>
  </si>
  <si>
    <t>Mes1</t>
  </si>
  <si>
    <t>PUNTOS DE INTERMEDIACIÓN DE LA BANCA :</t>
  </si>
  <si>
    <t>JEFE DEPTO. COMPRAS</t>
  </si>
  <si>
    <t>Dependencia:</t>
  </si>
  <si>
    <t>Papelería y útiles de escritorio</t>
  </si>
  <si>
    <t>EGRESOS ACUMULADOS</t>
  </si>
  <si>
    <t>CONSECUTIVO</t>
  </si>
  <si>
    <t xml:space="preserve">P E R I O D O S </t>
  </si>
  <si>
    <t>EJERCICIO1</t>
  </si>
  <si>
    <t>imss</t>
  </si>
  <si>
    <t>PERIODOS PROGRAMADOS:</t>
  </si>
  <si>
    <t>DIARIO</t>
  </si>
  <si>
    <t>Muebles y enseres</t>
  </si>
  <si>
    <t>RLOPySRM</t>
  </si>
  <si>
    <t xml:space="preserve">IMPORTE </t>
  </si>
  <si>
    <t>CALCULO DEL CARGO ADICIONAL</t>
  </si>
  <si>
    <t>Porcentaje</t>
  </si>
  <si>
    <t>DIAS PARA PAGO DE ESTIMACIONES:</t>
  </si>
  <si>
    <t>ADMINISTRACION OFICINA CENTRAL</t>
  </si>
  <si>
    <t xml:space="preserve">             FECHA DE TERMINACIÓN:</t>
  </si>
  <si>
    <t>AREA DE TRABAJO</t>
  </si>
  <si>
    <t>IV.</t>
  </si>
  <si>
    <t>Tasa Activa</t>
  </si>
  <si>
    <t>Nombre del cliente.</t>
  </si>
  <si>
    <t>DEPRECIACION, MANTENIMIENTO Y RENTAS</t>
  </si>
  <si>
    <t>Presentacion del Programa de Personal Técnico:</t>
  </si>
  <si>
    <t xml:space="preserve">INGRESOS </t>
  </si>
  <si>
    <t>AUXILIAR ALMACENISTA</t>
  </si>
  <si>
    <t>Solo intereses negativos</t>
  </si>
  <si>
    <t>FLETES Y ACARREOS</t>
  </si>
  <si>
    <t>Prestaciones de la LFT del inciso a, b y c (consideradas)</t>
  </si>
  <si>
    <t>Cargo del responsable (para firmas).</t>
  </si>
  <si>
    <t>e-Mail del cliente.</t>
  </si>
  <si>
    <t>CONCEPTO</t>
  </si>
  <si>
    <t>ANTICIPO A PROVEEDORES</t>
  </si>
  <si>
    <t>Subtotal acumulado</t>
  </si>
  <si>
    <t>AÑO</t>
  </si>
  <si>
    <t>fechaconvocatoria</t>
  </si>
  <si>
    <t>Monto TotaL</t>
  </si>
  <si>
    <t>%U</t>
  </si>
  <si>
    <t>Razón Social delLicitante</t>
  </si>
  <si>
    <t>COSTO DIRECTO POR PERIODO</t>
  </si>
  <si>
    <t>COSTO EQUIPO</t>
  </si>
  <si>
    <t>AUXILIAR SUPERINTENDENTE</t>
  </si>
  <si>
    <t>CETES</t>
  </si>
  <si>
    <t>Ubicación del concurso (dirección).</t>
  </si>
  <si>
    <t>PERIODO DE COBRO PRIMERA ESTIMACION:</t>
  </si>
  <si>
    <t>contactocliente</t>
  </si>
  <si>
    <t>TOTAL</t>
  </si>
  <si>
    <t>PESOS</t>
  </si>
  <si>
    <t>Concurso No.</t>
  </si>
  <si>
    <t>SECRETARIA</t>
  </si>
  <si>
    <t>Personal administrativo incluye: Prestaciones</t>
  </si>
  <si>
    <t>Código postal de la obra.</t>
  </si>
  <si>
    <t>ART. 45 A.V</t>
  </si>
  <si>
    <t>LUGAR:</t>
  </si>
  <si>
    <t xml:space="preserve">    FECHA DE INICIO:</t>
  </si>
  <si>
    <t>AUXILIAR ADMINISTRATIVO</t>
  </si>
  <si>
    <t>SALARIO MENSUAL</t>
  </si>
  <si>
    <t>VALOR</t>
  </si>
  <si>
    <t>PORCENTAJE DE FINANCIEAMIENTO=</t>
  </si>
  <si>
    <t>% DE AVANCE</t>
  </si>
  <si>
    <t>MECANICO</t>
  </si>
  <si>
    <t>Redondeo para Programa de Personal Tecnico:</t>
  </si>
  <si>
    <t>%Am2= AMORTIZACION2</t>
  </si>
  <si>
    <t>Duracion (dias)</t>
  </si>
  <si>
    <t>Tipo de licitacion</t>
  </si>
  <si>
    <t xml:space="preserve">CA= CA1* Sub </t>
  </si>
  <si>
    <t>COSTO MATERIALES</t>
  </si>
  <si>
    <t>ciudad</t>
  </si>
  <si>
    <t>Pasajes y viáticos (consideradas)</t>
  </si>
  <si>
    <t>UNIDAD</t>
  </si>
  <si>
    <t>IMPORTES</t>
  </si>
  <si>
    <r>
      <rPr>
        <b/>
        <sz val="8"/>
        <rFont val="Arial"/>
        <family val="2"/>
      </rPr>
      <t>Spa1</t>
    </r>
    <r>
      <rPr>
        <sz val="8"/>
        <rFont val="Arial"/>
        <family val="2"/>
      </rPr>
      <t>= Saldo Por amortizar al Recibir 2do. Anticipo:</t>
    </r>
  </si>
  <si>
    <t>FACTOR DE SOBRECOSTO</t>
  </si>
  <si>
    <t>Total de Dias:</t>
  </si>
  <si>
    <t>ART. 27 A.VI rlop</t>
  </si>
  <si>
    <t>responsabledelaobra</t>
  </si>
  <si>
    <t>INGRESOS ACUMULADOS</t>
  </si>
  <si>
    <t>DATOS ENCABEZADO</t>
  </si>
  <si>
    <t>JEFE DPTO. DE COSTOS</t>
  </si>
  <si>
    <t>fechadeconcurso</t>
  </si>
  <si>
    <t xml:space="preserve">ELIJA LOS VALORES QUE APLICAN </t>
  </si>
  <si>
    <t>c.</t>
  </si>
  <si>
    <t>Area del cliente que convoca.</t>
  </si>
  <si>
    <t>Personal directivo incluye: Prestaciones</t>
  </si>
  <si>
    <t>TERMINACION:</t>
  </si>
  <si>
    <t>SERVICIOS</t>
  </si>
  <si>
    <t>Subtotal</t>
  </si>
  <si>
    <t xml:space="preserve">                              Obra:</t>
  </si>
  <si>
    <t>g.</t>
  </si>
  <si>
    <t>% APLICABLE AL PERIODO</t>
  </si>
  <si>
    <t>EXHIBICION1</t>
  </si>
  <si>
    <t>CONVOCATORIA</t>
  </si>
  <si>
    <t xml:space="preserve"> + PUNTOS DEL BANCO=</t>
  </si>
  <si>
    <t>Terminación:</t>
  </si>
  <si>
    <t>═</t>
  </si>
  <si>
    <t>II.</t>
  </si>
  <si>
    <t>DESCRIPCION</t>
  </si>
  <si>
    <t>DIAS DEL AÑO:</t>
  </si>
  <si>
    <t>DATOS GENERALES PARA IMPRESIÓN DE LOS REPORTES</t>
  </si>
  <si>
    <t>coloniacliente</t>
  </si>
  <si>
    <t>IMPORTE DE ANTICIPO</t>
  </si>
  <si>
    <t>Depreciación o Renta, y Operación de Vehículos</t>
  </si>
  <si>
    <t xml:space="preserve"> </t>
  </si>
  <si>
    <t>CUERNAVACA</t>
  </si>
  <si>
    <t>INDICADOR ECONOMICO DE REFERENCIA :</t>
  </si>
  <si>
    <t>EJERCICIO2</t>
  </si>
  <si>
    <t>ADMINISTRACION DE CAMPO</t>
  </si>
  <si>
    <t>direcciondeconcurso</t>
  </si>
  <si>
    <t>ARQ. JORGE PULIDO GUZMÁNN</t>
  </si>
  <si>
    <t>Estado o provincia donde se localiza la obra.</t>
  </si>
  <si>
    <t>Incluye Prestaciones</t>
  </si>
  <si>
    <t>domicilio</t>
  </si>
  <si>
    <t>GASTOS OFICINA</t>
  </si>
  <si>
    <t>Código postal del cliente.</t>
  </si>
  <si>
    <t>Mes2</t>
  </si>
  <si>
    <t>DIFERENCIA INGRESOS Y EGRESOS ACUMULADOS</t>
  </si>
  <si>
    <t>horas Jornada</t>
  </si>
  <si>
    <t>SEGURIDAD E HIGIENE</t>
  </si>
  <si>
    <t>Amort Acum</t>
  </si>
  <si>
    <t>EGRESOS</t>
  </si>
  <si>
    <t>4. Letrero nominativo de obra</t>
  </si>
  <si>
    <t>TABLA DE DATOS DE ACUERDO AL COBRO PRIMERA ESTIMACION Y ENTREGA 2do. ANTICIPO</t>
  </si>
  <si>
    <t>AUXILIAR DE CONTADOR</t>
  </si>
  <si>
    <t>TOTAL DE INDIRECTOS</t>
  </si>
  <si>
    <t>VIII.</t>
  </si>
  <si>
    <t>telefonodelaobra</t>
  </si>
  <si>
    <t>GASTOS DE OBRA (CD+I)</t>
  </si>
  <si>
    <t>UTILIDAD PROPUESTA</t>
  </si>
  <si>
    <t>IMPORTE TOTAL DE LA OBRA:</t>
  </si>
  <si>
    <t>C O N C E P T O</t>
  </si>
  <si>
    <t xml:space="preserve">DETERMINACION DEL CARGO POR UTILIDAD </t>
  </si>
  <si>
    <t xml:space="preserve">              Lugar:</t>
  </si>
  <si>
    <t>I.-INDIRECTO</t>
  </si>
  <si>
    <t>Remate de la moneda 1</t>
  </si>
  <si>
    <t>Duracion:</t>
  </si>
  <si>
    <t>ESTIMACIONES</t>
  </si>
  <si>
    <t>F O R M U L A</t>
  </si>
  <si>
    <t>$</t>
  </si>
  <si>
    <t>JEFE DEPTO. FACTURACION</t>
  </si>
  <si>
    <t>razonsocial</t>
  </si>
  <si>
    <t>fechaterminacion</t>
  </si>
  <si>
    <t>Cargo del responsable de la obra.</t>
  </si>
  <si>
    <t>FECHA:</t>
  </si>
  <si>
    <t>totalpresupuestoprimeramoneda</t>
  </si>
  <si>
    <t>primeramoneda</t>
  </si>
  <si>
    <t>Consultores,Asesores,Servicio y Laboratorios</t>
  </si>
  <si>
    <t>Por Ejercer Antes 2do Anticipo</t>
  </si>
  <si>
    <t>Situación de fondos</t>
  </si>
  <si>
    <t>Nombre del responsable de la empresa (para firmas).</t>
  </si>
  <si>
    <t>Estudios e Investigación</t>
  </si>
  <si>
    <t>5 AL MILLAR</t>
  </si>
  <si>
    <t>AUXILIAR DE LIMPIEZA</t>
  </si>
  <si>
    <t>AÑO :</t>
  </si>
  <si>
    <t>UTILIDAD</t>
  </si>
  <si>
    <t>CLAVE</t>
  </si>
  <si>
    <t>AUXILIAR SEGURIDAD INDUSTRIAL</t>
  </si>
  <si>
    <t>V.</t>
  </si>
  <si>
    <t>MENSAJERO</t>
  </si>
  <si>
    <t>Correos, fax, teléfonos, telégrafos, radio.</t>
  </si>
  <si>
    <t>EL DIA:</t>
  </si>
  <si>
    <t>Edificios y Locales</t>
  </si>
  <si>
    <t>Ciudad del cliente.</t>
  </si>
  <si>
    <t>Importe Total de Obra</t>
  </si>
  <si>
    <t>COMDIFIER S. R. L. DE C.V.</t>
  </si>
  <si>
    <t>codigopostalcliente</t>
  </si>
  <si>
    <t>UT</t>
  </si>
  <si>
    <t>DOCUMENTO</t>
  </si>
  <si>
    <t>SUBTOTALES</t>
  </si>
  <si>
    <t>TOTAL COSTO DIRECTO</t>
  </si>
  <si>
    <t xml:space="preserve">MONTO DE LA OBRA A COSTO DIRECTO $ </t>
  </si>
  <si>
    <t>Colonia de la obra.</t>
  </si>
  <si>
    <t>Duración de la obra en dias naturales.</t>
  </si>
  <si>
    <t>DIAS DE PAGO P/ESTIMACIONES</t>
  </si>
  <si>
    <t>Un ejercicio con un Anticipo</t>
  </si>
  <si>
    <t>ART. 45 XI d)</t>
  </si>
  <si>
    <t>CAPACITACION Y ADIESTRAMIENTO</t>
  </si>
  <si>
    <t>Cantidad</t>
  </si>
  <si>
    <t>TOTAL DE COSTOS INDIRECTOS</t>
  </si>
  <si>
    <t>Nombre de la obra.</t>
  </si>
  <si>
    <t>rematesegundamoneda</t>
  </si>
  <si>
    <t>DIAS DE PAGO PARA ESTIMACIONES ART. 54 LOPySRM, 127 al 133 de RLOPySRM.</t>
  </si>
  <si>
    <t>AUXILIAR DEPTO. FACTURACION</t>
  </si>
  <si>
    <t>INTERESES A CONSIDERAR EN EL FINANCIAMIENTO</t>
  </si>
  <si>
    <t>PORCENTAJE DE FINANCIAMIENTO=</t>
  </si>
  <si>
    <t xml:space="preserve">Personal </t>
  </si>
  <si>
    <t>PORCENTAJE</t>
  </si>
  <si>
    <t>I.</t>
  </si>
  <si>
    <t>TRABAJOS PREVIOS Y AUXILIARES</t>
  </si>
  <si>
    <t>Avance Acumulado</t>
  </si>
  <si>
    <t>DIFERENCIA</t>
  </si>
  <si>
    <t>Ciudad donde se localiza la empresa.</t>
  </si>
  <si>
    <t>PROGRAMA CALENDARIZADO DE UTILIZACION DE PERSONAL PROFESIONAL TECNICO, ADMINISTRATIVO Y DE SERVICIO ENCARGADO DE LA DIRECCION,</t>
  </si>
  <si>
    <t>RESUMEN</t>
  </si>
  <si>
    <t>ADMINISTRATIVOS</t>
  </si>
  <si>
    <t>SEDESOL</t>
  </si>
  <si>
    <t>DATOS DE LA OBRA</t>
  </si>
  <si>
    <t>ART. 45 XI.d)</t>
  </si>
  <si>
    <t>Duración (dias)</t>
  </si>
  <si>
    <t>Terminacion</t>
  </si>
  <si>
    <t>DIAS NATURALES</t>
  </si>
  <si>
    <t>decimalesredondeo</t>
  </si>
  <si>
    <t>A.D.03/R33/DLyCOP/OP444/2022</t>
  </si>
  <si>
    <t>GERENTE DE PLANEACION</t>
  </si>
  <si>
    <t>Nombre del contacto con el cliente.</t>
  </si>
  <si>
    <t>COSTO MANO DE OBRA</t>
  </si>
  <si>
    <t>ANTICIPOS</t>
  </si>
  <si>
    <t>plazoreal</t>
  </si>
  <si>
    <t>Subtotal por periodo</t>
  </si>
  <si>
    <t>FACTOR</t>
  </si>
  <si>
    <t>DIRECTOR GENERAL</t>
  </si>
  <si>
    <t>CSFP</t>
  </si>
  <si>
    <t>EXHIBICION2</t>
  </si>
  <si>
    <t>infonavit</t>
  </si>
  <si>
    <t>Domicilio de la empresa.</t>
  </si>
  <si>
    <t>Inicio</t>
  </si>
  <si>
    <t>direccioncliente</t>
  </si>
  <si>
    <t>Importe Inicial a Cobrar</t>
  </si>
  <si>
    <t>AREA</t>
  </si>
  <si>
    <t>Responsable de la obra.</t>
  </si>
  <si>
    <t>No. de Jornales</t>
  </si>
  <si>
    <t>DATOS DEL CLIENTE</t>
  </si>
  <si>
    <t>colonia</t>
  </si>
  <si>
    <t>cargoresponsabledelaobra</t>
  </si>
  <si>
    <t>ADMINISTRADOR DE OBRA</t>
  </si>
  <si>
    <t>DESGLOSE DE COSTOS INDIRECTOS</t>
  </si>
  <si>
    <t>rfc</t>
  </si>
  <si>
    <t>nombrecliente</t>
  </si>
  <si>
    <t>LISTADO DE PERSONAL DE OFICINA CENTRAL</t>
  </si>
  <si>
    <t>De Campamentos</t>
  </si>
  <si>
    <t>b.</t>
  </si>
  <si>
    <t>AUXILIAR DEPTO. PLANEACION</t>
  </si>
  <si>
    <t>DATOS DE LA EMPRESA</t>
  </si>
  <si>
    <t>telefonocliente</t>
  </si>
  <si>
    <t>PARAMETRO ESPECIFICO</t>
  </si>
  <si>
    <t>PTU (Participacion de trabajadores en la utilidad):</t>
  </si>
  <si>
    <t xml:space="preserve">COSTO FINANCIAMIENTO PARCIAL (INTERESES) </t>
  </si>
  <si>
    <t>Personal técnico incluye: Prestaciones</t>
  </si>
  <si>
    <t>f.</t>
  </si>
  <si>
    <t>SALARIO</t>
  </si>
  <si>
    <t>SCT</t>
  </si>
  <si>
    <t xml:space="preserve">              Dependencia:</t>
  </si>
  <si>
    <t>Cuota Patronal del Seguro Social del inciso a, b y c (consideradas)</t>
  </si>
  <si>
    <t>numerodeconcurso</t>
  </si>
  <si>
    <t>AYUNTAMIENTO DE CUERNAVACA_x000D_
SECRETARÍA DE DESARROLLO URBANO Y OBRAS PÚBLICAS</t>
  </si>
  <si>
    <t>CD</t>
  </si>
  <si>
    <t>SEGÚN PROGRAMA</t>
  </si>
  <si>
    <t>Colonia de la empresa</t>
  </si>
  <si>
    <t>Copias y duplicados</t>
  </si>
  <si>
    <t>Luz, gas y otros consumos</t>
  </si>
  <si>
    <t>Ambos Interes (+ y -)</t>
  </si>
  <si>
    <t>Morelos</t>
  </si>
  <si>
    <t>ANTICIPO PROVEEDORES *</t>
  </si>
  <si>
    <t>PARAMETRO GENERAL</t>
  </si>
  <si>
    <t>Mes3</t>
  </si>
  <si>
    <t>Primas por Fianzas</t>
  </si>
  <si>
    <t>%Am1= AMORTIZACION1</t>
  </si>
  <si>
    <t>PROGRAMA DE EROGACION MENSUAL DE UTILIZACION DE PERSONAL PROFESIONAL TECNICO, ADMINISTRATIVO Y DE SERVICIO ENCARGADO DE LA DIRECCION,</t>
  </si>
  <si>
    <t>III.</t>
  </si>
  <si>
    <t>COSTO DIRECTO DE LA OBRA :</t>
  </si>
  <si>
    <t>PARA OBRAS EN UN EJERCICIO PRESUPUESTAL CON UN ANTICIPO</t>
  </si>
  <si>
    <t>AUXILIAR DEPTO. COMPRAS</t>
  </si>
  <si>
    <t>M.N.</t>
  </si>
  <si>
    <t>Remate de la moneda 2</t>
  </si>
  <si>
    <t xml:space="preserve">                              Lugar:</t>
  </si>
  <si>
    <t>AUXILIAR DE LABORATORIO</t>
  </si>
  <si>
    <t>ESCRIBA LOS VALORES REQUERIDOS</t>
  </si>
  <si>
    <t>Instalaciones Generales</t>
  </si>
  <si>
    <t>%</t>
  </si>
  <si>
    <t>ciudadcliente</t>
  </si>
  <si>
    <t>Fecha de inicio de la obra (con 1 en programa de obra).</t>
  </si>
  <si>
    <t>GASTOS DE OBRA (COSTO DIRECTO +INDIRECTO)</t>
  </si>
  <si>
    <t>CARGOS ADICIONALES</t>
  </si>
  <si>
    <t>porcentajeivapresupuesto</t>
  </si>
  <si>
    <t>Gastos de la licitación</t>
  </si>
  <si>
    <t>IMPORTE DE ANTICIPOS</t>
  </si>
  <si>
    <t>CADENERO</t>
  </si>
  <si>
    <t>ISR= IMPUESTO SOBRE LA RENTA</t>
  </si>
  <si>
    <t>VERSION 04-08-2016  10:21 horas CASPER</t>
  </si>
  <si>
    <t>TOTAL DE CARGOS ADICIONALES</t>
  </si>
  <si>
    <t>equipo de computación</t>
  </si>
  <si>
    <t>PERSONAL DE OFICINA CENTRAL</t>
  </si>
  <si>
    <t>emaildelaobra</t>
  </si>
  <si>
    <t>Costo Directo+Indirecto</t>
  </si>
  <si>
    <t>INDIRECTO</t>
  </si>
  <si>
    <t>DIAS A CONSIDERAR EN EL AÑO</t>
  </si>
  <si>
    <t>codigopostaldelaobra</t>
  </si>
  <si>
    <t>ciudaddelaobra</t>
  </si>
  <si>
    <t>LOP ART. 54 P. 1 y 2</t>
  </si>
  <si>
    <t>DIFERENCIA ACUMULADA</t>
  </si>
  <si>
    <t>Up%</t>
  </si>
  <si>
    <t>PERIODO DE AMORTIZACION 2do ANTICIPO:</t>
  </si>
  <si>
    <t>telefono</t>
  </si>
  <si>
    <t>Teléfono del cliente.</t>
  </si>
  <si>
    <t>INDICADOR ECONÓMICO DE REFERENCIA:</t>
  </si>
  <si>
    <t>PERSONAL DE OFICINA DE CAMPO</t>
  </si>
  <si>
    <t>PERIODO</t>
  </si>
  <si>
    <t>ELECTRICISTA</t>
  </si>
  <si>
    <t>Colonia del cliente.</t>
  </si>
  <si>
    <t>estado</t>
  </si>
  <si>
    <t>ING. TOPOGRAFO</t>
  </si>
  <si>
    <t>cargo</t>
  </si>
  <si>
    <t>PARCIAL</t>
  </si>
  <si>
    <t>DATOS DE LA CONVOCATORIA</t>
  </si>
  <si>
    <t>ISR (Impuesto Sobre la Renta):</t>
  </si>
  <si>
    <t xml:space="preserve">                              Dependencia:</t>
  </si>
  <si>
    <t>PORCENTAJE DE UTILIDAD BRUTA PROPUESTA:</t>
  </si>
  <si>
    <t>EJERCICIO</t>
  </si>
  <si>
    <t>a.</t>
  </si>
  <si>
    <t>INDICADOR ECONOMICO</t>
  </si>
  <si>
    <t xml:space="preserve">              Concurso No.</t>
  </si>
  <si>
    <t>Periodo Final</t>
  </si>
  <si>
    <t>numconvocatoria</t>
  </si>
  <si>
    <t>VII.</t>
  </si>
  <si>
    <t>Total del presupuesto segunda moneda.</t>
  </si>
  <si>
    <t>IX.</t>
  </si>
  <si>
    <t>Personal Administrativo</t>
  </si>
  <si>
    <t>RECEPCIONISTA</t>
  </si>
  <si>
    <t>Administrativo</t>
  </si>
  <si>
    <t>Presentación despues del corte:</t>
  </si>
  <si>
    <t>UTILIDAD NETA = Up% / [ 1- ( PTU+ISR ) ]</t>
  </si>
  <si>
    <t>Periodo Inicial a Cobrar</t>
  </si>
  <si>
    <t>Por Ejercer</t>
  </si>
  <si>
    <t>CATEGORIAS</t>
  </si>
  <si>
    <t>cmic</t>
  </si>
  <si>
    <t>III.- UTILIDAD TOTAL</t>
  </si>
  <si>
    <t>VALORES DE LA OBRA</t>
  </si>
  <si>
    <t>Dias para el pago:</t>
  </si>
  <si>
    <t>Fecha de terminación de la obra (con 1 en programa de obra).</t>
  </si>
  <si>
    <t>OFICINA DE CAMPO</t>
  </si>
  <si>
    <t xml:space="preserve">%  INDIRECTO </t>
  </si>
  <si>
    <t>IMPORTE DEL PERIODO</t>
  </si>
  <si>
    <t>IMPORTE TOTAL DE LA MANO DE OBRA GRAVABLE :</t>
  </si>
  <si>
    <t>Ciudad donde se localiza la obra.</t>
  </si>
  <si>
    <t>TASA DE INTERES DIARIA =</t>
  </si>
  <si>
    <t>ART. 183 y 185 rlop</t>
  </si>
  <si>
    <t>MONTO TOTAL</t>
  </si>
  <si>
    <t>GERENTE GENERAL</t>
  </si>
  <si>
    <t>Personal Técnico</t>
  </si>
  <si>
    <t>Fecha de la convocatoria.</t>
  </si>
  <si>
    <t>Entidad federativa o provincia donde se localiza la empresa</t>
  </si>
  <si>
    <t>e.</t>
  </si>
  <si>
    <t>Descripción de la moneda 2 en que se muestra el reporte.</t>
  </si>
  <si>
    <t xml:space="preserve">ADMINISTRACION OFICINA DE CAMPO </t>
  </si>
  <si>
    <t>FINANCIAMIENTO</t>
  </si>
  <si>
    <t>Un ejercicio con 2 anticipos</t>
  </si>
  <si>
    <t>emailcliente</t>
  </si>
  <si>
    <t>Rebasa un Ejercicio presupuestal</t>
  </si>
  <si>
    <t>T O T A L E S</t>
  </si>
  <si>
    <t>TITULO</t>
  </si>
  <si>
    <t>PERIODO FINAL DE COBRO:</t>
  </si>
  <si>
    <t>PTU= PARTICIPACION DE LOS TRABAJADORES EN LA UTILIDAD</t>
  </si>
  <si>
    <t>CANTIDAD</t>
  </si>
  <si>
    <t>3. De plantas y elementos para instalaciones</t>
  </si>
  <si>
    <t>GOB. CHIAPAS</t>
  </si>
  <si>
    <t>Duracion de la Obra (en dias)</t>
  </si>
  <si>
    <t>Estimacion-Amortizacion</t>
  </si>
  <si>
    <t>REPRESENTANTE LEGAL</t>
  </si>
  <si>
    <t>Fecha del concurso.</t>
  </si>
  <si>
    <t>Personal Directivo</t>
  </si>
  <si>
    <t>Descripción de la moneda 1 en que se muestra el reporte.</t>
  </si>
  <si>
    <t>IMPORTE A EJERCER</t>
  </si>
  <si>
    <r>
      <rPr>
        <b/>
        <sz val="8"/>
        <rFont val="Arial"/>
        <family val="2"/>
      </rPr>
      <t>%Am1</t>
    </r>
    <r>
      <rPr>
        <sz val="8"/>
        <rFont val="Arial"/>
        <family val="2"/>
      </rPr>
      <t>= ( Anticipo / 1er + 2do Ejercicio)</t>
    </r>
  </si>
  <si>
    <t>totalpresupuestosegundamoneda</t>
  </si>
  <si>
    <t>PEMEX</t>
  </si>
  <si>
    <t>Nombre de la empresa.</t>
  </si>
  <si>
    <t>segundamoneda</t>
  </si>
  <si>
    <t>CI</t>
  </si>
  <si>
    <t>AMORTIZACIÓN DEL ANTICIPO</t>
  </si>
  <si>
    <t>nombredelaobra</t>
  </si>
  <si>
    <t>IMPORTE EJERCER2:</t>
  </si>
  <si>
    <t>IMPORTE</t>
  </si>
  <si>
    <t>MONTO TOTAL DE LA OBRA:</t>
  </si>
  <si>
    <t>COSTO DIRECTO +INDIRECTO:</t>
  </si>
  <si>
    <t>Año Fiscal (1 Ene al 31 Dic)</t>
  </si>
  <si>
    <t>Lugar</t>
  </si>
  <si>
    <t>NOTA: del renglón 63 al 117 se encuentran ocultos. Son las categorias de personal de campo y oficina central.</t>
  </si>
  <si>
    <t>AMORTIZACION</t>
  </si>
  <si>
    <t>PORCENTAJE DE IMPUESTO SOBRE NÓMINA:</t>
  </si>
  <si>
    <t>Duración de la obra en dias habiles.</t>
  </si>
  <si>
    <t>CATEGORIA</t>
  </si>
  <si>
    <t>RFC de la empresa.</t>
  </si>
  <si>
    <t>Registro INFONAVIT de la empresa.</t>
  </si>
  <si>
    <t>Bodegas</t>
  </si>
  <si>
    <t>II.-FINANCIAMIENTO</t>
  </si>
  <si>
    <t>Terminación</t>
  </si>
  <si>
    <t>Número del concurso.</t>
  </si>
  <si>
    <t>SUPTE. GRAL. OBRAS FORANEAS</t>
  </si>
  <si>
    <t>simbologia</t>
  </si>
  <si>
    <t>ESTIMACIONES CON ANTICIPO AMORTIZADO</t>
  </si>
  <si>
    <t>% APLICABLE AL PERIODO :</t>
  </si>
  <si>
    <t>coloniadelaobra</t>
  </si>
  <si>
    <t>VI.</t>
  </si>
  <si>
    <t>Registro IMSS de la empresa.</t>
  </si>
  <si>
    <t>PARA OBRAS QUE REBASEN UN EJERCICIO PRESUPUESTAL</t>
  </si>
  <si>
    <t>NUMERO</t>
  </si>
  <si>
    <t>* ANEXAR COMPROBANTES (CEDULA DE GASTOS DE ANTICIPOS)</t>
  </si>
  <si>
    <t>CONSTRUCCIÓN DE TECHUMBRE DE LA CANCHA DE USOS MÚLTIPLES EN CUERNAVACA, EN LA LOCALIDAD DE SATÉLITE EN LA UNIDAD DEPORTIVA LOS PINOS, UBICACIÓN: CALLE MAGNOLIA, ESQ. CON CALLE GERANIO, COL SATÉLITE, DELEGACIÓN: VICENTE GUERRERO, CUERNAVACA, MORELOS</t>
  </si>
  <si>
    <t>MONTO DE LA OBRA A COSTO DIRECTO :</t>
  </si>
  <si>
    <t>Campamentos</t>
  </si>
  <si>
    <t>CA= Sub / (1-0.005) - Sub</t>
  </si>
  <si>
    <t>Lugar:</t>
  </si>
  <si>
    <t>responsable</t>
  </si>
  <si>
    <t>Tasa Pasiva</t>
  </si>
  <si>
    <t xml:space="preserve">                              Concurso No.</t>
  </si>
  <si>
    <t>ANALISTA DE COSTOS</t>
  </si>
  <si>
    <t>IMPORTE PARA FINANCIAMIENTO:</t>
  </si>
  <si>
    <t>FACTOR PARA LA OBTENCIÓN DE LA SFP:</t>
  </si>
  <si>
    <t>plazocalculado</t>
  </si>
  <si>
    <t xml:space="preserve">TASA DE AMORTIZACION </t>
  </si>
  <si>
    <t>TECNICOS Y</t>
  </si>
  <si>
    <t>OBRA:</t>
  </si>
  <si>
    <t>Sobre el Importe de Estimaciones</t>
  </si>
  <si>
    <t>CAPTURISTA DE DATOS</t>
  </si>
  <si>
    <t>Horas Hombre</t>
  </si>
  <si>
    <t>Revisión y Autorización:</t>
  </si>
  <si>
    <t>GERENTE DE CONTROL</t>
  </si>
  <si>
    <t>Total del presupuesto primera moneda.</t>
  </si>
  <si>
    <t>PUNTOS DEL BANCO:</t>
  </si>
  <si>
    <t>Año Comercial (360 Dias)</t>
  </si>
  <si>
    <t>GOB. COLIMA</t>
  </si>
  <si>
    <t>Previo Inicio de obra</t>
  </si>
  <si>
    <t>1. De Campamentos</t>
  </si>
  <si>
    <t>De Equipo de Construcción</t>
  </si>
  <si>
    <t>TASA DE INTERES USADA (Anual )=</t>
  </si>
  <si>
    <t>area</t>
  </si>
  <si>
    <t>DIAS TOTALES</t>
  </si>
  <si>
    <t>ACUMULADO</t>
  </si>
  <si>
    <t>SUPERINTENDENTE</t>
  </si>
  <si>
    <t>estadodelaobra</t>
  </si>
  <si>
    <t>GERENTE DE CONSTRUCCION</t>
  </si>
  <si>
    <t>INDIRECTO DE OBRA:</t>
  </si>
  <si>
    <t>CFE</t>
  </si>
  <si>
    <t>Teléfono de la obra.</t>
  </si>
  <si>
    <t>email</t>
  </si>
  <si>
    <t xml:space="preserve">AUXILIAR DEPTO. DE CONTROL </t>
  </si>
  <si>
    <t>HONORARIOS SUELDOS Y PRESTACIONES</t>
  </si>
  <si>
    <t>COSTOS FINANCIAMIENTO  ACUMULADOS</t>
  </si>
  <si>
    <t>Correo electrónico de la empresa</t>
  </si>
  <si>
    <t>PERIODO DE ENTREGA SEGUNDO ANTICIPO:</t>
  </si>
  <si>
    <t>Dirección del cliente.</t>
  </si>
  <si>
    <t>TASA DE INTERÉS USADA:</t>
  </si>
  <si>
    <t>ALMACENISTA GENERAL</t>
  </si>
  <si>
    <t>GASTOS DIRECTIVOS</t>
  </si>
  <si>
    <t>No. de Personas</t>
  </si>
  <si>
    <t>INICIO:</t>
  </si>
  <si>
    <t>tipodelicitacion</t>
  </si>
  <si>
    <t>CNA</t>
  </si>
  <si>
    <t>DATOS DEL CONCURSO</t>
  </si>
  <si>
    <t>Numero de la convocatoria del concurso.</t>
  </si>
  <si>
    <t>RAZON SOCIAL DEL LICITANTE</t>
  </si>
  <si>
    <t>De mobiliario</t>
  </si>
  <si>
    <t>PROGRAMADO</t>
  </si>
  <si>
    <t>direcciondelaobra</t>
  </si>
  <si>
    <t xml:space="preserve">              Obra:</t>
  </si>
  <si>
    <t>PLAZO:</t>
  </si>
  <si>
    <t>CU</t>
  </si>
  <si>
    <t>LISTADO DE PERSONAL DE CAMPO</t>
  </si>
  <si>
    <t>MONTO</t>
  </si>
  <si>
    <t>%=</t>
  </si>
  <si>
    <t>PORCENTAJE TOTAL DE UTILIDAD ( %=Total utilidad * 100 / (CD+CI+CF) )</t>
  </si>
  <si>
    <t>BODEGUERO</t>
  </si>
  <si>
    <t>VELADOR</t>
  </si>
  <si>
    <t>Cliente</t>
  </si>
  <si>
    <t>Sobre el Costo directo de la Obra</t>
  </si>
  <si>
    <t>Decimales para redondeo de importes.</t>
  </si>
  <si>
    <t>IMPORTE TOTAL UTILIDAD</t>
  </si>
  <si>
    <t>Departamento del cliente que licita.</t>
  </si>
  <si>
    <t>DETERMINACION DE CARGOS ADICIONALES</t>
  </si>
  <si>
    <t>CUERNAVACA, MORELOS</t>
  </si>
  <si>
    <t>COSTO DIRECTO</t>
  </si>
  <si>
    <t>Porcentaje iva presupuesto.</t>
  </si>
  <si>
    <t>Construcción y conservación de caminos de acceso</t>
  </si>
  <si>
    <t>De Plantas y elementos para Instalaciones</t>
  </si>
  <si>
    <t>No</t>
  </si>
  <si>
    <t>e-Mail de la obra.</t>
  </si>
  <si>
    <t>DOCUMENTO 24</t>
  </si>
  <si>
    <t>ANEXO RE-9</t>
  </si>
  <si>
    <t>DOCUMENTO 25</t>
  </si>
  <si>
    <t>ANEXORE-10</t>
  </si>
  <si>
    <t>DOCUMENTO 26</t>
  </si>
  <si>
    <t>ANEXO RE-11</t>
  </si>
  <si>
    <t>%C.I. = (GASTO INIDIRECTO/COSTO DIRECTO DE LA OBRA)X100</t>
  </si>
  <si>
    <t>% IND. = SUMA DE TODOS LOS GASTOS DE INDIRECTOS/COSTO DIRECTO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</si>
</sst>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;[Red]\-&quot;$&quot;#,##0"/>
    <numFmt numFmtId="44" formatCode="_-&quot;$&quot;* #,##0.00_-;\-&quot;$&quot;* #,##0.00_-;_-&quot;$&quot;* &quot;-&quot;??_-;_-@_-"/>
    <numFmt numFmtId="164" formatCode="0.0000"/>
    <numFmt numFmtId="165" formatCode="&quot;N$&quot;#,##0.00_);\(&quot;N$&quot;#,##0.00\)"/>
    <numFmt numFmtId="166" formatCode="0.0000%"/>
    <numFmt numFmtId="167" formatCode="#,##0.0000"/>
    <numFmt numFmtId="168" formatCode="&quot;$&quot;#,##0.00"/>
    <numFmt numFmtId="169" formatCode="General_)"/>
    <numFmt numFmtId="170" formatCode="mmmm\-yy"/>
    <numFmt numFmtId="171" formatCode="dd\-mm\-yy"/>
    <numFmt numFmtId="172" formatCode="0.000000"/>
    <numFmt numFmtId="173" formatCode="0.000%"/>
    <numFmt numFmtId="174" formatCode="0.00000%"/>
    <numFmt numFmtId="175" formatCode="0.0000000"/>
    <numFmt numFmtId="176" formatCode="dd/mm/yyyy;@"/>
    <numFmt numFmtId="177" formatCode="[$-80A]d&quot; de &quot;mmmm&quot; de &quot;yyyy;@"/>
    <numFmt numFmtId="178" formatCode="0.000000%"/>
    <numFmt numFmtId="179" formatCode="0.00000000%"/>
    <numFmt numFmtId="180" formatCode="#,##0.000000"/>
  </numFmts>
  <fonts count="50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sz val="10"/>
      <name val="Courier"/>
      <family val="3"/>
    </font>
    <font>
      <sz val="8"/>
      <color indexed="12"/>
      <name val="Arial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  <font>
      <sz val="9"/>
      <name val="Tahoma"/>
      <family val="2"/>
    </font>
    <font>
      <i/>
      <sz val="8"/>
      <name val="Arial"/>
      <family val="2"/>
    </font>
    <font>
      <sz val="6"/>
      <name val="Arial"/>
      <family val="2"/>
    </font>
    <font>
      <b/>
      <sz val="9"/>
      <name val="Tahoma"/>
      <family val="2"/>
    </font>
    <font>
      <b/>
      <sz val="8"/>
      <name val="Tahoma"/>
      <family val="2"/>
    </font>
    <font>
      <sz val="8"/>
      <color indexed="18"/>
      <name val="Arial"/>
      <family val="2"/>
    </font>
    <font>
      <i/>
      <sz val="9"/>
      <name val="Arial"/>
      <family val="2"/>
    </font>
    <font>
      <b/>
      <sz val="10"/>
      <name val="Tahoma"/>
      <family val="2"/>
    </font>
    <font>
      <sz val="10"/>
      <name val="Aharoni"/>
      <charset val="177"/>
    </font>
    <font>
      <b/>
      <sz val="8"/>
      <color indexed="12"/>
      <name val="Arial"/>
      <family val="2"/>
    </font>
    <font>
      <sz val="10"/>
      <name val="Tahoma"/>
      <family val="2"/>
    </font>
    <font>
      <b/>
      <sz val="8"/>
      <color indexed="10"/>
      <name val="Arial"/>
      <family val="2"/>
    </font>
    <font>
      <sz val="8"/>
      <name val="Maiandra GD"/>
      <family val="2"/>
    </font>
    <font>
      <b/>
      <sz val="10"/>
      <color indexed="12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1"/>
      <name val="Tahoma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name val="Berlin Sans FB Demi"/>
      <family val="2"/>
    </font>
    <font>
      <b/>
      <sz val="12"/>
      <name val="Arial"/>
      <family val="2"/>
    </font>
    <font>
      <sz val="14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8"/>
      <color rgb="FF0070C0"/>
      <name val="Arial"/>
      <family val="2"/>
    </font>
    <font>
      <sz val="12"/>
      <color theme="7" tint="0.79998168889431442"/>
      <name val="Arial"/>
      <family val="2"/>
    </font>
    <font>
      <sz val="12"/>
      <color theme="7" tint="0.39997558519241921"/>
      <name val="Arial"/>
      <family val="2"/>
    </font>
    <font>
      <sz val="10"/>
      <color theme="1"/>
      <name val="Tahoma"/>
      <family val="2"/>
    </font>
    <font>
      <b/>
      <sz val="14"/>
      <color rgb="FF7030A0"/>
      <name val="Verdana"/>
      <family val="2"/>
    </font>
    <font>
      <b/>
      <sz val="10"/>
      <color rgb="FF2607E3"/>
      <name val="Tahoma"/>
      <family val="2"/>
    </font>
    <font>
      <b/>
      <sz val="9"/>
      <color theme="3"/>
      <name val="Arial"/>
      <family val="2"/>
    </font>
    <font>
      <b/>
      <sz val="10"/>
      <color rgb="FF2607E3"/>
      <name val="Arial"/>
      <family val="2"/>
    </font>
    <font>
      <b/>
      <sz val="9"/>
      <color rgb="FF2607E3"/>
      <name val="Arial"/>
      <family val="2"/>
    </font>
    <font>
      <sz val="10"/>
      <color theme="2" tint="-0.499984740745262"/>
      <name val="Arial"/>
      <family val="2"/>
    </font>
    <font>
      <b/>
      <sz val="8"/>
      <color rgb="FF0070C0"/>
      <name val="Tahoma"/>
      <family val="2"/>
    </font>
    <font>
      <u/>
      <sz val="8"/>
      <color theme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rgb="FFFFFF00"/>
        <bgColor theme="9" tint="0.79998168889431442"/>
      </patternFill>
    </fill>
    <fill>
      <patternFill patternType="solid">
        <fgColor theme="5" tint="0.40000610370189521"/>
        <bgColor rgb="FF000000"/>
      </patternFill>
    </fill>
    <fill>
      <patternFill patternType="solid">
        <fgColor theme="2" tint="-0.250007629627369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80001220740379042"/>
        <bgColor rgb="FF000000"/>
      </patternFill>
    </fill>
    <fill>
      <patternFill patternType="solid">
        <fgColor theme="7" tint="0.40000610370189521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23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rgb="FFC00000"/>
      </left>
      <right style="hair">
        <color rgb="FFC00000"/>
      </right>
      <top style="thin">
        <color rgb="FFC00000"/>
      </top>
      <bottom style="thin">
        <color rgb="FFC00000"/>
      </bottom>
      <diagonal/>
    </border>
    <border>
      <left style="hair">
        <color rgb="FFC00000"/>
      </left>
      <right style="hair">
        <color rgb="FFC00000"/>
      </right>
      <top/>
      <bottom/>
      <diagonal/>
    </border>
    <border>
      <left style="hair">
        <color rgb="FFC00000"/>
      </left>
      <right style="hair">
        <color rgb="FFC00000"/>
      </right>
      <top/>
      <bottom style="double">
        <color rgb="FFC00000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 style="hair">
        <color rgb="FFC00000"/>
      </left>
      <right style="hair">
        <color rgb="FFC00000"/>
      </right>
      <top style="double">
        <color rgb="FFC0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 style="hair">
        <color rgb="FFC00000"/>
      </left>
      <right style="hair">
        <color rgb="FFC00000"/>
      </right>
      <top style="double">
        <color rgb="FFC00000"/>
      </top>
      <bottom style="thin">
        <color rgb="FFC00000"/>
      </bottom>
      <diagonal/>
    </border>
    <border>
      <left style="hair">
        <color rgb="FFC00000"/>
      </left>
      <right style="hair">
        <color rgb="FFC00000"/>
      </right>
      <top style="double">
        <color rgb="FFC00000"/>
      </top>
      <bottom style="double">
        <color rgb="FFC00000"/>
      </bottom>
      <diagonal/>
    </border>
    <border>
      <left/>
      <right/>
      <top style="double">
        <color rgb="FFC00000"/>
      </top>
      <bottom/>
      <diagonal/>
    </border>
    <border>
      <left/>
      <right style="double">
        <color theme="1"/>
      </right>
      <top/>
      <bottom/>
      <diagonal/>
    </border>
    <border>
      <left style="hair">
        <color rgb="FFC00000"/>
      </left>
      <right style="hair">
        <color rgb="FFC00000"/>
      </right>
      <top/>
      <bottom style="thin">
        <color rgb="FFC00000"/>
      </bottom>
      <diagonal/>
    </border>
    <border>
      <left style="double">
        <color rgb="FFC00000"/>
      </left>
      <right style="hair">
        <color rgb="FFC00000"/>
      </right>
      <top/>
      <bottom/>
      <diagonal/>
    </border>
    <border>
      <left style="hair">
        <color rgb="FFC00000"/>
      </left>
      <right style="hair">
        <color rgb="FFC00000"/>
      </right>
      <top style="thin">
        <color rgb="FFC00000"/>
      </top>
      <bottom/>
      <diagonal/>
    </border>
    <border>
      <left style="hair">
        <color rgb="FFC00000"/>
      </left>
      <right style="double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rgb="FFC00000"/>
      </left>
      <right style="hair">
        <color rgb="FFC00000"/>
      </right>
      <top/>
      <bottom style="double">
        <color rgb="FFC00000"/>
      </bottom>
      <diagonal/>
    </border>
    <border>
      <left style="double">
        <color theme="1"/>
      </left>
      <right/>
      <top/>
      <bottom/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 style="hair">
        <color rgb="FFC00000"/>
      </right>
      <top style="thin">
        <color rgb="FFC00000"/>
      </top>
      <bottom style="thin">
        <color rgb="FFC00000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hair">
        <color rgb="FFC00000"/>
      </left>
      <right style="double">
        <color rgb="FFC00000"/>
      </right>
      <top/>
      <bottom/>
      <diagonal/>
    </border>
    <border>
      <left/>
      <right/>
      <top/>
      <bottom style="double">
        <color theme="1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3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ck">
        <color theme="3"/>
      </left>
      <right/>
      <top style="double">
        <color theme="1"/>
      </top>
      <bottom style="double">
        <color rgb="FF000000"/>
      </bottom>
      <diagonal/>
    </border>
    <border>
      <left style="hair">
        <color rgb="FFC00000"/>
      </left>
      <right style="double">
        <color rgb="FFC00000"/>
      </right>
      <top/>
      <bottom style="hair">
        <color rgb="FFC00000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hair">
        <color rgb="FFC00000"/>
      </left>
      <right style="double">
        <color rgb="FFC00000"/>
      </right>
      <top/>
      <bottom style="double">
        <color rgb="FFC00000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double">
        <color rgb="FFC00000"/>
      </left>
      <right style="hair">
        <color rgb="FFC00000"/>
      </right>
      <top style="double">
        <color rgb="FFC00000"/>
      </top>
      <bottom style="thin">
        <color rgb="FFC00000"/>
      </bottom>
      <diagonal/>
    </border>
    <border>
      <left style="hair">
        <color rgb="FFC00000"/>
      </left>
      <right style="double">
        <color rgb="FFC00000"/>
      </right>
      <top style="double">
        <color rgb="FFC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double">
        <color rgb="FF000000"/>
      </bottom>
      <diagonal/>
    </border>
    <border>
      <left style="double">
        <color rgb="FFC00000"/>
      </left>
      <right style="hair">
        <color rgb="FFC00000"/>
      </right>
      <top style="double">
        <color rgb="FFC00000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hair">
        <color rgb="FFC00000"/>
      </left>
      <right style="double">
        <color rgb="FFC00000"/>
      </right>
      <top style="thin">
        <color rgb="FFC00000"/>
      </top>
      <bottom/>
      <diagonal/>
    </border>
    <border>
      <left style="double">
        <color theme="3"/>
      </left>
      <right/>
      <top style="double">
        <color theme="1"/>
      </top>
      <bottom style="double">
        <color rgb="FF000000"/>
      </bottom>
      <diagonal/>
    </border>
    <border>
      <left style="double">
        <color rgb="FFC00000"/>
      </left>
      <right style="hair">
        <color rgb="FFC00000"/>
      </right>
      <top/>
      <bottom style="thin">
        <color rgb="FFC00000"/>
      </bottom>
      <diagonal/>
    </border>
    <border>
      <left style="double">
        <color rgb="FFC00000"/>
      </left>
      <right style="hair">
        <color rgb="FFC00000"/>
      </right>
      <top style="double">
        <color rgb="FFC00000"/>
      </top>
      <bottom style="double">
        <color rgb="FFC00000"/>
      </bottom>
      <diagonal/>
    </border>
    <border>
      <left style="double">
        <color rgb="FFC00000"/>
      </left>
      <right/>
      <top style="double">
        <color rgb="FFC00000"/>
      </top>
      <bottom style="double">
        <color rgb="FFC00000"/>
      </bottom>
      <diagonal/>
    </border>
    <border>
      <left style="thin">
        <color rgb="FF2607E3"/>
      </left>
      <right style="thin">
        <color rgb="FF2607E3"/>
      </right>
      <top style="thin">
        <color rgb="FF2607E3"/>
      </top>
      <bottom style="thin">
        <color rgb="FF2607E3"/>
      </bottom>
      <diagonal/>
    </border>
    <border>
      <left style="thick">
        <color theme="3"/>
      </left>
      <right style="double">
        <color theme="1"/>
      </right>
      <top style="double">
        <color theme="1"/>
      </top>
      <bottom style="double">
        <color rgb="FF000000"/>
      </bottom>
      <diagonal/>
    </border>
    <border>
      <left/>
      <right style="double">
        <color theme="1"/>
      </right>
      <top style="double">
        <color theme="1"/>
      </top>
      <bottom style="double">
        <color rgb="FF000000"/>
      </bottom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hair">
        <color rgb="FFC00000"/>
      </right>
      <top style="thin">
        <color rgb="FFC00000"/>
      </top>
      <bottom/>
      <diagonal/>
    </border>
    <border>
      <left style="hair">
        <color rgb="FFC00000"/>
      </left>
      <right style="double">
        <color rgb="FFC00000"/>
      </right>
      <top style="double">
        <color rgb="FFC00000"/>
      </top>
      <bottom style="thin">
        <color rgb="FFC00000"/>
      </bottom>
      <diagonal/>
    </border>
    <border>
      <left style="double">
        <color theme="1"/>
      </left>
      <right/>
      <top style="double">
        <color theme="1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 style="thin">
        <color rgb="FFFF0000"/>
      </bottom>
      <diagonal/>
    </border>
    <border>
      <left style="double">
        <color theme="1"/>
      </left>
      <right/>
      <top style="double">
        <color rgb="FF000000"/>
      </top>
      <bottom style="double">
        <color rgb="FF00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indexed="1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double">
        <color theme="3"/>
      </left>
      <right style="double">
        <color theme="1"/>
      </right>
      <top style="double">
        <color rgb="FF000000"/>
      </top>
      <bottom style="double">
        <color rgb="FF000000"/>
      </bottom>
      <diagonal/>
    </border>
    <border>
      <left style="hair">
        <color rgb="FFC00000"/>
      </left>
      <right style="double">
        <color rgb="FFC00000"/>
      </right>
      <top/>
      <bottom style="thin">
        <color rgb="FFC00000"/>
      </bottom>
      <diagonal/>
    </border>
    <border>
      <left style="hair">
        <color rgb="FFC00000"/>
      </left>
      <right style="double">
        <color rgb="FFC00000"/>
      </right>
      <top style="double">
        <color rgb="FFC00000"/>
      </top>
      <bottom style="double">
        <color rgb="FFC00000"/>
      </bottom>
      <diagonal/>
    </border>
    <border>
      <left/>
      <right style="thin">
        <color theme="1"/>
      </right>
      <top style="thin">
        <color rgb="FF2607E3"/>
      </top>
      <bottom style="thin">
        <color theme="1"/>
      </bottom>
      <diagonal/>
    </border>
  </borders>
  <cellStyleXfs count="6">
    <xf numFmtId="0" fontId="0" fillId="0" borderId="0"/>
    <xf numFmtId="169" fontId="6" fillId="0" borderId="0"/>
    <xf numFmtId="13" fontId="34" fillId="0" borderId="0" applyFont="0" applyFill="0" applyProtection="0"/>
    <xf numFmtId="0" fontId="34" fillId="0" borderId="0"/>
    <xf numFmtId="12" fontId="34" fillId="0" borderId="0" applyFont="0" applyFill="0" applyProtection="0"/>
    <xf numFmtId="0" fontId="33" fillId="0" borderId="0" applyNumberFormat="0" applyFill="0" applyBorder="0" applyAlignment="0" applyProtection="0">
      <alignment vertical="top"/>
      <protection locked="0"/>
    </xf>
  </cellStyleXfs>
  <cellXfs count="1182">
    <xf numFmtId="0" fontId="0" fillId="0" borderId="0" xfId="0"/>
    <xf numFmtId="0" fontId="3" fillId="0" borderId="1" xfId="0" applyFont="1" applyFill="1" applyBorder="1" applyAlignment="1">
      <alignment horizontal="center"/>
    </xf>
    <xf numFmtId="168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Border="1"/>
    <xf numFmtId="4" fontId="1" fillId="0" borderId="2" xfId="0" applyNumberFormat="1" applyFont="1" applyBorder="1"/>
    <xf numFmtId="0" fontId="1" fillId="0" borderId="3" xfId="0" applyNumberFormat="1" applyFont="1" applyBorder="1" applyAlignment="1" applyProtection="1">
      <alignment horizontal="center"/>
    </xf>
    <xf numFmtId="168" fontId="3" fillId="0" borderId="4" xfId="0" applyNumberFormat="1" applyFont="1" applyBorder="1"/>
    <xf numFmtId="0" fontId="3" fillId="0" borderId="5" xfId="0" applyFont="1" applyFill="1" applyBorder="1" applyAlignment="1">
      <alignment horizontal="center"/>
    </xf>
    <xf numFmtId="0" fontId="1" fillId="0" borderId="6" xfId="0" applyNumberFormat="1" applyFont="1" applyBorder="1" applyAlignment="1" applyProtection="1">
      <alignment horizontal="center"/>
    </xf>
    <xf numFmtId="4" fontId="3" fillId="0" borderId="7" xfId="0" applyNumberFormat="1" applyFont="1" applyBorder="1"/>
    <xf numFmtId="0" fontId="1" fillId="0" borderId="2" xfId="0" applyFont="1" applyBorder="1"/>
    <xf numFmtId="168" fontId="3" fillId="0" borderId="5" xfId="0" applyNumberFormat="1" applyFont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8" xfId="0" applyNumberFormat="1" applyFont="1" applyBorder="1"/>
    <xf numFmtId="0" fontId="1" fillId="0" borderId="9" xfId="0" applyNumberFormat="1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1" fillId="5" borderId="0" xfId="0" applyFont="1" applyFill="1" applyBorder="1"/>
    <xf numFmtId="0" fontId="1" fillId="0" borderId="8" xfId="0" applyNumberFormat="1" applyFont="1" applyBorder="1" applyAlignment="1" applyProtection="1">
      <alignment horizontal="center"/>
    </xf>
    <xf numFmtId="0" fontId="0" fillId="0" borderId="0" xfId="0" applyFill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NumberFormat="1" applyFont="1" applyBorder="1" applyAlignment="1" applyProtection="1">
      <alignment horizontal="center"/>
    </xf>
    <xf numFmtId="0" fontId="1" fillId="5" borderId="0" xfId="0" applyFont="1" applyFill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 applyBorder="1" applyAlignment="1">
      <alignment horizontal="right"/>
    </xf>
    <xf numFmtId="0" fontId="2" fillId="5" borderId="0" xfId="0" applyFont="1" applyFill="1" applyAlignment="1"/>
    <xf numFmtId="0" fontId="1" fillId="0" borderId="12" xfId="0" applyFont="1" applyBorder="1"/>
    <xf numFmtId="0" fontId="1" fillId="0" borderId="16" xfId="0" applyFont="1" applyBorder="1" applyAlignment="1">
      <alignment horizontal="center"/>
    </xf>
    <xf numFmtId="4" fontId="35" fillId="0" borderId="2" xfId="0" applyNumberFormat="1" applyFont="1" applyBorder="1"/>
    <xf numFmtId="0" fontId="1" fillId="0" borderId="13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" fontId="3" fillId="0" borderId="13" xfId="0" applyNumberFormat="1" applyFont="1" applyBorder="1"/>
    <xf numFmtId="170" fontId="1" fillId="0" borderId="17" xfId="0" applyNumberFormat="1" applyFont="1" applyBorder="1" applyAlignment="1">
      <alignment horizontal="center" vertical="center"/>
    </xf>
    <xf numFmtId="0" fontId="3" fillId="0" borderId="0" xfId="0" applyFont="1" applyBorder="1"/>
    <xf numFmtId="0" fontId="3" fillId="0" borderId="10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4" fontId="3" fillId="0" borderId="0" xfId="0" applyNumberFormat="1" applyFont="1" applyBorder="1"/>
    <xf numFmtId="0" fontId="1" fillId="0" borderId="15" xfId="0" applyNumberFormat="1" applyFont="1" applyBorder="1" applyAlignment="1" applyProtection="1">
      <alignment horizontal="center"/>
    </xf>
    <xf numFmtId="0" fontId="1" fillId="0" borderId="18" xfId="0" applyNumberFormat="1" applyFont="1" applyBorder="1" applyAlignment="1" applyProtection="1">
      <alignment horizontal="center"/>
    </xf>
    <xf numFmtId="0" fontId="3" fillId="0" borderId="4" xfId="0" applyNumberFormat="1" applyFont="1" applyBorder="1" applyAlignment="1">
      <alignment horizontal="center"/>
    </xf>
    <xf numFmtId="4" fontId="3" fillId="0" borderId="9" xfId="0" applyNumberFormat="1" applyFont="1" applyBorder="1"/>
    <xf numFmtId="4" fontId="1" fillId="0" borderId="4" xfId="0" applyNumberFormat="1" applyFont="1" applyBorder="1" applyAlignment="1">
      <alignment horizontal="right"/>
    </xf>
    <xf numFmtId="168" fontId="3" fillId="0" borderId="19" xfId="0" applyNumberFormat="1" applyFont="1" applyBorder="1"/>
    <xf numFmtId="4" fontId="1" fillId="0" borderId="4" xfId="0" applyNumberFormat="1" applyFont="1" applyBorder="1"/>
    <xf numFmtId="168" fontId="3" fillId="0" borderId="1" xfId="0" applyNumberFormat="1" applyFont="1" applyFill="1" applyBorder="1"/>
    <xf numFmtId="168" fontId="3" fillId="0" borderId="3" xfId="0" applyNumberFormat="1" applyFont="1" applyBorder="1"/>
    <xf numFmtId="166" fontId="1" fillId="5" borderId="20" xfId="0" applyNumberFormat="1" applyFont="1" applyFill="1" applyBorder="1"/>
    <xf numFmtId="0" fontId="0" fillId="0" borderId="0" xfId="0" applyBorder="1"/>
    <xf numFmtId="4" fontId="3" fillId="0" borderId="4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" fontId="3" fillId="0" borderId="21" xfId="0" applyNumberFormat="1" applyFont="1" applyBorder="1"/>
    <xf numFmtId="4" fontId="3" fillId="0" borderId="17" xfId="0" applyNumberFormat="1" applyFont="1" applyBorder="1"/>
    <xf numFmtId="0" fontId="36" fillId="0" borderId="97" xfId="0" applyFont="1" applyFill="1" applyBorder="1" applyAlignment="1">
      <alignment horizontal="center" vertical="center"/>
    </xf>
    <xf numFmtId="17" fontId="1" fillId="0" borderId="16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9" xfId="0" applyFont="1" applyBorder="1"/>
    <xf numFmtId="4" fontId="1" fillId="5" borderId="22" xfId="0" applyNumberFormat="1" applyFont="1" applyFill="1" applyBorder="1" applyProtection="1"/>
    <xf numFmtId="0" fontId="1" fillId="0" borderId="20" xfId="0" applyFont="1" applyBorder="1"/>
    <xf numFmtId="0" fontId="36" fillId="0" borderId="98" xfId="0" applyFont="1" applyFill="1" applyBorder="1" applyAlignment="1">
      <alignment horizontal="center" vertical="center"/>
    </xf>
    <xf numFmtId="0" fontId="1" fillId="0" borderId="0" xfId="0" applyFont="1" applyFill="1" applyBorder="1"/>
    <xf numFmtId="166" fontId="1" fillId="0" borderId="20" xfId="0" applyNumberFormat="1" applyFont="1" applyBorder="1"/>
    <xf numFmtId="0" fontId="37" fillId="14" borderId="99" xfId="0" applyFont="1" applyFill="1" applyBorder="1" applyAlignment="1">
      <alignment horizontal="center" vertical="center"/>
    </xf>
    <xf numFmtId="0" fontId="36" fillId="0" borderId="100" xfId="0" applyFont="1" applyFill="1" applyBorder="1" applyAlignment="1">
      <alignment horizontal="center" vertical="center"/>
    </xf>
    <xf numFmtId="169" fontId="1" fillId="5" borderId="0" xfId="1" applyFont="1" applyFill="1" applyBorder="1" applyAlignment="1">
      <alignment horizontal="right"/>
    </xf>
    <xf numFmtId="0" fontId="1" fillId="0" borderId="18" xfId="0" applyFont="1" applyBorder="1"/>
    <xf numFmtId="4" fontId="3" fillId="0" borderId="23" xfId="0" applyNumberFormat="1" applyFont="1" applyBorder="1"/>
    <xf numFmtId="0" fontId="1" fillId="0" borderId="5" xfId="0" applyNumberFormat="1" applyFont="1" applyBorder="1" applyAlignment="1" applyProtection="1">
      <alignment horizontal="center"/>
    </xf>
    <xf numFmtId="0" fontId="1" fillId="0" borderId="24" xfId="0" applyNumberFormat="1" applyFont="1" applyBorder="1" applyAlignment="1" applyProtection="1">
      <alignment horizontal="center"/>
    </xf>
    <xf numFmtId="4" fontId="3" fillId="0" borderId="25" xfId="0" applyNumberFormat="1" applyFont="1" applyBorder="1"/>
    <xf numFmtId="4" fontId="2" fillId="0" borderId="22" xfId="0" applyNumberFormat="1" applyFont="1" applyFill="1" applyBorder="1" applyProtection="1"/>
    <xf numFmtId="0" fontId="2" fillId="0" borderId="12" xfId="0" applyFont="1" applyBorder="1" applyAlignment="1">
      <alignment horizontal="left"/>
    </xf>
    <xf numFmtId="166" fontId="7" fillId="0" borderId="20" xfId="0" applyNumberFormat="1" applyFont="1" applyBorder="1" applyProtection="1">
      <protection locked="0"/>
    </xf>
    <xf numFmtId="169" fontId="6" fillId="0" borderId="14" xfId="1" applyBorder="1"/>
    <xf numFmtId="4" fontId="1" fillId="0" borderId="22" xfId="0" applyNumberFormat="1" applyFont="1" applyBorder="1" applyProtection="1"/>
    <xf numFmtId="169" fontId="1" fillId="0" borderId="0" xfId="1" applyFont="1" applyAlignment="1">
      <alignment horizontal="right"/>
    </xf>
    <xf numFmtId="176" fontId="1" fillId="0" borderId="0" xfId="0" applyNumberFormat="1" applyFont="1" applyBorder="1"/>
    <xf numFmtId="169" fontId="4" fillId="0" borderId="0" xfId="1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5" borderId="19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169" fontId="1" fillId="0" borderId="0" xfId="1" applyFont="1" applyBorder="1"/>
    <xf numFmtId="168" fontId="1" fillId="0" borderId="0" xfId="0" applyNumberFormat="1" applyFont="1" applyBorder="1"/>
    <xf numFmtId="0" fontId="37" fillId="14" borderId="97" xfId="0" applyFont="1" applyFill="1" applyBorder="1" applyAlignment="1">
      <alignment horizontal="center" vertical="center"/>
    </xf>
    <xf numFmtId="0" fontId="1" fillId="0" borderId="12" xfId="0" applyFont="1" applyBorder="1" applyAlignment="1"/>
    <xf numFmtId="0" fontId="1" fillId="0" borderId="26" xfId="0" applyFont="1" applyBorder="1"/>
    <xf numFmtId="0" fontId="1" fillId="0" borderId="13" xfId="0" applyFont="1" applyBorder="1" applyAlignment="1"/>
    <xf numFmtId="0" fontId="1" fillId="0" borderId="15" xfId="0" applyFont="1" applyBorder="1" applyAlignment="1">
      <alignment horizontal="center"/>
    </xf>
    <xf numFmtId="168" fontId="1" fillId="5" borderId="0" xfId="0" applyNumberFormat="1" applyFont="1" applyFill="1" applyBorder="1" applyAlignment="1">
      <alignment horizontal="right"/>
    </xf>
    <xf numFmtId="0" fontId="1" fillId="5" borderId="19" xfId="0" applyFont="1" applyFill="1" applyBorder="1"/>
    <xf numFmtId="0" fontId="1" fillId="0" borderId="27" xfId="0" applyFont="1" applyBorder="1"/>
    <xf numFmtId="4" fontId="1" fillId="0" borderId="22" xfId="0" applyNumberFormat="1" applyFont="1" applyFill="1" applyBorder="1" applyProtection="1"/>
    <xf numFmtId="0" fontId="37" fillId="15" borderId="101" xfId="0" applyFont="1" applyFill="1" applyBorder="1" applyAlignment="1">
      <alignment horizontal="center" vertical="center"/>
    </xf>
    <xf numFmtId="0" fontId="8" fillId="16" borderId="102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right"/>
    </xf>
    <xf numFmtId="0" fontId="37" fillId="15" borderId="97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2" fillId="5" borderId="0" xfId="0" applyFont="1" applyFill="1" applyBorder="1"/>
    <xf numFmtId="4" fontId="3" fillId="0" borderId="28" xfId="0" applyNumberFormat="1" applyFont="1" applyBorder="1"/>
    <xf numFmtId="0" fontId="1" fillId="0" borderId="11" xfId="0" applyNumberFormat="1" applyFont="1" applyBorder="1" applyAlignment="1">
      <alignment horizontal="center"/>
    </xf>
    <xf numFmtId="4" fontId="1" fillId="0" borderId="12" xfId="1" applyNumberFormat="1" applyFont="1" applyBorder="1"/>
    <xf numFmtId="0" fontId="3" fillId="0" borderId="24" xfId="0" applyFont="1" applyBorder="1" applyAlignment="1">
      <alignment horizontal="center"/>
    </xf>
    <xf numFmtId="0" fontId="2" fillId="0" borderId="0" xfId="0" applyFont="1" applyBorder="1"/>
    <xf numFmtId="0" fontId="1" fillId="0" borderId="23" xfId="0" applyNumberFormat="1" applyFont="1" applyBorder="1" applyAlignment="1" applyProtection="1">
      <alignment horizontal="center"/>
    </xf>
    <xf numFmtId="0" fontId="37" fillId="15" borderId="99" xfId="0" applyFont="1" applyFill="1" applyBorder="1" applyAlignment="1">
      <alignment horizontal="center" vertical="center"/>
    </xf>
    <xf numFmtId="4" fontId="3" fillId="0" borderId="15" xfId="0" applyNumberFormat="1" applyFont="1" applyBorder="1"/>
    <xf numFmtId="0" fontId="0" fillId="0" borderId="0" xfId="0" applyFont="1" applyFill="1" applyBorder="1"/>
    <xf numFmtId="169" fontId="1" fillId="5" borderId="15" xfId="1" applyFont="1" applyFill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29" xfId="0" applyFont="1" applyBorder="1"/>
    <xf numFmtId="0" fontId="0" fillId="0" borderId="30" xfId="0" applyBorder="1"/>
    <xf numFmtId="4" fontId="3" fillId="0" borderId="14" xfId="0" applyNumberFormat="1" applyFont="1" applyBorder="1"/>
    <xf numFmtId="0" fontId="1" fillId="5" borderId="0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5" borderId="13" xfId="0" applyFill="1" applyBorder="1" applyAlignment="1">
      <alignment horizontal="centerContinuous"/>
    </xf>
    <xf numFmtId="0" fontId="1" fillId="0" borderId="12" xfId="0" applyFont="1" applyBorder="1" applyAlignment="1">
      <alignment horizontal="center"/>
    </xf>
    <xf numFmtId="169" fontId="1" fillId="5" borderId="13" xfId="1" applyFont="1" applyFill="1" applyBorder="1" applyAlignment="1">
      <alignment horizontal="right"/>
    </xf>
    <xf numFmtId="0" fontId="0" fillId="0" borderId="0" xfId="0" applyBorder="1" applyAlignment="1">
      <alignment horizontal="centerContinuous"/>
    </xf>
    <xf numFmtId="169" fontId="13" fillId="0" borderId="0" xfId="1" applyFont="1" applyBorder="1"/>
    <xf numFmtId="0" fontId="0" fillId="0" borderId="19" xfId="0" applyBorder="1"/>
    <xf numFmtId="0" fontId="0" fillId="0" borderId="14" xfId="0" applyBorder="1"/>
    <xf numFmtId="0" fontId="4" fillId="9" borderId="12" xfId="0" applyFont="1" applyFill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12" xfId="0" applyFont="1" applyBorder="1" applyAlignment="1">
      <alignment horizontal="centerContinuous"/>
    </xf>
    <xf numFmtId="0" fontId="2" fillId="0" borderId="0" xfId="0" applyFont="1" applyFill="1" applyBorder="1" applyAlignment="1">
      <alignment horizontal="right"/>
    </xf>
    <xf numFmtId="0" fontId="1" fillId="5" borderId="20" xfId="0" applyFont="1" applyFill="1" applyBorder="1"/>
    <xf numFmtId="0" fontId="0" fillId="0" borderId="20" xfId="0" applyBorder="1"/>
    <xf numFmtId="169" fontId="1" fillId="5" borderId="0" xfId="1" applyFont="1" applyFill="1" applyBorder="1" applyAlignment="1">
      <alignment horizontal="centerContinuous"/>
    </xf>
    <xf numFmtId="0" fontId="9" fillId="0" borderId="104" xfId="3" applyFont="1" applyFill="1" applyBorder="1" applyAlignment="1">
      <alignment horizontal="center" vertical="center"/>
    </xf>
    <xf numFmtId="178" fontId="2" fillId="0" borderId="0" xfId="0" applyNumberFormat="1" applyFont="1" applyFill="1" applyBorder="1" applyProtection="1">
      <protection locked="0"/>
    </xf>
    <xf numFmtId="0" fontId="8" fillId="0" borderId="0" xfId="0" applyFont="1" applyFill="1"/>
    <xf numFmtId="0" fontId="0" fillId="7" borderId="11" xfId="0" applyFill="1" applyBorder="1" applyAlignment="1">
      <alignment vertical="top"/>
    </xf>
    <xf numFmtId="17" fontId="1" fillId="0" borderId="33" xfId="0" applyNumberFormat="1" applyFont="1" applyBorder="1" applyAlignment="1">
      <alignment horizontal="center"/>
    </xf>
    <xf numFmtId="169" fontId="1" fillId="0" borderId="0" xfId="1" applyFont="1"/>
    <xf numFmtId="4" fontId="1" fillId="5" borderId="4" xfId="0" applyNumberFormat="1" applyFont="1" applyFill="1" applyBorder="1" applyProtection="1"/>
    <xf numFmtId="0" fontId="3" fillId="0" borderId="21" xfId="0" applyFont="1" applyBorder="1" applyAlignment="1">
      <alignment horizontal="center"/>
    </xf>
    <xf numFmtId="0" fontId="1" fillId="0" borderId="19" xfId="0" applyFont="1" applyFill="1" applyBorder="1" applyAlignment="1">
      <alignment horizontal="right"/>
    </xf>
    <xf numFmtId="4" fontId="1" fillId="0" borderId="4" xfId="0" applyNumberFormat="1" applyFont="1" applyBorder="1" applyProtection="1"/>
    <xf numFmtId="4" fontId="3" fillId="0" borderId="34" xfId="0" applyNumberFormat="1" applyFont="1" applyBorder="1"/>
    <xf numFmtId="4" fontId="1" fillId="0" borderId="35" xfId="1" applyNumberFormat="1" applyFont="1" applyBorder="1"/>
    <xf numFmtId="4" fontId="1" fillId="0" borderId="36" xfId="1" applyNumberFormat="1" applyFont="1" applyBorder="1"/>
    <xf numFmtId="0" fontId="0" fillId="7" borderId="37" xfId="0" applyFont="1" applyFill="1" applyBorder="1" applyAlignment="1">
      <alignment vertical="top"/>
    </xf>
    <xf numFmtId="178" fontId="7" fillId="0" borderId="0" xfId="0" applyNumberFormat="1" applyFont="1" applyFill="1" applyBorder="1" applyProtection="1">
      <protection locked="0"/>
    </xf>
    <xf numFmtId="176" fontId="1" fillId="0" borderId="0" xfId="0" applyNumberFormat="1" applyFont="1" applyBorder="1" applyAlignment="1">
      <alignment horizontal="center"/>
    </xf>
    <xf numFmtId="0" fontId="1" fillId="0" borderId="28" xfId="0" applyNumberFormat="1" applyFont="1" applyBorder="1" applyAlignment="1" applyProtection="1">
      <alignment horizontal="center"/>
    </xf>
    <xf numFmtId="0" fontId="37" fillId="15" borderId="105" xfId="0" applyFont="1" applyFill="1" applyBorder="1" applyAlignment="1">
      <alignment horizontal="center" vertical="center"/>
    </xf>
    <xf numFmtId="2" fontId="1" fillId="0" borderId="0" xfId="0" applyNumberFormat="1" applyFont="1" applyBorder="1"/>
    <xf numFmtId="0" fontId="1" fillId="0" borderId="38" xfId="0" applyFont="1" applyBorder="1"/>
    <xf numFmtId="0" fontId="3" fillId="0" borderId="10" xfId="0" applyFont="1" applyBorder="1"/>
    <xf numFmtId="0" fontId="1" fillId="5" borderId="12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5" borderId="0" xfId="0" applyFill="1" applyBorder="1" applyAlignment="1">
      <alignment horizontal="centerContinuous"/>
    </xf>
    <xf numFmtId="169" fontId="1" fillId="0" borderId="0" xfId="1" applyFont="1" applyBorder="1" applyAlignment="1">
      <alignment horizontal="right"/>
    </xf>
    <xf numFmtId="0" fontId="4" fillId="0" borderId="0" xfId="0" applyFont="1" applyAlignment="1">
      <alignment horizontal="centerContinuous"/>
    </xf>
    <xf numFmtId="0" fontId="26" fillId="14" borderId="106" xfId="0" applyFont="1" applyFill="1" applyBorder="1" applyAlignment="1">
      <alignment horizontal="center" vertical="center"/>
    </xf>
    <xf numFmtId="0" fontId="9" fillId="0" borderId="107" xfId="3" applyFont="1" applyFill="1" applyBorder="1" applyAlignment="1">
      <alignment horizontal="center" vertical="center"/>
    </xf>
    <xf numFmtId="0" fontId="0" fillId="0" borderId="108" xfId="0" applyFont="1" applyFill="1" applyBorder="1"/>
    <xf numFmtId="49" fontId="1" fillId="0" borderId="0" xfId="0" applyNumberFormat="1" applyFont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168" fontId="1" fillId="0" borderId="0" xfId="0" applyNumberFormat="1" applyFont="1" applyBorder="1" applyAlignment="1">
      <alignment horizontal="right"/>
    </xf>
    <xf numFmtId="0" fontId="1" fillId="0" borderId="39" xfId="0" applyFont="1" applyBorder="1" applyAlignment="1">
      <alignment horizontal="left"/>
    </xf>
    <xf numFmtId="0" fontId="36" fillId="0" borderId="10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2" fillId="0" borderId="19" xfId="0" applyFont="1" applyBorder="1"/>
    <xf numFmtId="2" fontId="4" fillId="0" borderId="0" xfId="0" applyNumberFormat="1" applyFont="1" applyBorder="1" applyAlignment="1">
      <alignment horizontal="centerContinuous"/>
    </xf>
    <xf numFmtId="0" fontId="0" fillId="5" borderId="0" xfId="0" applyFill="1" applyBorder="1" applyAlignment="1">
      <alignment horizontal="left"/>
    </xf>
    <xf numFmtId="0" fontId="1" fillId="0" borderId="12" xfId="0" applyFont="1" applyBorder="1" applyAlignment="1">
      <alignment horizontal="right"/>
    </xf>
    <xf numFmtId="0" fontId="37" fillId="0" borderId="9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/>
    </xf>
    <xf numFmtId="4" fontId="1" fillId="0" borderId="1" xfId="1" applyNumberFormat="1" applyFont="1" applyBorder="1"/>
    <xf numFmtId="0" fontId="37" fillId="14" borderId="105" xfId="0" applyFont="1" applyFill="1" applyBorder="1" applyAlignment="1">
      <alignment horizontal="center" vertical="center"/>
    </xf>
    <xf numFmtId="0" fontId="0" fillId="0" borderId="110" xfId="0" applyFill="1" applyBorder="1" applyAlignment="1">
      <alignment horizontal="center" vertical="center" wrapText="1"/>
    </xf>
    <xf numFmtId="0" fontId="37" fillId="15" borderId="1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/>
    </xf>
    <xf numFmtId="0" fontId="1" fillId="0" borderId="3" xfId="0" applyFont="1" applyBorder="1"/>
    <xf numFmtId="0" fontId="4" fillId="5" borderId="35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0" borderId="41" xfId="0" applyFont="1" applyBorder="1"/>
    <xf numFmtId="0" fontId="1" fillId="0" borderId="34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8" fontId="7" fillId="0" borderId="20" xfId="0" applyNumberFormat="1" applyFont="1" applyFill="1" applyBorder="1" applyProtection="1">
      <protection locked="0"/>
    </xf>
    <xf numFmtId="4" fontId="3" fillId="0" borderId="41" xfId="0" applyNumberFormat="1" applyFont="1" applyBorder="1"/>
    <xf numFmtId="0" fontId="1" fillId="0" borderId="8" xfId="0" applyFont="1" applyBorder="1"/>
    <xf numFmtId="0" fontId="36" fillId="0" borderId="112" xfId="0" applyFont="1" applyFill="1" applyBorder="1" applyAlignment="1">
      <alignment horizontal="center" vertical="center"/>
    </xf>
    <xf numFmtId="10" fontId="7" fillId="0" borderId="0" xfId="1" applyNumberFormat="1" applyFont="1" applyAlignment="1">
      <alignment horizontal="center"/>
    </xf>
    <xf numFmtId="2" fontId="2" fillId="0" borderId="6" xfId="0" applyNumberFormat="1" applyFont="1" applyBorder="1"/>
    <xf numFmtId="0" fontId="12" fillId="0" borderId="42" xfId="0" applyFont="1" applyBorder="1"/>
    <xf numFmtId="4" fontId="1" fillId="0" borderId="43" xfId="0" applyNumberFormat="1" applyFont="1" applyBorder="1"/>
    <xf numFmtId="169" fontId="1" fillId="5" borderId="0" xfId="1" applyFont="1" applyFill="1" applyBorder="1" applyAlignment="1">
      <alignment horizontal="center"/>
    </xf>
    <xf numFmtId="4" fontId="0" fillId="0" borderId="0" xfId="0" applyNumberFormat="1"/>
    <xf numFmtId="0" fontId="1" fillId="5" borderId="0" xfId="0" applyFont="1" applyFill="1" applyBorder="1" applyAlignment="1">
      <alignment horizontal="left" vertical="top"/>
    </xf>
    <xf numFmtId="2" fontId="2" fillId="0" borderId="42" xfId="0" applyNumberFormat="1" applyFont="1" applyBorder="1" applyAlignment="1">
      <alignment horizontal="left"/>
    </xf>
    <xf numFmtId="0" fontId="0" fillId="14" borderId="113" xfId="0" applyFill="1" applyBorder="1" applyAlignment="1">
      <alignment horizontal="center" vertical="center" wrapText="1"/>
    </xf>
    <xf numFmtId="0" fontId="4" fillId="18" borderId="37" xfId="0" applyFont="1" applyFill="1" applyBorder="1" applyAlignment="1">
      <alignment vertical="top"/>
    </xf>
    <xf numFmtId="0" fontId="0" fillId="5" borderId="0" xfId="0" applyFill="1" applyBorder="1"/>
    <xf numFmtId="0" fontId="0" fillId="0" borderId="34" xfId="0" applyBorder="1"/>
    <xf numFmtId="0" fontId="12" fillId="0" borderId="44" xfId="0" applyFont="1" applyBorder="1"/>
    <xf numFmtId="0" fontId="3" fillId="0" borderId="24" xfId="0" applyFont="1" applyFill="1" applyBorder="1" applyAlignment="1">
      <alignment horizontal="center"/>
    </xf>
    <xf numFmtId="0" fontId="0" fillId="0" borderId="114" xfId="0" applyFont="1" applyFill="1" applyBorder="1"/>
    <xf numFmtId="170" fontId="1" fillId="0" borderId="30" xfId="0" applyNumberFormat="1" applyFont="1" applyBorder="1" applyAlignment="1">
      <alignment horizontal="center" vertical="center"/>
    </xf>
    <xf numFmtId="4" fontId="1" fillId="5" borderId="45" xfId="0" applyNumberFormat="1" applyFont="1" applyFill="1" applyBorder="1" applyProtection="1"/>
    <xf numFmtId="0" fontId="0" fillId="7" borderId="11" xfId="0" applyFont="1" applyFill="1" applyBorder="1" applyAlignment="1">
      <alignment vertical="top"/>
    </xf>
    <xf numFmtId="178" fontId="1" fillId="5" borderId="20" xfId="0" applyNumberFormat="1" applyFont="1" applyFill="1" applyBorder="1"/>
    <xf numFmtId="0" fontId="0" fillId="0" borderId="0" xfId="0" applyFont="1"/>
    <xf numFmtId="178" fontId="1" fillId="0" borderId="20" xfId="0" applyNumberFormat="1" applyFont="1" applyFill="1" applyBorder="1"/>
    <xf numFmtId="0" fontId="0" fillId="18" borderId="11" xfId="0" applyFill="1" applyBorder="1" applyAlignment="1">
      <alignment vertical="top"/>
    </xf>
    <xf numFmtId="10" fontId="1" fillId="0" borderId="0" xfId="1" applyNumberFormat="1" applyFont="1" applyAlignment="1">
      <alignment horizontal="center"/>
    </xf>
    <xf numFmtId="0" fontId="3" fillId="0" borderId="39" xfId="0" applyFont="1" applyBorder="1" applyAlignment="1">
      <alignment horizontal="center"/>
    </xf>
    <xf numFmtId="4" fontId="1" fillId="0" borderId="3" xfId="0" applyNumberFormat="1" applyFont="1" applyBorder="1" applyAlignment="1" applyProtection="1">
      <alignment horizontal="center"/>
    </xf>
    <xf numFmtId="0" fontId="3" fillId="0" borderId="20" xfId="0" applyFont="1" applyBorder="1"/>
    <xf numFmtId="0" fontId="1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1" fillId="0" borderId="13" xfId="0" applyFont="1" applyBorder="1"/>
    <xf numFmtId="44" fontId="1" fillId="0" borderId="5" xfId="0" applyNumberFormat="1" applyFont="1" applyBorder="1" applyProtection="1">
      <protection locked="0"/>
    </xf>
    <xf numFmtId="0" fontId="0" fillId="0" borderId="116" xfId="0" applyFill="1" applyBorder="1" applyAlignment="1">
      <alignment horizontal="center" vertical="center" wrapText="1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right"/>
    </xf>
    <xf numFmtId="0" fontId="1" fillId="0" borderId="30" xfId="0" applyFont="1" applyBorder="1"/>
    <xf numFmtId="169" fontId="1" fillId="5" borderId="37" xfId="1" applyFont="1" applyFill="1" applyBorder="1" applyAlignment="1">
      <alignment horizontal="center"/>
    </xf>
    <xf numFmtId="49" fontId="1" fillId="0" borderId="0" xfId="0" applyNumberFormat="1" applyFont="1" applyBorder="1"/>
    <xf numFmtId="4" fontId="3" fillId="0" borderId="7" xfId="0" applyNumberFormat="1" applyFont="1" applyFill="1" applyBorder="1"/>
    <xf numFmtId="2" fontId="1" fillId="0" borderId="0" xfId="0" applyNumberFormat="1" applyFont="1" applyBorder="1" applyAlignment="1">
      <alignment horizontal="left"/>
    </xf>
    <xf numFmtId="178" fontId="1" fillId="5" borderId="0" xfId="0" applyNumberFormat="1" applyFont="1" applyFill="1" applyBorder="1" applyProtection="1">
      <protection locked="0"/>
    </xf>
    <xf numFmtId="4" fontId="1" fillId="0" borderId="0" xfId="0" applyNumberFormat="1" applyFont="1" applyBorder="1"/>
    <xf numFmtId="0" fontId="37" fillId="14" borderId="98" xfId="0" applyFont="1" applyFill="1" applyBorder="1" applyAlignment="1">
      <alignment horizontal="center" vertical="center"/>
    </xf>
    <xf numFmtId="166" fontId="1" fillId="0" borderId="20" xfId="0" applyNumberFormat="1" applyFont="1" applyBorder="1" applyProtection="1">
      <protection locked="0"/>
    </xf>
    <xf numFmtId="169" fontId="6" fillId="5" borderId="0" xfId="1" applyFill="1" applyBorder="1"/>
    <xf numFmtId="0" fontId="36" fillId="0" borderId="118" xfId="0" applyFont="1" applyFill="1" applyBorder="1" applyAlignment="1">
      <alignment horizontal="center" vertical="center"/>
    </xf>
    <xf numFmtId="0" fontId="2" fillId="0" borderId="19" xfId="0" applyFont="1" applyBorder="1"/>
    <xf numFmtId="0" fontId="0" fillId="0" borderId="38" xfId="0" applyBorder="1"/>
    <xf numFmtId="0" fontId="1" fillId="5" borderId="0" xfId="0" applyFont="1" applyFill="1" applyBorder="1" applyAlignment="1">
      <alignment horizontal="right"/>
    </xf>
    <xf numFmtId="4" fontId="1" fillId="0" borderId="10" xfId="0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25" xfId="0" applyBorder="1"/>
    <xf numFmtId="9" fontId="1" fillId="0" borderId="0" xfId="2" applyNumberFormat="1" applyFont="1" applyFill="1" applyBorder="1" applyAlignment="1">
      <alignment horizontal="center"/>
    </xf>
    <xf numFmtId="4" fontId="1" fillId="0" borderId="46" xfId="0" applyNumberFormat="1" applyFont="1" applyBorder="1"/>
    <xf numFmtId="4" fontId="3" fillId="0" borderId="39" xfId="0" applyNumberFormat="1" applyFont="1" applyBorder="1"/>
    <xf numFmtId="4" fontId="3" fillId="0" borderId="30" xfId="0" applyNumberFormat="1" applyFont="1" applyBorder="1"/>
    <xf numFmtId="0" fontId="0" fillId="0" borderId="119" xfId="0" applyFont="1" applyFill="1" applyBorder="1"/>
    <xf numFmtId="0" fontId="1" fillId="0" borderId="47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0" borderId="21" xfId="0" applyBorder="1"/>
    <xf numFmtId="0" fontId="1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0" fillId="0" borderId="119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48" xfId="0" applyFont="1" applyBorder="1"/>
    <xf numFmtId="10" fontId="1" fillId="5" borderId="0" xfId="1" applyNumberFormat="1" applyFont="1" applyFill="1" applyBorder="1" applyAlignment="1">
      <alignment horizontal="center"/>
    </xf>
    <xf numFmtId="0" fontId="1" fillId="0" borderId="0" xfId="0" applyFont="1"/>
    <xf numFmtId="0" fontId="1" fillId="0" borderId="6" xfId="0" applyFont="1" applyBorder="1"/>
    <xf numFmtId="0" fontId="1" fillId="5" borderId="15" xfId="0" applyFont="1" applyFill="1" applyBorder="1"/>
    <xf numFmtId="4" fontId="2" fillId="5" borderId="22" xfId="0" applyNumberFormat="1" applyFont="1" applyFill="1" applyBorder="1" applyProtection="1"/>
    <xf numFmtId="0" fontId="1" fillId="0" borderId="20" xfId="0" applyNumberFormat="1" applyFont="1" applyBorder="1" applyAlignment="1" applyProtection="1">
      <alignment horizontal="center"/>
    </xf>
    <xf numFmtId="0" fontId="0" fillId="0" borderId="121" xfId="0" applyFont="1" applyFill="1" applyBorder="1"/>
    <xf numFmtId="2" fontId="1" fillId="0" borderId="15" xfId="0" applyNumberFormat="1" applyFont="1" applyBorder="1" applyAlignment="1">
      <alignment horizontal="left"/>
    </xf>
    <xf numFmtId="0" fontId="1" fillId="0" borderId="9" xfId="0" applyFont="1" applyBorder="1"/>
    <xf numFmtId="0" fontId="1" fillId="5" borderId="12" xfId="0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169" fontId="1" fillId="5" borderId="49" xfId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169" fontId="1" fillId="5" borderId="15" xfId="1" applyFont="1" applyFill="1" applyBorder="1"/>
    <xf numFmtId="0" fontId="1" fillId="0" borderId="50" xfId="0" applyNumberFormat="1" applyFont="1" applyBorder="1" applyAlignment="1" applyProtection="1">
      <alignment horizontal="center"/>
    </xf>
    <xf numFmtId="0" fontId="38" fillId="0" borderId="0" xfId="0" applyFont="1" applyFill="1" applyBorder="1" applyAlignment="1">
      <alignment horizontal="center"/>
    </xf>
    <xf numFmtId="4" fontId="1" fillId="0" borderId="25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5" borderId="19" xfId="0" applyFont="1" applyFill="1" applyBorder="1" applyAlignment="1">
      <alignment horizontal="justify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39" fillId="0" borderId="114" xfId="0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left"/>
    </xf>
    <xf numFmtId="0" fontId="2" fillId="0" borderId="0" xfId="0" applyFont="1"/>
    <xf numFmtId="0" fontId="1" fillId="0" borderId="25" xfId="0" applyFont="1" applyBorder="1" applyAlignment="1">
      <alignment horizontal="center"/>
    </xf>
    <xf numFmtId="0" fontId="1" fillId="0" borderId="39" xfId="0" applyNumberFormat="1" applyFont="1" applyBorder="1" applyAlignment="1" applyProtection="1">
      <alignment horizontal="center"/>
    </xf>
    <xf numFmtId="0" fontId="0" fillId="0" borderId="13" xfId="0" applyBorder="1"/>
    <xf numFmtId="4" fontId="1" fillId="5" borderId="0" xfId="0" applyNumberFormat="1" applyFont="1" applyFill="1" applyBorder="1" applyAlignment="1">
      <alignment horizontal="right"/>
    </xf>
    <xf numFmtId="4" fontId="1" fillId="0" borderId="51" xfId="0" applyNumberFormat="1" applyFont="1" applyBorder="1"/>
    <xf numFmtId="166" fontId="1" fillId="5" borderId="52" xfId="0" applyNumberFormat="1" applyFont="1" applyFill="1" applyBorder="1" applyProtection="1"/>
    <xf numFmtId="2" fontId="1" fillId="0" borderId="14" xfId="0" applyNumberFormat="1" applyFont="1" applyBorder="1"/>
    <xf numFmtId="0" fontId="0" fillId="0" borderId="12" xfId="0" applyBorder="1"/>
    <xf numFmtId="0" fontId="1" fillId="0" borderId="0" xfId="0" applyFont="1" applyBorder="1" applyAlignment="1">
      <alignment horizontal="left" vertical="center"/>
    </xf>
    <xf numFmtId="2" fontId="2" fillId="5" borderId="15" xfId="0" applyNumberFormat="1" applyFont="1" applyFill="1" applyBorder="1" applyAlignment="1">
      <alignment horizontal="left"/>
    </xf>
    <xf numFmtId="0" fontId="8" fillId="5" borderId="14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78" fontId="1" fillId="0" borderId="0" xfId="0" applyNumberFormat="1" applyFont="1" applyFill="1" applyBorder="1" applyProtection="1">
      <protection locked="0"/>
    </xf>
    <xf numFmtId="0" fontId="0" fillId="0" borderId="115" xfId="0" applyFill="1" applyBorder="1" applyAlignment="1">
      <alignment horizontal="center" vertical="center" wrapText="1"/>
    </xf>
    <xf numFmtId="4" fontId="3" fillId="0" borderId="8" xfId="0" applyNumberFormat="1" applyFont="1" applyFill="1" applyBorder="1"/>
    <xf numFmtId="0" fontId="10" fillId="5" borderId="54" xfId="0" applyFont="1" applyFill="1" applyBorder="1" applyAlignment="1">
      <alignment horizontal="center"/>
    </xf>
    <xf numFmtId="0" fontId="1" fillId="0" borderId="0" xfId="0" applyFont="1" applyBorder="1" applyAlignment="1">
      <alignment horizontal="centerContinuous" vertical="top"/>
    </xf>
    <xf numFmtId="169" fontId="1" fillId="5" borderId="6" xfId="1" applyFont="1" applyFill="1" applyBorder="1" applyAlignment="1">
      <alignment horizontal="left"/>
    </xf>
    <xf numFmtId="169" fontId="6" fillId="0" borderId="0" xfId="1" applyBorder="1"/>
    <xf numFmtId="0" fontId="0" fillId="0" borderId="0" xfId="0" applyFont="1" applyAlignment="1">
      <alignment vertical="top"/>
    </xf>
    <xf numFmtId="4" fontId="1" fillId="0" borderId="55" xfId="0" applyNumberFormat="1" applyFont="1" applyFill="1" applyBorder="1" applyProtection="1"/>
    <xf numFmtId="169" fontId="1" fillId="0" borderId="13" xfId="1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9" fontId="1" fillId="5" borderId="12" xfId="2" applyNumberFormat="1" applyFont="1" applyFill="1" applyBorder="1" applyAlignment="1" applyProtection="1">
      <alignment horizontal="left"/>
    </xf>
    <xf numFmtId="0" fontId="1" fillId="0" borderId="8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7" fillId="0" borderId="3" xfId="0" applyNumberFormat="1" applyFont="1" applyBorder="1" applyAlignment="1" applyProtection="1">
      <alignment horizontal="left"/>
      <protection locked="0"/>
    </xf>
    <xf numFmtId="0" fontId="1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1" fillId="20" borderId="123" xfId="0" applyFont="1" applyFill="1" applyBorder="1" applyAlignment="1">
      <alignment horizontal="center"/>
    </xf>
    <xf numFmtId="17" fontId="1" fillId="0" borderId="48" xfId="0" applyNumberFormat="1" applyFont="1" applyBorder="1" applyAlignment="1">
      <alignment horizontal="center"/>
    </xf>
    <xf numFmtId="2" fontId="7" fillId="0" borderId="9" xfId="0" applyNumberFormat="1" applyFont="1" applyBorder="1" applyAlignment="1" applyProtection="1">
      <alignment horizontal="center"/>
      <protection locked="0"/>
    </xf>
    <xf numFmtId="169" fontId="1" fillId="0" borderId="11" xfId="1" applyFont="1" applyFill="1" applyBorder="1" applyAlignment="1">
      <alignment horizontal="center"/>
    </xf>
    <xf numFmtId="9" fontId="2" fillId="5" borderId="56" xfId="2" applyNumberFormat="1" applyFont="1" applyFill="1" applyBorder="1" applyAlignment="1">
      <alignment horizontal="center" vertical="center" wrapText="1"/>
    </xf>
    <xf numFmtId="0" fontId="1" fillId="0" borderId="57" xfId="0" applyFont="1" applyBorder="1"/>
    <xf numFmtId="0" fontId="1" fillId="0" borderId="58" xfId="0" applyFont="1" applyBorder="1" applyAlignment="1">
      <alignment horizontal="right"/>
    </xf>
    <xf numFmtId="0" fontId="2" fillId="5" borderId="0" xfId="0" applyFont="1" applyFill="1" applyBorder="1" applyAlignment="1">
      <alignment horizontal="centerContinuous"/>
    </xf>
    <xf numFmtId="0" fontId="0" fillId="5" borderId="11" xfId="0" applyFont="1" applyFill="1" applyBorder="1" applyAlignment="1">
      <alignment horizontal="center" vertical="top" wrapText="1"/>
    </xf>
    <xf numFmtId="17" fontId="1" fillId="0" borderId="52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166" fontId="4" fillId="9" borderId="29" xfId="0" applyNumberFormat="1" applyFont="1" applyFill="1" applyBorder="1" applyAlignment="1">
      <alignment horizontal="center"/>
    </xf>
    <xf numFmtId="0" fontId="0" fillId="0" borderId="0" xfId="0" applyFill="1" applyBorder="1"/>
    <xf numFmtId="4" fontId="1" fillId="0" borderId="8" xfId="0" applyNumberFormat="1" applyFont="1" applyBorder="1" applyAlignment="1" applyProtection="1">
      <alignment horizontal="center"/>
    </xf>
    <xf numFmtId="14" fontId="2" fillId="7" borderId="11" xfId="0" applyNumberFormat="1" applyFont="1" applyFill="1" applyBorder="1" applyAlignment="1">
      <alignment horizontal="left" vertical="top" wrapText="1"/>
    </xf>
    <xf numFmtId="0" fontId="1" fillId="0" borderId="59" xfId="0" applyFont="1" applyBorder="1" applyAlignment="1">
      <alignment horizontal="right"/>
    </xf>
    <xf numFmtId="0" fontId="1" fillId="5" borderId="0" xfId="0" applyFont="1" applyFill="1" applyBorder="1" applyAlignment="1">
      <alignment vertical="top"/>
    </xf>
    <xf numFmtId="49" fontId="2" fillId="7" borderId="11" xfId="0" applyNumberFormat="1" applyFont="1" applyFill="1" applyBorder="1" applyAlignment="1">
      <alignment horizontal="left" vertical="top" wrapText="1"/>
    </xf>
    <xf numFmtId="0" fontId="1" fillId="0" borderId="34" xfId="0" applyNumberFormat="1" applyFont="1" applyBorder="1" applyAlignment="1" applyProtection="1">
      <alignment horizontal="center"/>
    </xf>
    <xf numFmtId="0" fontId="0" fillId="7" borderId="37" xfId="0" applyFill="1" applyBorder="1" applyAlignment="1">
      <alignment vertical="top"/>
    </xf>
    <xf numFmtId="2" fontId="2" fillId="5" borderId="14" xfId="0" applyNumberFormat="1" applyFont="1" applyFill="1" applyBorder="1" applyAlignment="1">
      <alignment horizontal="left"/>
    </xf>
    <xf numFmtId="0" fontId="1" fillId="5" borderId="0" xfId="0" applyFont="1" applyFill="1" applyBorder="1" applyAlignment="1">
      <alignment horizontal="centerContinuous"/>
    </xf>
    <xf numFmtId="4" fontId="1" fillId="0" borderId="0" xfId="1" applyNumberFormat="1" applyFont="1" applyBorder="1"/>
    <xf numFmtId="0" fontId="1" fillId="0" borderId="29" xfId="0" applyFont="1" applyBorder="1" applyAlignment="1">
      <alignment horizontal="centerContinuous"/>
    </xf>
    <xf numFmtId="0" fontId="0" fillId="0" borderId="0" xfId="0" applyAlignment="1">
      <alignment horizontal="left"/>
    </xf>
    <xf numFmtId="169" fontId="1" fillId="22" borderId="47" xfId="1" applyFont="1" applyFill="1" applyBorder="1" applyAlignment="1">
      <alignment horizontal="centerContinuous"/>
    </xf>
    <xf numFmtId="9" fontId="1" fillId="5" borderId="14" xfId="2" applyNumberFormat="1" applyFont="1" applyFill="1" applyBorder="1" applyAlignment="1">
      <alignment horizontal="center"/>
    </xf>
    <xf numFmtId="0" fontId="1" fillId="13" borderId="6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/>
    </xf>
    <xf numFmtId="0" fontId="2" fillId="0" borderId="58" xfId="0" applyFont="1" applyBorder="1" applyAlignment="1">
      <alignment horizontal="left"/>
    </xf>
    <xf numFmtId="0" fontId="36" fillId="0" borderId="125" xfId="0" applyFont="1" applyFill="1" applyBorder="1" applyAlignment="1">
      <alignment horizontal="center" vertical="center"/>
    </xf>
    <xf numFmtId="9" fontId="1" fillId="0" borderId="61" xfId="2" applyNumberFormat="1" applyFont="1" applyFill="1" applyBorder="1" applyAlignment="1">
      <alignment horizontal="center" vertical="center" wrapText="1"/>
    </xf>
    <xf numFmtId="4" fontId="1" fillId="0" borderId="62" xfId="1" applyNumberFormat="1" applyFont="1" applyBorder="1"/>
    <xf numFmtId="169" fontId="1" fillId="5" borderId="63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Continuous" vertical="top"/>
    </xf>
    <xf numFmtId="0" fontId="13" fillId="5" borderId="0" xfId="0" applyFont="1" applyFill="1" applyBorder="1" applyAlignment="1">
      <alignment horizontal="left"/>
    </xf>
    <xf numFmtId="0" fontId="1" fillId="0" borderId="46" xfId="0" applyFont="1" applyBorder="1"/>
    <xf numFmtId="0" fontId="0" fillId="0" borderId="0" xfId="0" applyFont="1" applyAlignment="1">
      <alignment horizontal="right"/>
    </xf>
    <xf numFmtId="169" fontId="1" fillId="5" borderId="1" xfId="1" applyFont="1" applyFill="1" applyBorder="1" applyAlignment="1">
      <alignment horizontal="center" vertical="center" wrapText="1"/>
    </xf>
    <xf numFmtId="0" fontId="2" fillId="18" borderId="47" xfId="0" applyFont="1" applyFill="1" applyBorder="1" applyAlignment="1">
      <alignment horizontal="left" vertical="top" wrapText="1"/>
    </xf>
    <xf numFmtId="0" fontId="10" fillId="9" borderId="58" xfId="0" applyFont="1" applyFill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32" fillId="0" borderId="114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>
      <alignment horizontal="center"/>
    </xf>
    <xf numFmtId="169" fontId="1" fillId="5" borderId="8" xfId="1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Continuous"/>
    </xf>
    <xf numFmtId="169" fontId="1" fillId="5" borderId="47" xfId="1" applyFont="1" applyFill="1" applyBorder="1" applyAlignment="1">
      <alignment horizontal="centerContinuous"/>
    </xf>
    <xf numFmtId="44" fontId="1" fillId="0" borderId="23" xfId="0" applyNumberFormat="1" applyFont="1" applyBorder="1" applyProtection="1">
      <protection locked="0"/>
    </xf>
    <xf numFmtId="176" fontId="1" fillId="0" borderId="0" xfId="0" applyNumberFormat="1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2" fillId="0" borderId="41" xfId="0" applyFont="1" applyBorder="1"/>
    <xf numFmtId="0" fontId="0" fillId="0" borderId="126" xfId="0" applyFont="1" applyFill="1" applyBorder="1"/>
    <xf numFmtId="4" fontId="3" fillId="0" borderId="44" xfId="0" applyNumberFormat="1" applyFont="1" applyBorder="1"/>
    <xf numFmtId="9" fontId="1" fillId="0" borderId="62" xfId="2" applyNumberFormat="1" applyFont="1" applyFill="1" applyBorder="1" applyAlignment="1">
      <alignment horizontal="center" vertical="center" wrapText="1"/>
    </xf>
    <xf numFmtId="169" fontId="1" fillId="5" borderId="11" xfId="1" applyFont="1" applyFill="1" applyBorder="1" applyAlignment="1">
      <alignment horizontal="center"/>
    </xf>
    <xf numFmtId="0" fontId="21" fillId="0" borderId="0" xfId="0" applyFont="1"/>
    <xf numFmtId="169" fontId="1" fillId="0" borderId="58" xfId="1" applyFont="1" applyBorder="1" applyAlignment="1">
      <alignment horizontal="center"/>
    </xf>
    <xf numFmtId="4" fontId="1" fillId="0" borderId="11" xfId="0" applyNumberFormat="1" applyFont="1" applyBorder="1" applyProtection="1"/>
    <xf numFmtId="0" fontId="2" fillId="0" borderId="41" xfId="0" applyFont="1" applyBorder="1" applyAlignment="1">
      <alignment horizontal="left"/>
    </xf>
    <xf numFmtId="0" fontId="37" fillId="14" borderId="127" xfId="0" applyFont="1" applyFill="1" applyBorder="1" applyAlignment="1">
      <alignment horizontal="center" vertical="center"/>
    </xf>
    <xf numFmtId="0" fontId="4" fillId="5" borderId="64" xfId="0" applyFont="1" applyFill="1" applyBorder="1" applyAlignment="1">
      <alignment horizontal="center"/>
    </xf>
    <xf numFmtId="0" fontId="1" fillId="23" borderId="49" xfId="0" applyFont="1" applyFill="1" applyBorder="1" applyAlignment="1">
      <alignment horizontal="center" vertical="center" wrapText="1"/>
    </xf>
    <xf numFmtId="0" fontId="0" fillId="14" borderId="116" xfId="0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0" xfId="0" applyAlignment="1"/>
    <xf numFmtId="0" fontId="37" fillId="14" borderId="112" xfId="0" applyFont="1" applyFill="1" applyBorder="1" applyAlignment="1">
      <alignment horizontal="center" vertical="center"/>
    </xf>
    <xf numFmtId="166" fontId="1" fillId="0" borderId="0" xfId="0" applyNumberFormat="1" applyFont="1"/>
    <xf numFmtId="0" fontId="1" fillId="2" borderId="29" xfId="0" applyFont="1" applyFill="1" applyBorder="1" applyAlignment="1">
      <alignment horizontal="center"/>
    </xf>
    <xf numFmtId="166" fontId="1" fillId="5" borderId="20" xfId="0" applyNumberFormat="1" applyFont="1" applyFill="1" applyBorder="1" applyAlignment="1">
      <alignment vertical="top"/>
    </xf>
    <xf numFmtId="15" fontId="1" fillId="0" borderId="0" xfId="1" applyNumberFormat="1" applyFont="1"/>
    <xf numFmtId="169" fontId="1" fillId="0" borderId="0" xfId="1" applyFont="1" applyAlignment="1">
      <alignment horizontal="center"/>
    </xf>
    <xf numFmtId="4" fontId="1" fillId="0" borderId="64" xfId="1" applyNumberFormat="1" applyFont="1" applyBorder="1"/>
    <xf numFmtId="0" fontId="1" fillId="0" borderId="37" xfId="0" applyNumberFormat="1" applyFont="1" applyBorder="1" applyAlignment="1"/>
    <xf numFmtId="176" fontId="1" fillId="0" borderId="48" xfId="0" applyNumberFormat="1" applyFont="1" applyBorder="1" applyAlignment="1">
      <alignment horizontal="center"/>
    </xf>
    <xf numFmtId="0" fontId="3" fillId="0" borderId="128" xfId="0" applyFont="1" applyBorder="1" applyAlignment="1"/>
    <xf numFmtId="9" fontId="1" fillId="5" borderId="38" xfId="2" applyNumberFormat="1" applyFont="1" applyFill="1" applyBorder="1"/>
    <xf numFmtId="165" fontId="1" fillId="5" borderId="12" xfId="2" applyNumberFormat="1" applyFont="1" applyFill="1" applyBorder="1" applyAlignment="1" applyProtection="1">
      <alignment horizontal="centerContinuous"/>
    </xf>
    <xf numFmtId="169" fontId="1" fillId="5" borderId="50" xfId="1" applyFont="1" applyFill="1" applyBorder="1" applyAlignment="1">
      <alignment horizontal="center" vertical="center" wrapText="1"/>
    </xf>
    <xf numFmtId="0" fontId="1" fillId="0" borderId="52" xfId="0" applyFont="1" applyBorder="1"/>
    <xf numFmtId="0" fontId="1" fillId="0" borderId="65" xfId="0" applyFont="1" applyBorder="1"/>
    <xf numFmtId="0" fontId="0" fillId="5" borderId="0" xfId="0" applyFill="1"/>
    <xf numFmtId="178" fontId="7" fillId="0" borderId="20" xfId="0" applyNumberFormat="1" applyFont="1" applyBorder="1" applyProtection="1">
      <protection locked="0"/>
    </xf>
    <xf numFmtId="169" fontId="1" fillId="5" borderId="8" xfId="1" applyFont="1" applyFill="1" applyBorder="1" applyAlignment="1"/>
    <xf numFmtId="0" fontId="1" fillId="5" borderId="3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centerContinuous"/>
    </xf>
    <xf numFmtId="178" fontId="1" fillId="5" borderId="20" xfId="0" applyNumberFormat="1" applyFont="1" applyFill="1" applyBorder="1" applyProtection="1">
      <protection locked="0"/>
    </xf>
    <xf numFmtId="4" fontId="1" fillId="0" borderId="66" xfId="1" applyNumberFormat="1" applyFont="1" applyBorder="1"/>
    <xf numFmtId="0" fontId="1" fillId="5" borderId="67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center"/>
    </xf>
    <xf numFmtId="4" fontId="1" fillId="0" borderId="67" xfId="1" applyNumberFormat="1" applyFont="1" applyBorder="1"/>
    <xf numFmtId="176" fontId="1" fillId="0" borderId="0" xfId="1" applyNumberFormat="1" applyFont="1"/>
    <xf numFmtId="0" fontId="22" fillId="3" borderId="12" xfId="0" applyFont="1" applyFill="1" applyBorder="1" applyAlignment="1">
      <alignment horizontal="centerContinuous"/>
    </xf>
    <xf numFmtId="0" fontId="37" fillId="15" borderId="12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0" fillId="0" borderId="3" xfId="0" applyBorder="1"/>
    <xf numFmtId="0" fontId="1" fillId="0" borderId="19" xfId="0" applyFont="1" applyFill="1" applyBorder="1" applyAlignment="1" applyProtection="1">
      <alignment horizontal="center"/>
    </xf>
    <xf numFmtId="9" fontId="2" fillId="5" borderId="68" xfId="2" applyNumberFormat="1" applyFont="1" applyFill="1" applyBorder="1" applyAlignment="1">
      <alignment horizontal="centerContinuous" vertical="center"/>
    </xf>
    <xf numFmtId="169" fontId="1" fillId="5" borderId="69" xfId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/>
    </xf>
    <xf numFmtId="0" fontId="37" fillId="15" borderId="1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Continuous"/>
    </xf>
    <xf numFmtId="168" fontId="1" fillId="5" borderId="25" xfId="1" applyNumberFormat="1" applyFont="1" applyFill="1" applyBorder="1" applyAlignment="1">
      <alignment horizontal="right" vertical="top"/>
    </xf>
    <xf numFmtId="169" fontId="6" fillId="5" borderId="13" xfId="1" applyFill="1" applyBorder="1" applyAlignment="1">
      <alignment vertical="top"/>
    </xf>
    <xf numFmtId="0" fontId="1" fillId="0" borderId="60" xfId="0" applyFont="1" applyBorder="1" applyAlignment="1">
      <alignment horizontal="center"/>
    </xf>
    <xf numFmtId="4" fontId="1" fillId="0" borderId="8" xfId="0" applyNumberFormat="1" applyFont="1" applyBorder="1"/>
    <xf numFmtId="0" fontId="2" fillId="0" borderId="0" xfId="0" applyFont="1" applyBorder="1" applyAlignment="1">
      <alignment horizontal="right"/>
    </xf>
    <xf numFmtId="10" fontId="1" fillId="5" borderId="11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14" borderId="110" xfId="0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right"/>
    </xf>
    <xf numFmtId="0" fontId="20" fillId="4" borderId="8" xfId="0" applyFont="1" applyFill="1" applyBorder="1"/>
    <xf numFmtId="0" fontId="0" fillId="4" borderId="37" xfId="0" applyFill="1" applyBorder="1"/>
    <xf numFmtId="0" fontId="1" fillId="0" borderId="0" xfId="0" applyFont="1" applyAlignment="1">
      <alignment horizontal="center"/>
    </xf>
    <xf numFmtId="44" fontId="2" fillId="0" borderId="70" xfId="0" applyNumberFormat="1" applyFont="1" applyBorder="1" applyAlignment="1">
      <alignment horizontal="center"/>
    </xf>
    <xf numFmtId="0" fontId="1" fillId="0" borderId="9" xfId="0" applyFont="1" applyBorder="1" applyAlignment="1" applyProtection="1">
      <alignment horizontal="left"/>
      <protection locked="0"/>
    </xf>
    <xf numFmtId="2" fontId="2" fillId="0" borderId="58" xfId="0" applyNumberFormat="1" applyFont="1" applyBorder="1" applyAlignment="1">
      <alignment horizontal="centerContinuous"/>
    </xf>
    <xf numFmtId="0" fontId="1" fillId="0" borderId="42" xfId="0" applyFont="1" applyBorder="1"/>
    <xf numFmtId="2" fontId="7" fillId="0" borderId="6" xfId="0" applyNumberFormat="1" applyFont="1" applyBorder="1" applyAlignment="1" applyProtection="1">
      <alignment horizontal="center"/>
      <protection locked="0"/>
    </xf>
    <xf numFmtId="0" fontId="17" fillId="5" borderId="12" xfId="0" applyFont="1" applyFill="1" applyBorder="1" applyAlignment="1">
      <alignment horizontal="right"/>
    </xf>
    <xf numFmtId="169" fontId="1" fillId="0" borderId="19" xfId="1" applyFont="1" applyBorder="1" applyAlignment="1">
      <alignment horizontal="center"/>
    </xf>
    <xf numFmtId="0" fontId="0" fillId="5" borderId="21" xfId="0" applyFill="1" applyBorder="1"/>
    <xf numFmtId="0" fontId="0" fillId="24" borderId="115" xfId="0" applyFill="1" applyBorder="1" applyAlignment="1">
      <alignment horizontal="center" vertical="center" wrapText="1"/>
    </xf>
    <xf numFmtId="2" fontId="2" fillId="5" borderId="42" xfId="0" applyNumberFormat="1" applyFont="1" applyFill="1" applyBorder="1" applyAlignment="1">
      <alignment horizontal="left"/>
    </xf>
    <xf numFmtId="4" fontId="1" fillId="0" borderId="3" xfId="1" applyNumberFormat="1" applyFont="1" applyBorder="1"/>
    <xf numFmtId="169" fontId="1" fillId="5" borderId="13" xfId="1" applyFont="1" applyFill="1" applyBorder="1" applyAlignment="1">
      <alignment horizontal="right" vertical="top"/>
    </xf>
    <xf numFmtId="178" fontId="1" fillId="0" borderId="20" xfId="0" applyNumberFormat="1" applyFont="1" applyBorder="1" applyProtection="1">
      <protection locked="0"/>
    </xf>
    <xf numFmtId="168" fontId="1" fillId="5" borderId="0" xfId="0" applyNumberFormat="1" applyFont="1" applyFill="1" applyBorder="1" applyAlignment="1">
      <alignment horizontal="right" vertical="top"/>
    </xf>
    <xf numFmtId="178" fontId="7" fillId="5" borderId="20" xfId="0" applyNumberFormat="1" applyFont="1" applyFill="1" applyBorder="1" applyProtection="1">
      <protection locked="0"/>
    </xf>
    <xf numFmtId="44" fontId="7" fillId="0" borderId="9" xfId="0" applyNumberFormat="1" applyFont="1" applyBorder="1" applyAlignment="1" applyProtection="1">
      <alignment horizontal="left"/>
      <protection locked="0"/>
    </xf>
    <xf numFmtId="0" fontId="1" fillId="0" borderId="19" xfId="0" applyFont="1" applyFill="1" applyBorder="1"/>
    <xf numFmtId="4" fontId="1" fillId="5" borderId="11" xfId="1" applyNumberFormat="1" applyFont="1" applyFill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0" fillId="14" borderId="129" xfId="0" applyFill="1" applyBorder="1" applyAlignment="1">
      <alignment horizontal="center" vertical="center" wrapText="1"/>
    </xf>
    <xf numFmtId="176" fontId="1" fillId="0" borderId="48" xfId="0" applyNumberFormat="1" applyFont="1" applyBorder="1"/>
    <xf numFmtId="169" fontId="1" fillId="0" borderId="12" xfId="1" applyFont="1" applyBorder="1" applyAlignment="1">
      <alignment horizontal="center"/>
    </xf>
    <xf numFmtId="178" fontId="1" fillId="0" borderId="20" xfId="0" applyNumberFormat="1" applyFont="1" applyFill="1" applyBorder="1" applyProtection="1">
      <protection locked="0"/>
    </xf>
    <xf numFmtId="0" fontId="1" fillId="0" borderId="51" xfId="0" applyFont="1" applyBorder="1"/>
    <xf numFmtId="168" fontId="1" fillId="0" borderId="0" xfId="0" applyNumberFormat="1" applyFont="1"/>
    <xf numFmtId="0" fontId="37" fillId="15" borderId="98" xfId="0" applyFont="1" applyFill="1" applyBorder="1" applyAlignment="1">
      <alignment horizontal="center" vertical="center"/>
    </xf>
    <xf numFmtId="169" fontId="6" fillId="5" borderId="15" xfId="1" applyFill="1" applyBorder="1"/>
    <xf numFmtId="166" fontId="1" fillId="0" borderId="20" xfId="0" applyNumberFormat="1" applyFont="1" applyBorder="1" applyAlignment="1">
      <alignment vertical="center"/>
    </xf>
    <xf numFmtId="14" fontId="8" fillId="5" borderId="0" xfId="0" applyNumberFormat="1" applyFont="1" applyFill="1" applyBorder="1" applyAlignment="1">
      <alignment horizontal="right"/>
    </xf>
    <xf numFmtId="0" fontId="1" fillId="0" borderId="108" xfId="0" applyFont="1" applyFill="1" applyBorder="1" applyAlignment="1">
      <alignment horizontal="center"/>
    </xf>
    <xf numFmtId="0" fontId="0" fillId="14" borderId="120" xfId="0" applyFill="1" applyBorder="1"/>
    <xf numFmtId="0" fontId="1" fillId="0" borderId="4" xfId="0" applyFont="1" applyFill="1" applyBorder="1" applyAlignment="1">
      <alignment horizontal="right"/>
    </xf>
    <xf numFmtId="0" fontId="0" fillId="5" borderId="25" xfId="0" applyFill="1" applyBorder="1" applyAlignment="1">
      <alignment horizontal="centerContinuous"/>
    </xf>
    <xf numFmtId="0" fontId="1" fillId="0" borderId="19" xfId="0" applyFont="1" applyFill="1" applyBorder="1" applyProtection="1"/>
    <xf numFmtId="9" fontId="1" fillId="5" borderId="0" xfId="2" applyNumberFormat="1" applyFont="1" applyFill="1" applyBorder="1" applyAlignment="1" applyProtection="1">
      <alignment horizontal="centerContinuous"/>
    </xf>
    <xf numFmtId="178" fontId="1" fillId="0" borderId="20" xfId="0" applyNumberFormat="1" applyFont="1" applyFill="1" applyBorder="1" applyProtection="1"/>
    <xf numFmtId="0" fontId="1" fillId="0" borderId="7" xfId="0" applyFont="1" applyFill="1" applyBorder="1" applyAlignment="1">
      <alignment horizontal="center"/>
    </xf>
    <xf numFmtId="169" fontId="1" fillId="0" borderId="37" xfId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169" fontId="1" fillId="5" borderId="6" xfId="1" applyFont="1" applyFill="1" applyBorder="1"/>
    <xf numFmtId="0" fontId="1" fillId="0" borderId="0" xfId="0" applyFont="1" applyBorder="1" applyAlignment="1">
      <alignment horizontal="justify"/>
    </xf>
    <xf numFmtId="176" fontId="1" fillId="0" borderId="0" xfId="0" applyNumberFormat="1" applyFont="1" applyBorder="1" applyAlignment="1">
      <alignment horizontal="right" vertical="top"/>
    </xf>
    <xf numFmtId="44" fontId="1" fillId="0" borderId="24" xfId="0" applyNumberFormat="1" applyFont="1" applyBorder="1" applyProtection="1">
      <protection locked="0"/>
    </xf>
    <xf numFmtId="0" fontId="37" fillId="15" borderId="130" xfId="0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center"/>
    </xf>
    <xf numFmtId="0" fontId="0" fillId="4" borderId="47" xfId="0" applyFill="1" applyBorder="1"/>
    <xf numFmtId="4" fontId="1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5" borderId="48" xfId="0" applyFont="1" applyFill="1" applyBorder="1" applyAlignment="1">
      <alignment horizontal="centerContinuous"/>
    </xf>
    <xf numFmtId="0" fontId="3" fillId="0" borderId="1" xfId="0" applyFont="1" applyBorder="1"/>
    <xf numFmtId="9" fontId="1" fillId="0" borderId="19" xfId="2" applyNumberFormat="1" applyFont="1" applyFill="1" applyBorder="1"/>
    <xf numFmtId="169" fontId="1" fillId="5" borderId="13" xfId="1" applyFont="1" applyFill="1" applyBorder="1" applyAlignment="1">
      <alignment vertical="top"/>
    </xf>
    <xf numFmtId="0" fontId="1" fillId="5" borderId="19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Continuous"/>
    </xf>
    <xf numFmtId="0" fontId="1" fillId="5" borderId="65" xfId="0" applyFont="1" applyFill="1" applyBorder="1" applyAlignment="1">
      <alignment horizontal="right"/>
    </xf>
    <xf numFmtId="0" fontId="3" fillId="0" borderId="3" xfId="0" applyFont="1" applyBorder="1" applyAlignment="1"/>
    <xf numFmtId="0" fontId="1" fillId="20" borderId="131" xfId="0" applyFont="1" applyFill="1" applyBorder="1" applyAlignment="1">
      <alignment horizontal="center"/>
    </xf>
    <xf numFmtId="0" fontId="1" fillId="5" borderId="48" xfId="0" applyFont="1" applyFill="1" applyBorder="1"/>
    <xf numFmtId="10" fontId="2" fillId="5" borderId="8" xfId="1" applyNumberFormat="1" applyFont="1" applyFill="1" applyBorder="1" applyAlignment="1">
      <alignment horizontal="center"/>
    </xf>
    <xf numFmtId="4" fontId="3" fillId="0" borderId="4" xfId="0" applyNumberFormat="1" applyFont="1" applyFill="1" applyBorder="1"/>
    <xf numFmtId="169" fontId="1" fillId="5" borderId="3" xfId="1" applyFont="1" applyFill="1" applyBorder="1" applyAlignment="1">
      <alignment horizontal="center"/>
    </xf>
    <xf numFmtId="0" fontId="0" fillId="0" borderId="115" xfId="0" applyFill="1" applyBorder="1"/>
    <xf numFmtId="4" fontId="1" fillId="0" borderId="0" xfId="1" applyNumberFormat="1" applyFont="1"/>
    <xf numFmtId="166" fontId="1" fillId="5" borderId="37" xfId="1" applyNumberFormat="1" applyFont="1" applyFill="1" applyBorder="1" applyAlignment="1">
      <alignment horizontal="right"/>
    </xf>
    <xf numFmtId="0" fontId="4" fillId="9" borderId="0" xfId="0" applyFont="1" applyFill="1" applyBorder="1" applyAlignment="1">
      <alignment horizontal="center"/>
    </xf>
    <xf numFmtId="0" fontId="1" fillId="20" borderId="132" xfId="0" applyFont="1" applyFill="1" applyBorder="1" applyAlignment="1">
      <alignment horizontal="center"/>
    </xf>
    <xf numFmtId="169" fontId="1" fillId="5" borderId="37" xfId="1" applyFont="1" applyFill="1" applyBorder="1" applyAlignment="1">
      <alignment horizontal="left"/>
    </xf>
    <xf numFmtId="0" fontId="9" fillId="25" borderId="133" xfId="0" applyFont="1" applyFill="1" applyBorder="1" applyAlignment="1">
      <alignment horizontal="centerContinuous" vertical="center"/>
    </xf>
    <xf numFmtId="166" fontId="1" fillId="5" borderId="1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168" fontId="1" fillId="0" borderId="0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Continuous" vertical="top"/>
    </xf>
    <xf numFmtId="0" fontId="0" fillId="14" borderId="134" xfId="0" applyFill="1" applyBorder="1" applyAlignment="1">
      <alignment horizontal="center" vertical="center" wrapText="1"/>
    </xf>
    <xf numFmtId="10" fontId="40" fillId="0" borderId="0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44" fontId="7" fillId="0" borderId="3" xfId="0" applyNumberFormat="1" applyFont="1" applyBorder="1" applyProtection="1">
      <protection locked="0"/>
    </xf>
    <xf numFmtId="15" fontId="0" fillId="0" borderId="0" xfId="0" applyNumberFormat="1" applyFill="1" applyBorder="1" applyAlignment="1">
      <alignment horizontal="center"/>
    </xf>
    <xf numFmtId="4" fontId="6" fillId="5" borderId="13" xfId="1" applyNumberFormat="1" applyFill="1" applyBorder="1" applyAlignment="1">
      <alignment vertical="top"/>
    </xf>
    <xf numFmtId="2" fontId="1" fillId="5" borderId="38" xfId="0" applyNumberFormat="1" applyFont="1" applyFill="1" applyBorder="1" applyAlignment="1">
      <alignment horizontal="left"/>
    </xf>
    <xf numFmtId="10" fontId="1" fillId="0" borderId="11" xfId="1" applyNumberFormat="1" applyFont="1" applyFill="1" applyBorder="1" applyAlignment="1">
      <alignment horizontal="center"/>
    </xf>
    <xf numFmtId="0" fontId="13" fillId="5" borderId="19" xfId="0" applyFont="1" applyFill="1" applyBorder="1" applyAlignment="1"/>
    <xf numFmtId="166" fontId="1" fillId="5" borderId="0" xfId="1" applyNumberFormat="1" applyFont="1" applyFill="1" applyBorder="1" applyAlignment="1">
      <alignment horizontal="center"/>
    </xf>
    <xf numFmtId="15" fontId="1" fillId="0" borderId="0" xfId="0" applyNumberFormat="1" applyFont="1" applyBorder="1"/>
    <xf numFmtId="168" fontId="2" fillId="5" borderId="0" xfId="0" applyNumberFormat="1" applyFont="1" applyFill="1" applyBorder="1" applyAlignment="1">
      <alignment horizontal="right"/>
    </xf>
    <xf numFmtId="169" fontId="1" fillId="22" borderId="37" xfId="1" applyFont="1" applyFill="1" applyBorder="1" applyAlignment="1">
      <alignment horizontal="centerContinuous"/>
    </xf>
    <xf numFmtId="169" fontId="1" fillId="0" borderId="119" xfId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top"/>
    </xf>
    <xf numFmtId="0" fontId="0" fillId="4" borderId="8" xfId="0" applyFill="1" applyBorder="1"/>
    <xf numFmtId="0" fontId="17" fillId="5" borderId="0" xfId="0" applyFont="1" applyFill="1" applyBorder="1" applyAlignment="1">
      <alignment horizontal="right"/>
    </xf>
    <xf numFmtId="4" fontId="1" fillId="0" borderId="5" xfId="1" applyNumberFormat="1" applyFont="1" applyBorder="1"/>
    <xf numFmtId="0" fontId="5" fillId="0" borderId="0" xfId="0" applyFont="1" applyFill="1" applyBorder="1" applyAlignment="1">
      <alignment horizontal="right"/>
    </xf>
    <xf numFmtId="44" fontId="0" fillId="0" borderId="0" xfId="0" applyNumberFormat="1"/>
    <xf numFmtId="169" fontId="1" fillId="5" borderId="3" xfId="1" applyFont="1" applyFill="1" applyBorder="1"/>
    <xf numFmtId="0" fontId="1" fillId="0" borderId="72" xfId="0" applyFont="1" applyBorder="1"/>
    <xf numFmtId="168" fontId="1" fillId="5" borderId="0" xfId="0" applyNumberFormat="1" applyFont="1" applyFill="1" applyBorder="1"/>
    <xf numFmtId="168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0" fontId="1" fillId="0" borderId="1" xfId="0" applyFont="1" applyBorder="1" applyProtection="1">
      <protection locked="0"/>
    </xf>
    <xf numFmtId="4" fontId="1" fillId="0" borderId="11" xfId="1" applyNumberFormat="1" applyFont="1" applyFill="1" applyBorder="1" applyAlignment="1">
      <alignment horizontal="center"/>
    </xf>
    <xf numFmtId="0" fontId="1" fillId="20" borderId="123" xfId="0" applyFont="1" applyFill="1" applyBorder="1"/>
    <xf numFmtId="178" fontId="7" fillId="5" borderId="0" xfId="0" applyNumberFormat="1" applyFont="1" applyFill="1" applyBorder="1" applyProtection="1">
      <protection locked="0"/>
    </xf>
    <xf numFmtId="169" fontId="6" fillId="0" borderId="0" xfId="1" applyAlignment="1">
      <alignment vertical="top"/>
    </xf>
    <xf numFmtId="4" fontId="1" fillId="0" borderId="54" xfId="1" applyNumberFormat="1" applyFont="1" applyBorder="1"/>
    <xf numFmtId="0" fontId="2" fillId="0" borderId="10" xfId="0" applyFont="1" applyBorder="1" applyAlignment="1">
      <alignment horizontal="left"/>
    </xf>
    <xf numFmtId="0" fontId="1" fillId="0" borderId="38" xfId="0" applyFont="1" applyBorder="1" applyAlignment="1">
      <alignment horizontal="right"/>
    </xf>
    <xf numFmtId="0" fontId="1" fillId="5" borderId="19" xfId="0" applyFont="1" applyFill="1" applyBorder="1" applyAlignment="1">
      <alignment horizontal="left"/>
    </xf>
    <xf numFmtId="0" fontId="1" fillId="20" borderId="135" xfId="0" applyFont="1" applyFill="1" applyBorder="1"/>
    <xf numFmtId="168" fontId="8" fillId="20" borderId="132" xfId="0" applyNumberFormat="1" applyFont="1" applyFill="1" applyBorder="1"/>
    <xf numFmtId="168" fontId="1" fillId="0" borderId="19" xfId="0" applyNumberFormat="1" applyFont="1" applyBorder="1"/>
    <xf numFmtId="0" fontId="37" fillId="15" borderId="136" xfId="0" applyFont="1" applyFill="1" applyBorder="1" applyAlignment="1">
      <alignment horizontal="center" vertical="center"/>
    </xf>
    <xf numFmtId="0" fontId="1" fillId="5" borderId="65" xfId="0" applyFont="1" applyFill="1" applyBorder="1" applyAlignment="1">
      <alignment horizontal="center" vertical="center" wrapText="1"/>
    </xf>
    <xf numFmtId="9" fontId="4" fillId="5" borderId="19" xfId="2" applyNumberFormat="1" applyFont="1" applyFill="1" applyBorder="1" applyAlignment="1">
      <alignment horizontal="centerContinuous"/>
    </xf>
    <xf numFmtId="4" fontId="1" fillId="0" borderId="12" xfId="1" applyNumberFormat="1" applyFont="1" applyBorder="1" applyAlignment="1">
      <alignment horizontal="right"/>
    </xf>
    <xf numFmtId="0" fontId="1" fillId="0" borderId="55" xfId="0" applyNumberFormat="1" applyFont="1" applyFill="1" applyBorder="1" applyAlignment="1">
      <alignment horizontal="center"/>
    </xf>
    <xf numFmtId="0" fontId="4" fillId="5" borderId="71" xfId="0" applyFont="1" applyFill="1" applyBorder="1" applyAlignment="1">
      <alignment horizontal="centerContinuous" vertical="center"/>
    </xf>
    <xf numFmtId="169" fontId="6" fillId="0" borderId="0" xfId="1" applyBorder="1" applyAlignment="1">
      <alignment vertical="top"/>
    </xf>
    <xf numFmtId="0" fontId="1" fillId="5" borderId="0" xfId="0" applyFont="1" applyFill="1" applyBorder="1" applyAlignment="1">
      <alignment horizontal="right" vertical="top"/>
    </xf>
    <xf numFmtId="0" fontId="0" fillId="18" borderId="1" xfId="0" applyFill="1" applyBorder="1" applyAlignment="1">
      <alignment vertical="top"/>
    </xf>
    <xf numFmtId="0" fontId="1" fillId="0" borderId="63" xfId="0" applyFont="1" applyBorder="1" applyAlignment="1">
      <alignment horizontal="right"/>
    </xf>
    <xf numFmtId="0" fontId="1" fillId="5" borderId="4" xfId="0" applyFont="1" applyFill="1" applyBorder="1" applyAlignment="1">
      <alignment horizontal="left"/>
    </xf>
    <xf numFmtId="168" fontId="1" fillId="20" borderId="135" xfId="0" applyNumberFormat="1" applyFont="1" applyFill="1" applyBorder="1"/>
    <xf numFmtId="166" fontId="1" fillId="0" borderId="56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top"/>
    </xf>
    <xf numFmtId="4" fontId="1" fillId="5" borderId="21" xfId="1" applyNumberFormat="1" applyFont="1" applyFill="1" applyBorder="1" applyAlignment="1">
      <alignment horizontal="right"/>
    </xf>
    <xf numFmtId="4" fontId="1" fillId="0" borderId="73" xfId="1" applyNumberFormat="1" applyFont="1" applyBorder="1"/>
    <xf numFmtId="4" fontId="1" fillId="0" borderId="0" xfId="0" applyNumberFormat="1" applyFont="1" applyAlignment="1">
      <alignment horizontal="center"/>
    </xf>
    <xf numFmtId="4" fontId="1" fillId="0" borderId="11" xfId="0" applyNumberFormat="1" applyFont="1" applyFill="1" applyBorder="1" applyAlignment="1">
      <alignment horizontal="center"/>
    </xf>
    <xf numFmtId="0" fontId="0" fillId="24" borderId="115" xfId="0" applyFill="1" applyBorder="1" applyAlignment="1">
      <alignment horizontal="center" vertical="center"/>
    </xf>
    <xf numFmtId="166" fontId="10" fillId="5" borderId="20" xfId="0" applyNumberFormat="1" applyFont="1" applyFill="1" applyBorder="1"/>
    <xf numFmtId="169" fontId="2" fillId="0" borderId="0" xfId="1" applyFont="1" applyBorder="1" applyAlignment="1">
      <alignment horizontal="center"/>
    </xf>
    <xf numFmtId="9" fontId="1" fillId="0" borderId="20" xfId="2" applyNumberFormat="1" applyFont="1" applyFill="1" applyBorder="1" applyAlignment="1">
      <alignment horizontal="center" vertical="center" wrapText="1"/>
    </xf>
    <xf numFmtId="0" fontId="3" fillId="0" borderId="0" xfId="0" applyFont="1"/>
    <xf numFmtId="168" fontId="1" fillId="2" borderId="39" xfId="0" applyNumberFormat="1" applyFont="1" applyFill="1" applyBorder="1" applyAlignment="1">
      <alignment horizontal="center"/>
    </xf>
    <xf numFmtId="0" fontId="1" fillId="0" borderId="63" xfId="0" applyFont="1" applyBorder="1"/>
    <xf numFmtId="0" fontId="1" fillId="5" borderId="22" xfId="0" applyFont="1" applyFill="1" applyBorder="1" applyProtection="1"/>
    <xf numFmtId="0" fontId="4" fillId="0" borderId="0" xfId="0" applyFont="1" applyAlignment="1">
      <alignment horizontal="center"/>
    </xf>
    <xf numFmtId="4" fontId="3" fillId="0" borderId="21" xfId="0" applyNumberFormat="1" applyFont="1" applyFill="1" applyBorder="1"/>
    <xf numFmtId="169" fontId="1" fillId="0" borderId="74" xfId="1" applyFont="1" applyFill="1" applyBorder="1" applyAlignment="1">
      <alignment horizontal="center"/>
    </xf>
    <xf numFmtId="0" fontId="0" fillId="0" borderId="138" xfId="0" applyFill="1" applyBorder="1" applyAlignment="1">
      <alignment horizontal="center" vertical="center" wrapText="1"/>
    </xf>
    <xf numFmtId="4" fontId="1" fillId="0" borderId="75" xfId="0" applyNumberFormat="1" applyFont="1" applyFill="1" applyBorder="1" applyProtection="1"/>
    <xf numFmtId="2" fontId="1" fillId="0" borderId="7" xfId="0" applyNumberFormat="1" applyFont="1" applyBorder="1" applyProtection="1">
      <protection locked="0"/>
    </xf>
    <xf numFmtId="0" fontId="1" fillId="0" borderId="55" xfId="0" applyFont="1" applyBorder="1" applyAlignment="1">
      <alignment horizontal="right"/>
    </xf>
    <xf numFmtId="14" fontId="8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41" fillId="5" borderId="29" xfId="0" applyFont="1" applyFill="1" applyBorder="1" applyAlignment="1">
      <alignment horizontal="center"/>
    </xf>
    <xf numFmtId="44" fontId="7" fillId="0" borderId="9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168" fontId="42" fillId="0" borderId="0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166" fontId="1" fillId="5" borderId="0" xfId="0" applyNumberFormat="1" applyFont="1" applyFill="1" applyBorder="1" applyAlignment="1">
      <alignment horizontal="right"/>
    </xf>
    <xf numFmtId="0" fontId="40" fillId="0" borderId="14" xfId="0" applyNumberFormat="1" applyFont="1" applyFill="1" applyBorder="1" applyAlignment="1">
      <alignment horizontal="center"/>
    </xf>
    <xf numFmtId="169" fontId="1" fillId="0" borderId="19" xfId="1" applyFont="1" applyBorder="1"/>
    <xf numFmtId="0" fontId="37" fillId="0" borderId="112" xfId="0" applyFont="1" applyFill="1" applyBorder="1" applyAlignment="1">
      <alignment horizontal="center" vertical="center"/>
    </xf>
    <xf numFmtId="166" fontId="1" fillId="2" borderId="23" xfId="0" applyNumberFormat="1" applyFont="1" applyFill="1" applyBorder="1"/>
    <xf numFmtId="0" fontId="25" fillId="5" borderId="0" xfId="0" applyFont="1" applyFill="1" applyBorder="1" applyAlignment="1">
      <alignment horizontal="right"/>
    </xf>
    <xf numFmtId="169" fontId="6" fillId="5" borderId="0" xfId="1" applyFill="1"/>
    <xf numFmtId="0" fontId="0" fillId="14" borderId="139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10" borderId="10" xfId="0" applyFont="1" applyFill="1" applyBorder="1" applyAlignment="1">
      <alignment horizontal="center" vertical="top" wrapText="1"/>
    </xf>
    <xf numFmtId="0" fontId="22" fillId="3" borderId="29" xfId="0" applyFont="1" applyFill="1" applyBorder="1" applyAlignment="1">
      <alignment horizontal="centerContinuous"/>
    </xf>
    <xf numFmtId="0" fontId="0" fillId="0" borderId="0" xfId="0" applyAlignment="1">
      <alignment vertical="top"/>
    </xf>
    <xf numFmtId="0" fontId="1" fillId="5" borderId="24" xfId="0" applyFont="1" applyFill="1" applyBorder="1" applyAlignment="1">
      <alignment horizontal="center"/>
    </xf>
    <xf numFmtId="166" fontId="1" fillId="0" borderId="0" xfId="1" applyNumberFormat="1" applyFont="1"/>
    <xf numFmtId="4" fontId="1" fillId="0" borderId="20" xfId="1" applyNumberFormat="1" applyFont="1" applyBorder="1" applyAlignment="1">
      <alignment horizontal="right"/>
    </xf>
    <xf numFmtId="0" fontId="0" fillId="0" borderId="0" xfId="0" applyBorder="1" applyAlignment="1"/>
    <xf numFmtId="0" fontId="0" fillId="5" borderId="0" xfId="0" applyFont="1" applyFill="1" applyAlignment="1">
      <alignment horizontal="center"/>
    </xf>
    <xf numFmtId="169" fontId="1" fillId="5" borderId="37" xfId="1" applyFont="1" applyFill="1" applyBorder="1" applyAlignment="1"/>
    <xf numFmtId="166" fontId="1" fillId="0" borderId="0" xfId="0" applyNumberFormat="1" applyFont="1" applyBorder="1"/>
    <xf numFmtId="0" fontId="1" fillId="0" borderId="12" xfId="0" applyNumberFormat="1" applyFont="1" applyBorder="1" applyAlignment="1" applyProtection="1">
      <alignment horizontal="center"/>
    </xf>
    <xf numFmtId="0" fontId="0" fillId="5" borderId="3" xfId="0" applyFill="1" applyBorder="1" applyAlignment="1">
      <alignment horizontal="centerContinuous" vertical="top"/>
    </xf>
    <xf numFmtId="166" fontId="1" fillId="0" borderId="0" xfId="0" applyNumberFormat="1" applyFont="1" applyBorder="1" applyProtection="1"/>
    <xf numFmtId="0" fontId="1" fillId="0" borderId="61" xfId="0" applyFont="1" applyBorder="1"/>
    <xf numFmtId="0" fontId="1" fillId="0" borderId="60" xfId="0" applyFont="1" applyBorder="1"/>
    <xf numFmtId="2" fontId="1" fillId="0" borderId="3" xfId="0" applyNumberFormat="1" applyFont="1" applyBorder="1"/>
    <xf numFmtId="17" fontId="1" fillId="0" borderId="60" xfId="0" applyNumberFormat="1" applyFont="1" applyBorder="1" applyAlignment="1">
      <alignment horizontal="center"/>
    </xf>
    <xf numFmtId="0" fontId="1" fillId="0" borderId="10" xfId="0" applyFont="1" applyBorder="1" applyProtection="1">
      <protection locked="0"/>
    </xf>
    <xf numFmtId="0" fontId="0" fillId="5" borderId="13" xfId="0" applyFill="1" applyBorder="1" applyAlignment="1">
      <alignment vertical="top"/>
    </xf>
    <xf numFmtId="0" fontId="1" fillId="0" borderId="41" xfId="0" applyFont="1" applyBorder="1" applyAlignment="1">
      <alignment horizontal="right"/>
    </xf>
    <xf numFmtId="0" fontId="0" fillId="14" borderId="140" xfId="0" applyFont="1" applyFill="1" applyBorder="1" applyAlignment="1">
      <alignment horizontal="center" vertical="center" wrapText="1"/>
    </xf>
    <xf numFmtId="168" fontId="1" fillId="20" borderId="132" xfId="0" applyNumberFormat="1" applyFont="1" applyFill="1" applyBorder="1"/>
    <xf numFmtId="17" fontId="1" fillId="0" borderId="17" xfId="0" applyNumberFormat="1" applyFont="1" applyBorder="1" applyAlignment="1">
      <alignment horizontal="center"/>
    </xf>
    <xf numFmtId="9" fontId="1" fillId="0" borderId="20" xfId="2" applyNumberFormat="1" applyFont="1" applyFill="1" applyBorder="1" applyAlignment="1">
      <alignment horizontal="center"/>
    </xf>
    <xf numFmtId="14" fontId="1" fillId="5" borderId="14" xfId="0" applyNumberFormat="1" applyFont="1" applyFill="1" applyBorder="1" applyAlignment="1">
      <alignment horizontal="center"/>
    </xf>
    <xf numFmtId="169" fontId="6" fillId="5" borderId="6" xfId="1" applyFill="1" applyBorder="1"/>
    <xf numFmtId="0" fontId="1" fillId="0" borderId="9" xfId="0" applyFont="1" applyFill="1" applyBorder="1" applyAlignment="1">
      <alignment horizontal="center"/>
    </xf>
    <xf numFmtId="10" fontId="43" fillId="20" borderId="131" xfId="1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top" wrapText="1"/>
    </xf>
    <xf numFmtId="4" fontId="1" fillId="0" borderId="20" xfId="1" applyNumberFormat="1" applyFont="1" applyBorder="1" applyAlignment="1"/>
    <xf numFmtId="169" fontId="1" fillId="0" borderId="119" xfId="1" applyFont="1" applyFill="1" applyBorder="1" applyAlignment="1">
      <alignment horizontal="right"/>
    </xf>
    <xf numFmtId="169" fontId="1" fillId="5" borderId="13" xfId="1" applyFont="1" applyFill="1" applyBorder="1" applyAlignment="1">
      <alignment horizontal="center"/>
    </xf>
    <xf numFmtId="0" fontId="44" fillId="0" borderId="0" xfId="0" applyFont="1" applyAlignment="1">
      <alignment horizontal="right"/>
    </xf>
    <xf numFmtId="178" fontId="7" fillId="0" borderId="3" xfId="0" applyNumberFormat="1" applyFont="1" applyFill="1" applyBorder="1" applyProtection="1">
      <protection locked="0"/>
    </xf>
    <xf numFmtId="0" fontId="0" fillId="0" borderId="114" xfId="0" applyFont="1" applyFill="1" applyBorder="1" applyAlignment="1">
      <alignment horizontal="center"/>
    </xf>
    <xf numFmtId="0" fontId="8" fillId="5" borderId="0" xfId="0" applyFont="1" applyFill="1" applyAlignment="1"/>
    <xf numFmtId="9" fontId="1" fillId="0" borderId="0" xfId="2" applyNumberFormat="1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21" fillId="0" borderId="0" xfId="0" applyFont="1" applyFill="1" applyBorder="1" applyAlignment="1">
      <alignment horizontal="center"/>
    </xf>
    <xf numFmtId="0" fontId="10" fillId="9" borderId="19" xfId="0" applyFont="1" applyFill="1" applyBorder="1" applyAlignment="1">
      <alignment horizontal="center"/>
    </xf>
    <xf numFmtId="9" fontId="2" fillId="5" borderId="68" xfId="2" applyNumberFormat="1" applyFont="1" applyFill="1" applyBorder="1" applyAlignment="1">
      <alignment horizontal="left" vertical="center"/>
    </xf>
    <xf numFmtId="4" fontId="20" fillId="0" borderId="5" xfId="1" applyNumberFormat="1" applyFont="1" applyBorder="1"/>
    <xf numFmtId="4" fontId="35" fillId="0" borderId="43" xfId="0" applyNumberFormat="1" applyFont="1" applyBorder="1"/>
    <xf numFmtId="0" fontId="0" fillId="0" borderId="0" xfId="0" applyFont="1" applyAlignment="1">
      <alignment vertical="center"/>
    </xf>
    <xf numFmtId="169" fontId="13" fillId="0" borderId="0" xfId="1" applyFont="1" applyBorder="1" applyAlignment="1">
      <alignment horizontal="left"/>
    </xf>
    <xf numFmtId="0" fontId="3" fillId="0" borderId="128" xfId="0" applyFont="1" applyBorder="1" applyAlignment="1">
      <alignment horizontal="center"/>
    </xf>
    <xf numFmtId="0" fontId="1" fillId="5" borderId="0" xfId="0" applyFont="1" applyFill="1" applyBorder="1" applyAlignment="1"/>
    <xf numFmtId="0" fontId="0" fillId="0" borderId="114" xfId="0" applyFont="1" applyBorder="1" applyAlignment="1">
      <alignment vertical="top"/>
    </xf>
    <xf numFmtId="0" fontId="4" fillId="0" borderId="3" xfId="0" applyFont="1" applyBorder="1" applyAlignment="1">
      <alignment horizontal="centerContinuous"/>
    </xf>
    <xf numFmtId="4" fontId="1" fillId="0" borderId="7" xfId="0" applyNumberFormat="1" applyFont="1" applyBorder="1" applyAlignment="1" applyProtection="1">
      <alignment horizontal="center"/>
    </xf>
    <xf numFmtId="4" fontId="16" fillId="0" borderId="4" xfId="0" applyNumberFormat="1" applyFont="1" applyBorder="1" applyProtection="1"/>
    <xf numFmtId="169" fontId="1" fillId="0" borderId="31" xfId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14" fontId="1" fillId="5" borderId="30" xfId="0" applyNumberFormat="1" applyFont="1" applyFill="1" applyBorder="1" applyAlignment="1">
      <alignment horizontal="center"/>
    </xf>
    <xf numFmtId="168" fontId="1" fillId="2" borderId="25" xfId="0" applyNumberFormat="1" applyFont="1" applyFill="1" applyBorder="1" applyAlignment="1">
      <alignment horizontal="center"/>
    </xf>
    <xf numFmtId="9" fontId="2" fillId="5" borderId="14" xfId="2" applyNumberFormat="1" applyFont="1" applyFill="1" applyBorder="1" applyAlignment="1">
      <alignment horizontal="centerContinuous" vertical="top"/>
    </xf>
    <xf numFmtId="166" fontId="5" fillId="0" borderId="0" xfId="0" applyNumberFormat="1" applyFont="1" applyFill="1" applyBorder="1"/>
    <xf numFmtId="0" fontId="0" fillId="24" borderId="115" xfId="0" applyFill="1" applyBorder="1"/>
    <xf numFmtId="0" fontId="1" fillId="0" borderId="44" xfId="0" applyFont="1" applyBorder="1" applyAlignment="1">
      <alignment horizontal="center"/>
    </xf>
    <xf numFmtId="169" fontId="6" fillId="0" borderId="38" xfId="1" applyBorder="1"/>
    <xf numFmtId="169" fontId="6" fillId="5" borderId="9" xfId="1" applyFill="1" applyBorder="1"/>
    <xf numFmtId="0" fontId="0" fillId="5" borderId="74" xfId="0" applyFill="1" applyBorder="1" applyAlignment="1">
      <alignment vertical="center"/>
    </xf>
    <xf numFmtId="169" fontId="1" fillId="5" borderId="15" xfId="1" applyFont="1" applyFill="1" applyBorder="1" applyAlignment="1"/>
    <xf numFmtId="0" fontId="2" fillId="5" borderId="13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4" fontId="1" fillId="0" borderId="22" xfId="1" applyNumberFormat="1" applyFont="1" applyBorder="1"/>
    <xf numFmtId="0" fontId="1" fillId="0" borderId="18" xfId="0" applyFont="1" applyBorder="1" applyAlignment="1" applyProtection="1">
      <alignment horizontal="left"/>
      <protection locked="0"/>
    </xf>
    <xf numFmtId="44" fontId="2" fillId="5" borderId="0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4" fontId="1" fillId="0" borderId="4" xfId="1" applyNumberFormat="1" applyFont="1" applyBorder="1"/>
    <xf numFmtId="0" fontId="1" fillId="0" borderId="8" xfId="0" applyFont="1" applyBorder="1" applyAlignment="1">
      <alignment horizontal="right"/>
    </xf>
    <xf numFmtId="166" fontId="1" fillId="0" borderId="0" xfId="0" applyNumberFormat="1" applyFont="1" applyAlignment="1">
      <alignment vertical="center"/>
    </xf>
    <xf numFmtId="169" fontId="1" fillId="0" borderId="0" xfId="1" applyFont="1" applyFill="1" applyBorder="1" applyAlignment="1">
      <alignment horizontal="right"/>
    </xf>
    <xf numFmtId="0" fontId="0" fillId="0" borderId="58" xfId="0" applyBorder="1"/>
    <xf numFmtId="0" fontId="2" fillId="6" borderId="72" xfId="0" applyFont="1" applyFill="1" applyBorder="1" applyAlignment="1">
      <alignment horizontal="center"/>
    </xf>
    <xf numFmtId="0" fontId="2" fillId="7" borderId="47" xfId="0" applyNumberFormat="1" applyFont="1" applyFill="1" applyBorder="1" applyAlignment="1">
      <alignment horizontal="left" vertical="top" wrapText="1"/>
    </xf>
    <xf numFmtId="9" fontId="1" fillId="5" borderId="29" xfId="2" applyNumberFormat="1" applyFont="1" applyFill="1" applyBorder="1" applyAlignment="1">
      <alignment horizontal="centerContinuous"/>
    </xf>
    <xf numFmtId="165" fontId="1" fillId="5" borderId="58" xfId="2" applyNumberFormat="1" applyFont="1" applyFill="1" applyBorder="1" applyAlignment="1" applyProtection="1">
      <alignment horizontal="centerContinuous"/>
    </xf>
    <xf numFmtId="0" fontId="8" fillId="5" borderId="58" xfId="0" applyFont="1" applyFill="1" applyBorder="1"/>
    <xf numFmtId="44" fontId="2" fillId="5" borderId="0" xfId="0" applyNumberFormat="1" applyFont="1" applyFill="1" applyBorder="1"/>
    <xf numFmtId="0" fontId="1" fillId="0" borderId="48" xfId="0" applyFont="1" applyBorder="1" applyAlignment="1">
      <alignment horizontal="right"/>
    </xf>
    <xf numFmtId="4" fontId="3" fillId="0" borderId="12" xfId="0" applyNumberFormat="1" applyFont="1" applyBorder="1"/>
    <xf numFmtId="0" fontId="2" fillId="7" borderId="47" xfId="0" applyFont="1" applyFill="1" applyBorder="1" applyAlignment="1">
      <alignment horizontal="left" vertical="top" wrapText="1"/>
    </xf>
    <xf numFmtId="4" fontId="3" fillId="0" borderId="19" xfId="0" applyNumberFormat="1" applyFont="1" applyBorder="1"/>
    <xf numFmtId="169" fontId="40" fillId="0" borderId="0" xfId="1" applyFont="1" applyFill="1" applyBorder="1" applyAlignment="1">
      <alignment horizontal="center"/>
    </xf>
    <xf numFmtId="175" fontId="0" fillId="0" borderId="0" xfId="0" applyNumberFormat="1"/>
    <xf numFmtId="169" fontId="6" fillId="0" borderId="0" xfId="1" applyFont="1" applyBorder="1" applyAlignment="1">
      <alignment horizontal="right"/>
    </xf>
    <xf numFmtId="0" fontId="1" fillId="0" borderId="19" xfId="0" applyNumberFormat="1" applyFont="1" applyFill="1" applyBorder="1" applyAlignment="1" applyProtection="1">
      <alignment horizontal="left"/>
    </xf>
    <xf numFmtId="169" fontId="1" fillId="5" borderId="9" xfId="1" applyFont="1" applyFill="1" applyBorder="1" applyAlignment="1">
      <alignment horizontal="center"/>
    </xf>
    <xf numFmtId="44" fontId="1" fillId="0" borderId="13" xfId="0" applyNumberFormat="1" applyFont="1" applyBorder="1" applyAlignment="1"/>
    <xf numFmtId="0" fontId="1" fillId="0" borderId="77" xfId="0" applyFont="1" applyBorder="1" applyAlignment="1"/>
    <xf numFmtId="0" fontId="0" fillId="7" borderId="6" xfId="0" applyFont="1" applyFill="1" applyBorder="1" applyAlignment="1">
      <alignment vertical="top"/>
    </xf>
    <xf numFmtId="0" fontId="1" fillId="5" borderId="20" xfId="0" applyNumberFormat="1" applyFont="1" applyFill="1" applyBorder="1" applyAlignment="1">
      <alignment horizontal="center"/>
    </xf>
    <xf numFmtId="178" fontId="1" fillId="5" borderId="52" xfId="0" applyNumberFormat="1" applyFont="1" applyFill="1" applyBorder="1" applyProtection="1"/>
    <xf numFmtId="10" fontId="43" fillId="20" borderId="135" xfId="1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18" borderId="11" xfId="0" applyFont="1" applyFill="1" applyBorder="1" applyAlignment="1">
      <alignment horizontal="left" vertical="top" wrapText="1"/>
    </xf>
    <xf numFmtId="0" fontId="37" fillId="14" borderId="111" xfId="0" applyFont="1" applyFill="1" applyBorder="1" applyAlignment="1">
      <alignment horizontal="center" vertical="center"/>
    </xf>
    <xf numFmtId="17" fontId="1" fillId="0" borderId="65" xfId="0" applyNumberFormat="1" applyFont="1" applyBorder="1" applyAlignment="1">
      <alignment horizontal="center"/>
    </xf>
    <xf numFmtId="0" fontId="1" fillId="0" borderId="78" xfId="0" applyFont="1" applyBorder="1" applyAlignment="1">
      <alignment horizontal="right"/>
    </xf>
    <xf numFmtId="4" fontId="1" fillId="0" borderId="13" xfId="0" applyNumberFormat="1" applyFont="1" applyBorder="1" applyAlignment="1" applyProtection="1">
      <alignment horizontal="center"/>
    </xf>
    <xf numFmtId="0" fontId="11" fillId="0" borderId="0" xfId="0" applyFont="1" applyFill="1" applyBorder="1" applyAlignment="1">
      <alignment horizontal="center"/>
    </xf>
    <xf numFmtId="0" fontId="23" fillId="0" borderId="79" xfId="0" applyFont="1" applyBorder="1" applyAlignment="1">
      <alignment horizontal="center"/>
    </xf>
    <xf numFmtId="0" fontId="0" fillId="0" borderId="12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3" fontId="0" fillId="0" borderId="0" xfId="0" applyNumberFormat="1" applyFont="1"/>
    <xf numFmtId="0" fontId="1" fillId="0" borderId="6" xfId="0" applyFont="1" applyBorder="1" applyAlignment="1" applyProtection="1">
      <alignment horizontal="left"/>
      <protection locked="0"/>
    </xf>
    <xf numFmtId="2" fontId="7" fillId="0" borderId="18" xfId="0" applyNumberFormat="1" applyFont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centerContinuous"/>
    </xf>
    <xf numFmtId="0" fontId="1" fillId="6" borderId="41" xfId="0" applyFont="1" applyFill="1" applyBorder="1"/>
    <xf numFmtId="49" fontId="0" fillId="0" borderId="0" xfId="0" applyNumberFormat="1" applyFont="1" applyFill="1" applyBorder="1"/>
    <xf numFmtId="178" fontId="0" fillId="0" borderId="5" xfId="0" applyNumberFormat="1" applyFill="1" applyBorder="1"/>
    <xf numFmtId="169" fontId="6" fillId="0" borderId="13" xfId="1" applyBorder="1"/>
    <xf numFmtId="6" fontId="1" fillId="0" borderId="0" xfId="1" applyNumberFormat="1" applyFont="1" applyBorder="1" applyAlignment="1">
      <alignment horizontal="center"/>
    </xf>
    <xf numFmtId="0" fontId="1" fillId="0" borderId="69" xfId="0" applyFont="1" applyBorder="1"/>
    <xf numFmtId="9" fontId="0" fillId="0" borderId="0" xfId="0" applyNumberFormat="1" applyFont="1" applyBorder="1"/>
    <xf numFmtId="0" fontId="1" fillId="0" borderId="10" xfId="0" applyFont="1" applyBorder="1" applyAlignment="1" applyProtection="1">
      <alignment horizontal="center"/>
    </xf>
    <xf numFmtId="0" fontId="1" fillId="5" borderId="50" xfId="0" applyFont="1" applyFill="1" applyBorder="1" applyAlignment="1">
      <alignment horizontal="left"/>
    </xf>
    <xf numFmtId="0" fontId="0" fillId="0" borderId="80" xfId="0" applyBorder="1" applyAlignment="1">
      <alignment horizontal="center"/>
    </xf>
    <xf numFmtId="0" fontId="1" fillId="0" borderId="36" xfId="0" applyFont="1" applyBorder="1" applyProtection="1">
      <protection locked="0"/>
    </xf>
    <xf numFmtId="4" fontId="3" fillId="0" borderId="13" xfId="0" applyNumberFormat="1" applyFont="1" applyFill="1" applyBorder="1"/>
    <xf numFmtId="0" fontId="37" fillId="14" borderId="118" xfId="0" applyFont="1" applyFill="1" applyBorder="1" applyAlignment="1">
      <alignment horizontal="center" vertical="center"/>
    </xf>
    <xf numFmtId="169" fontId="40" fillId="0" borderId="0" xfId="1" applyFont="1" applyFill="1" applyAlignment="1">
      <alignment horizontal="center"/>
    </xf>
    <xf numFmtId="166" fontId="1" fillId="0" borderId="51" xfId="0" applyNumberFormat="1" applyFont="1" applyBorder="1"/>
    <xf numFmtId="169" fontId="6" fillId="0" borderId="0" xfId="1" applyFont="1" applyAlignment="1">
      <alignment horizontal="right"/>
    </xf>
    <xf numFmtId="0" fontId="2" fillId="0" borderId="39" xfId="0" applyFont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168" fontId="1" fillId="2" borderId="41" xfId="0" applyNumberFormat="1" applyFont="1" applyFill="1" applyBorder="1" applyAlignment="1">
      <alignment horizontal="center"/>
    </xf>
    <xf numFmtId="4" fontId="1" fillId="0" borderId="13" xfId="0" applyNumberFormat="1" applyFont="1" applyBorder="1"/>
    <xf numFmtId="0" fontId="8" fillId="5" borderId="0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 vertical="top"/>
    </xf>
    <xf numFmtId="4" fontId="1" fillId="0" borderId="61" xfId="1" applyNumberFormat="1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9" fontId="5" fillId="0" borderId="0" xfId="1" applyFont="1" applyFill="1" applyBorder="1" applyAlignment="1">
      <alignment horizontal="right" vertical="center"/>
    </xf>
    <xf numFmtId="0" fontId="9" fillId="0" borderId="117" xfId="3" applyFont="1" applyFill="1" applyBorder="1" applyAlignment="1">
      <alignment vertical="center"/>
    </xf>
    <xf numFmtId="2" fontId="1" fillId="0" borderId="0" xfId="0" applyNumberFormat="1" applyFont="1" applyBorder="1" applyAlignment="1">
      <alignment horizontal="centerContinuous" vertical="center"/>
    </xf>
    <xf numFmtId="0" fontId="1" fillId="5" borderId="15" xfId="0" applyFont="1" applyFill="1" applyBorder="1" applyAlignment="1">
      <alignment horizontal="center"/>
    </xf>
    <xf numFmtId="44" fontId="1" fillId="0" borderId="62" xfId="0" applyNumberFormat="1" applyFont="1" applyBorder="1" applyProtection="1">
      <protection locked="0"/>
    </xf>
    <xf numFmtId="0" fontId="1" fillId="0" borderId="10" xfId="0" applyFont="1" applyBorder="1"/>
    <xf numFmtId="4" fontId="1" fillId="0" borderId="57" xfId="0" applyNumberFormat="1" applyFont="1" applyBorder="1"/>
    <xf numFmtId="169" fontId="1" fillId="5" borderId="9" xfId="1" applyFont="1" applyFill="1" applyBorder="1"/>
    <xf numFmtId="0" fontId="1" fillId="0" borderId="58" xfId="0" applyFont="1" applyBorder="1"/>
    <xf numFmtId="0" fontId="1" fillId="5" borderId="19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169" fontId="40" fillId="0" borderId="141" xfId="1" applyFont="1" applyFill="1" applyBorder="1" applyAlignment="1">
      <alignment horizontal="center"/>
    </xf>
    <xf numFmtId="2" fontId="4" fillId="0" borderId="58" xfId="0" applyNumberFormat="1" applyFont="1" applyBorder="1" applyAlignment="1">
      <alignment horizontal="centerContinuous"/>
    </xf>
    <xf numFmtId="0" fontId="4" fillId="10" borderId="10" xfId="0" applyFont="1" applyFill="1" applyBorder="1" applyAlignment="1">
      <alignment horizontal="center" vertical="top"/>
    </xf>
    <xf numFmtId="4" fontId="1" fillId="5" borderId="47" xfId="1" applyNumberFormat="1" applyFont="1" applyFill="1" applyBorder="1" applyAlignment="1">
      <alignment horizontal="center"/>
    </xf>
    <xf numFmtId="10" fontId="1" fillId="5" borderId="13" xfId="0" applyNumberFormat="1" applyFont="1" applyFill="1" applyBorder="1" applyAlignment="1">
      <alignment horizontal="right"/>
    </xf>
    <xf numFmtId="4" fontId="1" fillId="0" borderId="9" xfId="0" applyNumberFormat="1" applyFont="1" applyBorder="1" applyAlignment="1" applyProtection="1">
      <alignment horizontal="center"/>
    </xf>
    <xf numFmtId="0" fontId="0" fillId="0" borderId="116" xfId="0" applyFont="1" applyFill="1" applyBorder="1" applyAlignment="1">
      <alignment horizontal="center" vertical="center" wrapText="1"/>
    </xf>
    <xf numFmtId="169" fontId="1" fillId="0" borderId="0" xfId="1" applyFont="1" applyBorder="1" applyAlignment="1">
      <alignment horizontal="left"/>
    </xf>
    <xf numFmtId="168" fontId="1" fillId="0" borderId="0" xfId="0" applyNumberFormat="1" applyFont="1" applyBorder="1" applyAlignment="1">
      <alignment horizontal="centerContinuous"/>
    </xf>
    <xf numFmtId="9" fontId="10" fillId="5" borderId="0" xfId="2" applyNumberFormat="1" applyFont="1" applyFill="1" applyBorder="1" applyAlignment="1" applyProtection="1">
      <alignment horizontal="center"/>
    </xf>
    <xf numFmtId="168" fontId="1" fillId="2" borderId="81" xfId="0" applyNumberFormat="1" applyFont="1" applyFill="1" applyBorder="1" applyAlignment="1">
      <alignment horizontal="center"/>
    </xf>
    <xf numFmtId="0" fontId="37" fillId="14" borderId="101" xfId="0" applyFont="1" applyFill="1" applyBorder="1" applyAlignment="1">
      <alignment horizontal="center" vertical="center"/>
    </xf>
    <xf numFmtId="0" fontId="0" fillId="0" borderId="82" xfId="0" applyBorder="1"/>
    <xf numFmtId="4" fontId="1" fillId="5" borderId="13" xfId="1" applyNumberFormat="1" applyFont="1" applyFill="1" applyBorder="1"/>
    <xf numFmtId="4" fontId="1" fillId="5" borderId="0" xfId="1" applyNumberFormat="1" applyFont="1" applyFill="1" applyBorder="1"/>
    <xf numFmtId="169" fontId="1" fillId="5" borderId="37" xfId="1" applyFont="1" applyFill="1" applyBorder="1" applyAlignment="1">
      <alignment horizontal="centerContinuous"/>
    </xf>
    <xf numFmtId="4" fontId="1" fillId="0" borderId="29" xfId="1" applyNumberFormat="1" applyFont="1" applyBorder="1" applyAlignment="1">
      <alignment horizontal="center"/>
    </xf>
    <xf numFmtId="176" fontId="1" fillId="5" borderId="0" xfId="0" applyNumberFormat="1" applyFont="1" applyFill="1" applyBorder="1" applyAlignment="1">
      <alignment horizontal="center"/>
    </xf>
    <xf numFmtId="44" fontId="7" fillId="0" borderId="67" xfId="0" applyNumberFormat="1" applyFont="1" applyBorder="1" applyProtection="1">
      <protection locked="0"/>
    </xf>
    <xf numFmtId="178" fontId="1" fillId="5" borderId="3" xfId="0" applyNumberFormat="1" applyFont="1" applyFill="1" applyBorder="1" applyProtection="1">
      <protection locked="0"/>
    </xf>
    <xf numFmtId="166" fontId="1" fillId="2" borderId="8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right" vertical="top"/>
    </xf>
    <xf numFmtId="178" fontId="2" fillId="5" borderId="20" xfId="0" applyNumberFormat="1" applyFont="1" applyFill="1" applyBorder="1" applyProtection="1"/>
    <xf numFmtId="0" fontId="1" fillId="0" borderId="69" xfId="0" applyFont="1" applyFill="1" applyBorder="1" applyAlignment="1">
      <alignment horizontal="center"/>
    </xf>
    <xf numFmtId="169" fontId="1" fillId="22" borderId="8" xfId="1" applyFont="1" applyFill="1" applyBorder="1" applyAlignment="1">
      <alignment horizontal="centerContinuous"/>
    </xf>
    <xf numFmtId="166" fontId="1" fillId="0" borderId="30" xfId="0" applyNumberFormat="1" applyFont="1" applyBorder="1"/>
    <xf numFmtId="166" fontId="0" fillId="5" borderId="4" xfId="2" applyNumberFormat="1" applyFont="1" applyFill="1" applyBorder="1"/>
    <xf numFmtId="0" fontId="1" fillId="0" borderId="34" xfId="0" applyFont="1" applyBorder="1"/>
    <xf numFmtId="10" fontId="2" fillId="7" borderId="11" xfId="0" applyNumberFormat="1" applyFont="1" applyFill="1" applyBorder="1" applyAlignment="1">
      <alignment horizontal="left" vertical="top" wrapText="1"/>
    </xf>
    <xf numFmtId="0" fontId="40" fillId="0" borderId="13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9" fontId="1" fillId="0" borderId="4" xfId="1" applyFont="1" applyBorder="1"/>
    <xf numFmtId="169" fontId="1" fillId="5" borderId="3" xfId="1" applyFont="1" applyFill="1" applyBorder="1" applyAlignment="1">
      <alignment horizontal="left"/>
    </xf>
    <xf numFmtId="0" fontId="2" fillId="5" borderId="83" xfId="0" applyFont="1" applyFill="1" applyBorder="1" applyAlignment="1">
      <alignment horizontal="center" vertical="center" wrapText="1"/>
    </xf>
    <xf numFmtId="44" fontId="1" fillId="0" borderId="0" xfId="0" applyNumberFormat="1" applyFont="1" applyBorder="1" applyAlignment="1"/>
    <xf numFmtId="10" fontId="2" fillId="5" borderId="0" xfId="1" applyNumberFormat="1" applyFont="1" applyFill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84" xfId="0" applyFont="1" applyBorder="1" applyAlignment="1">
      <alignment horizontal="right"/>
    </xf>
    <xf numFmtId="0" fontId="1" fillId="5" borderId="0" xfId="0" applyNumberFormat="1" applyFont="1" applyFill="1" applyBorder="1" applyAlignment="1">
      <alignment horizontal="center"/>
    </xf>
    <xf numFmtId="0" fontId="0" fillId="0" borderId="30" xfId="0" applyFont="1" applyBorder="1"/>
    <xf numFmtId="4" fontId="7" fillId="0" borderId="0" xfId="1" applyNumberFormat="1" applyFont="1" applyAlignment="1">
      <alignment horizontal="center"/>
    </xf>
    <xf numFmtId="0" fontId="2" fillId="5" borderId="0" xfId="0" applyFont="1" applyFill="1" applyBorder="1" applyAlignment="1">
      <alignment horizontal="center" vertical="top"/>
    </xf>
    <xf numFmtId="44" fontId="1" fillId="0" borderId="29" xfId="0" applyNumberFormat="1" applyFont="1" applyBorder="1" applyAlignment="1"/>
    <xf numFmtId="166" fontId="1" fillId="0" borderId="0" xfId="0" applyNumberFormat="1" applyFont="1" applyAlignment="1">
      <alignment horizontal="center" vertical="center"/>
    </xf>
    <xf numFmtId="0" fontId="4" fillId="5" borderId="66" xfId="0" applyFont="1" applyFill="1" applyBorder="1" applyAlignment="1">
      <alignment horizontal="center"/>
    </xf>
    <xf numFmtId="0" fontId="0" fillId="5" borderId="85" xfId="0" applyFill="1" applyBorder="1" applyAlignment="1">
      <alignment horizontal="centerContinuous"/>
    </xf>
    <xf numFmtId="0" fontId="1" fillId="0" borderId="38" xfId="0" applyFont="1" applyBorder="1" applyAlignment="1">
      <alignment horizontal="center" vertical="center"/>
    </xf>
    <xf numFmtId="164" fontId="45" fillId="0" borderId="0" xfId="0" applyNumberFormat="1" applyFont="1" applyFill="1" applyBorder="1" applyAlignment="1">
      <alignment horizontal="center"/>
    </xf>
    <xf numFmtId="0" fontId="0" fillId="0" borderId="86" xfId="0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178" fontId="2" fillId="0" borderId="40" xfId="0" applyNumberFormat="1" applyFont="1" applyBorder="1"/>
    <xf numFmtId="0" fontId="1" fillId="0" borderId="65" xfId="0" applyFont="1" applyBorder="1" applyAlignment="1">
      <alignment horizontal="center"/>
    </xf>
    <xf numFmtId="4" fontId="28" fillId="0" borderId="12" xfId="1" applyNumberFormat="1" applyFont="1" applyBorder="1"/>
    <xf numFmtId="171" fontId="1" fillId="0" borderId="33" xfId="0" applyNumberFormat="1" applyFont="1" applyBorder="1" applyAlignment="1">
      <alignment horizontal="center"/>
    </xf>
    <xf numFmtId="0" fontId="9" fillId="25" borderId="143" xfId="0" applyFont="1" applyFill="1" applyBorder="1" applyAlignment="1">
      <alignment horizontal="centerContinuous" vertical="center"/>
    </xf>
    <xf numFmtId="44" fontId="7" fillId="0" borderId="6" xfId="0" applyNumberFormat="1" applyFont="1" applyBorder="1" applyAlignment="1" applyProtection="1">
      <alignment horizontal="left"/>
      <protection locked="0"/>
    </xf>
    <xf numFmtId="169" fontId="0" fillId="0" borderId="0" xfId="1" applyFont="1" applyAlignment="1">
      <alignment horizontal="right"/>
    </xf>
    <xf numFmtId="178" fontId="1" fillId="5" borderId="5" xfId="0" applyNumberFormat="1" applyFont="1" applyFill="1" applyBorder="1" applyProtection="1">
      <protection locked="0"/>
    </xf>
    <xf numFmtId="169" fontId="1" fillId="5" borderId="3" xfId="1" applyFont="1" applyFill="1" applyBorder="1" applyAlignment="1">
      <alignment horizontal="centerContinuous"/>
    </xf>
    <xf numFmtId="0" fontId="1" fillId="20" borderId="135" xfId="0" applyFont="1" applyFill="1" applyBorder="1" applyAlignment="1">
      <alignment horizontal="center"/>
    </xf>
    <xf numFmtId="0" fontId="0" fillId="0" borderId="108" xfId="0" applyFont="1" applyFill="1" applyBorder="1" applyAlignment="1">
      <alignment horizontal="center" vertical="center"/>
    </xf>
    <xf numFmtId="0" fontId="1" fillId="0" borderId="87" xfId="0" applyFont="1" applyBorder="1"/>
    <xf numFmtId="0" fontId="0" fillId="7" borderId="9" xfId="0" applyFont="1" applyFill="1" applyBorder="1" applyAlignment="1">
      <alignment vertical="top"/>
    </xf>
    <xf numFmtId="168" fontId="1" fillId="2" borderId="9" xfId="0" applyNumberFormat="1" applyFont="1" applyFill="1" applyBorder="1" applyAlignment="1">
      <alignment horizontal="center"/>
    </xf>
    <xf numFmtId="0" fontId="9" fillId="0" borderId="144" xfId="3" applyFont="1" applyFill="1" applyBorder="1" applyAlignment="1">
      <alignment horizontal="center" vertical="center"/>
    </xf>
    <xf numFmtId="0" fontId="0" fillId="14" borderId="115" xfId="0" applyFill="1" applyBorder="1"/>
    <xf numFmtId="4" fontId="1" fillId="0" borderId="0" xfId="1" applyNumberFormat="1" applyFont="1" applyBorder="1" applyAlignment="1">
      <alignment horizontal="center"/>
    </xf>
    <xf numFmtId="4" fontId="1" fillId="0" borderId="40" xfId="0" applyNumberFormat="1" applyFont="1" applyBorder="1" applyProtection="1"/>
    <xf numFmtId="4" fontId="1" fillId="0" borderId="58" xfId="1" applyNumberFormat="1" applyFont="1" applyBorder="1"/>
    <xf numFmtId="166" fontId="6" fillId="0" borderId="12" xfId="1" applyNumberFormat="1" applyFont="1" applyBorder="1"/>
    <xf numFmtId="4" fontId="1" fillId="0" borderId="88" xfId="0" applyNumberFormat="1" applyFont="1" applyBorder="1"/>
    <xf numFmtId="0" fontId="8" fillId="0" borderId="0" xfId="0" applyFont="1" applyFill="1" applyBorder="1"/>
    <xf numFmtId="17" fontId="1" fillId="0" borderId="56" xfId="0" applyNumberFormat="1" applyFont="1" applyBorder="1" applyAlignment="1">
      <alignment horizontal="center"/>
    </xf>
    <xf numFmtId="168" fontId="5" fillId="0" borderId="0" xfId="1" applyNumberFormat="1" applyFont="1" applyFill="1" applyBorder="1"/>
    <xf numFmtId="0" fontId="1" fillId="2" borderId="62" xfId="0" applyFont="1" applyFill="1" applyBorder="1" applyAlignment="1">
      <alignment horizontal="center"/>
    </xf>
    <xf numFmtId="4" fontId="1" fillId="0" borderId="53" xfId="1" applyNumberFormat="1" applyFont="1" applyBorder="1" applyAlignment="1">
      <alignment horizontal="right"/>
    </xf>
    <xf numFmtId="166" fontId="1" fillId="0" borderId="12" xfId="0" applyNumberFormat="1" applyFont="1" applyBorder="1"/>
    <xf numFmtId="9" fontId="4" fillId="5" borderId="58" xfId="2" applyNumberFormat="1" applyFont="1" applyFill="1" applyBorder="1" applyAlignment="1">
      <alignment horizontal="centerContinuous"/>
    </xf>
    <xf numFmtId="0" fontId="2" fillId="11" borderId="59" xfId="0" applyFont="1" applyFill="1" applyBorder="1" applyAlignment="1">
      <alignment horizontal="center"/>
    </xf>
    <xf numFmtId="2" fontId="0" fillId="0" borderId="0" xfId="0" applyNumberFormat="1"/>
    <xf numFmtId="0" fontId="0" fillId="5" borderId="0" xfId="0" applyFont="1" applyFill="1" applyBorder="1" applyAlignment="1">
      <alignment horizontal="left"/>
    </xf>
    <xf numFmtId="2" fontId="4" fillId="0" borderId="20" xfId="0" applyNumberFormat="1" applyFont="1" applyBorder="1" applyAlignment="1">
      <alignment horizontal="centerContinuous"/>
    </xf>
    <xf numFmtId="9" fontId="1" fillId="5" borderId="58" xfId="2" applyNumberFormat="1" applyFont="1" applyFill="1" applyBorder="1"/>
    <xf numFmtId="0" fontId="0" fillId="5" borderId="20" xfId="0" applyFont="1" applyFill="1" applyBorder="1"/>
    <xf numFmtId="10" fontId="2" fillId="5" borderId="37" xfId="1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104" xfId="3" applyFont="1" applyFill="1" applyBorder="1" applyAlignment="1">
      <alignment vertical="center"/>
    </xf>
    <xf numFmtId="0" fontId="1" fillId="5" borderId="5" xfId="0" applyFont="1" applyFill="1" applyBorder="1" applyAlignment="1">
      <alignment horizontal="center"/>
    </xf>
    <xf numFmtId="14" fontId="2" fillId="7" borderId="10" xfId="0" applyNumberFormat="1" applyFont="1" applyFill="1" applyBorder="1" applyAlignment="1">
      <alignment horizontal="left" vertical="top" wrapText="1"/>
    </xf>
    <xf numFmtId="179" fontId="1" fillId="0" borderId="47" xfId="0" applyNumberFormat="1" applyFont="1" applyBorder="1" applyProtection="1"/>
    <xf numFmtId="0" fontId="0" fillId="0" borderId="114" xfId="0" applyFont="1" applyBorder="1" applyAlignment="1">
      <alignment vertical="center"/>
    </xf>
    <xf numFmtId="0" fontId="2" fillId="6" borderId="69" xfId="0" applyFont="1" applyFill="1" applyBorder="1" applyAlignment="1">
      <alignment horizontal="center"/>
    </xf>
    <xf numFmtId="0" fontId="0" fillId="14" borderId="145" xfId="0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/>
    </xf>
    <xf numFmtId="176" fontId="1" fillId="5" borderId="12" xfId="0" applyNumberFormat="1" applyFont="1" applyFill="1" applyBorder="1" applyAlignment="1">
      <alignment horizontal="center"/>
    </xf>
    <xf numFmtId="0" fontId="1" fillId="0" borderId="89" xfId="0" applyFont="1" applyBorder="1" applyAlignment="1">
      <alignment horizontal="center"/>
    </xf>
    <xf numFmtId="166" fontId="2" fillId="5" borderId="20" xfId="0" applyNumberFormat="1" applyFont="1" applyFill="1" applyBorder="1" applyProtection="1"/>
    <xf numFmtId="0" fontId="1" fillId="5" borderId="13" xfId="0" applyFont="1" applyFill="1" applyBorder="1" applyAlignment="1">
      <alignment horizontal="center" vertical="top"/>
    </xf>
    <xf numFmtId="4" fontId="7" fillId="5" borderId="47" xfId="1" applyNumberFormat="1" applyFont="1" applyFill="1" applyBorder="1" applyAlignment="1">
      <alignment horizontal="center"/>
    </xf>
    <xf numFmtId="179" fontId="1" fillId="0" borderId="90" xfId="0" applyNumberFormat="1" applyFont="1" applyFill="1" applyBorder="1"/>
    <xf numFmtId="168" fontId="43" fillId="20" borderId="135" xfId="1" applyNumberFormat="1" applyFont="1" applyFill="1" applyBorder="1" applyAlignment="1">
      <alignment horizontal="center"/>
    </xf>
    <xf numFmtId="166" fontId="1" fillId="5" borderId="4" xfId="0" applyNumberFormat="1" applyFont="1" applyFill="1" applyBorder="1"/>
    <xf numFmtId="4" fontId="1" fillId="5" borderId="11" xfId="0" applyNumberFormat="1" applyFont="1" applyFill="1" applyBorder="1" applyAlignment="1">
      <alignment horizontal="center"/>
    </xf>
    <xf numFmtId="166" fontId="1" fillId="5" borderId="22" xfId="0" applyNumberFormat="1" applyFont="1" applyFill="1" applyBorder="1" applyProtection="1"/>
    <xf numFmtId="169" fontId="1" fillId="0" borderId="0" xfId="1" applyFont="1" applyBorder="1" applyAlignment="1">
      <alignment horizontal="centerContinuous"/>
    </xf>
    <xf numFmtId="168" fontId="2" fillId="7" borderId="11" xfId="0" applyNumberFormat="1" applyFont="1" applyFill="1" applyBorder="1" applyAlignment="1">
      <alignment horizontal="left" vertical="top" wrapText="1"/>
    </xf>
    <xf numFmtId="0" fontId="0" fillId="0" borderId="121" xfId="0" applyFont="1" applyFill="1" applyBorder="1" applyAlignment="1">
      <alignment horizontal="center" vertical="center"/>
    </xf>
    <xf numFmtId="9" fontId="10" fillId="5" borderId="12" xfId="2" applyNumberFormat="1" applyFont="1" applyFill="1" applyBorder="1" applyAlignment="1" applyProtection="1">
      <alignment horizontal="center"/>
    </xf>
    <xf numFmtId="0" fontId="1" fillId="6" borderId="74" xfId="0" applyFont="1" applyFill="1" applyBorder="1"/>
    <xf numFmtId="0" fontId="2" fillId="8" borderId="19" xfId="0" applyFont="1" applyFill="1" applyBorder="1" applyAlignment="1">
      <alignment horizontal="center"/>
    </xf>
    <xf numFmtId="0" fontId="4" fillId="18" borderId="3" xfId="0" applyFont="1" applyFill="1" applyBorder="1" applyAlignment="1">
      <alignment vertical="top"/>
    </xf>
    <xf numFmtId="169" fontId="5" fillId="0" borderId="0" xfId="1" applyFont="1" applyFill="1" applyBorder="1" applyAlignment="1">
      <alignment horizontal="center" vertical="center"/>
    </xf>
    <xf numFmtId="44" fontId="1" fillId="0" borderId="50" xfId="0" applyNumberFormat="1" applyFont="1" applyBorder="1" applyProtection="1">
      <protection locked="0"/>
    </xf>
    <xf numFmtId="0" fontId="1" fillId="0" borderId="74" xfId="0" applyFont="1" applyBorder="1"/>
    <xf numFmtId="169" fontId="1" fillId="5" borderId="0" xfId="1" applyFont="1" applyFill="1" applyBorder="1" applyAlignment="1"/>
    <xf numFmtId="0" fontId="1" fillId="0" borderId="91" xfId="0" applyFont="1" applyBorder="1" applyAlignment="1">
      <alignment horizontal="right"/>
    </xf>
    <xf numFmtId="0" fontId="0" fillId="0" borderId="20" xfId="0" applyFont="1" applyBorder="1"/>
    <xf numFmtId="9" fontId="2" fillId="5" borderId="33" xfId="2" applyNumberFormat="1" applyFont="1" applyFill="1" applyBorder="1" applyAlignment="1">
      <alignment horizontal="center" vertical="center" wrapText="1"/>
    </xf>
    <xf numFmtId="2" fontId="7" fillId="0" borderId="67" xfId="0" applyNumberFormat="1" applyFont="1" applyBorder="1" applyAlignment="1" applyProtection="1">
      <alignment horizontal="center"/>
      <protection locked="0"/>
    </xf>
    <xf numFmtId="0" fontId="0" fillId="5" borderId="4" xfId="0" applyFill="1" applyBorder="1"/>
    <xf numFmtId="178" fontId="1" fillId="0" borderId="11" xfId="0" applyNumberFormat="1" applyFont="1" applyBorder="1"/>
    <xf numFmtId="4" fontId="1" fillId="0" borderId="13" xfId="0" applyNumberFormat="1" applyFont="1" applyBorder="1" applyAlignment="1">
      <alignment horizontal="center"/>
    </xf>
    <xf numFmtId="0" fontId="2" fillId="18" borderId="4" xfId="0" applyFont="1" applyFill="1" applyBorder="1" applyAlignment="1">
      <alignment horizontal="left" vertical="top" wrapText="1"/>
    </xf>
    <xf numFmtId="0" fontId="0" fillId="5" borderId="0" xfId="0" applyFont="1" applyFill="1" applyBorder="1"/>
    <xf numFmtId="0" fontId="1" fillId="0" borderId="45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8" fontId="1" fillId="0" borderId="0" xfId="4" applyNumberFormat="1" applyFont="1" applyBorder="1" applyAlignment="1">
      <alignment horizontal="left"/>
    </xf>
    <xf numFmtId="10" fontId="43" fillId="20" borderId="132" xfId="1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4" fontId="3" fillId="0" borderId="17" xfId="0" applyNumberFormat="1" applyFont="1" applyFill="1" applyBorder="1"/>
    <xf numFmtId="0" fontId="1" fillId="5" borderId="9" xfId="0" applyFont="1" applyFill="1" applyBorder="1" applyAlignment="1">
      <alignment horizontal="center" vertical="top"/>
    </xf>
    <xf numFmtId="0" fontId="0" fillId="5" borderId="21" xfId="0" applyFill="1" applyBorder="1" applyAlignment="1">
      <alignment horizontal="left"/>
    </xf>
    <xf numFmtId="169" fontId="1" fillId="5" borderId="0" xfId="1" applyFont="1" applyFill="1" applyBorder="1"/>
    <xf numFmtId="0" fontId="12" fillId="0" borderId="0" xfId="0" applyFont="1"/>
    <xf numFmtId="0" fontId="37" fillId="14" borderId="146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vertical="top" wrapText="1"/>
    </xf>
    <xf numFmtId="169" fontId="1" fillId="0" borderId="19" xfId="1" applyFont="1" applyBorder="1" applyAlignment="1">
      <alignment horizontal="left"/>
    </xf>
    <xf numFmtId="167" fontId="1" fillId="0" borderId="1" xfId="1" applyNumberFormat="1" applyFont="1" applyBorder="1"/>
    <xf numFmtId="0" fontId="1" fillId="0" borderId="38" xfId="0" applyFont="1" applyBorder="1" applyAlignment="1">
      <alignment horizontal="centerContinuous" vertical="top"/>
    </xf>
    <xf numFmtId="0" fontId="1" fillId="0" borderId="19" xfId="0" applyFont="1" applyBorder="1" applyAlignment="1">
      <alignment horizontal="left"/>
    </xf>
    <xf numFmtId="14" fontId="17" fillId="5" borderId="0" xfId="0" applyNumberFormat="1" applyFont="1" applyFill="1" applyBorder="1" applyAlignment="1">
      <alignment horizontal="right"/>
    </xf>
    <xf numFmtId="0" fontId="2" fillId="0" borderId="58" xfId="0" applyFont="1" applyBorder="1"/>
    <xf numFmtId="0" fontId="46" fillId="7" borderId="11" xfId="5" applyFont="1" applyFill="1" applyBorder="1" applyAlignment="1" applyProtection="1">
      <alignment horizontal="left" vertical="top" wrapText="1"/>
    </xf>
    <xf numFmtId="0" fontId="2" fillId="5" borderId="19" xfId="0" applyFont="1" applyFill="1" applyBorder="1" applyAlignment="1">
      <alignment horizontal="right"/>
    </xf>
    <xf numFmtId="9" fontId="1" fillId="0" borderId="22" xfId="2" applyNumberFormat="1" applyFont="1" applyFill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/>
    </xf>
    <xf numFmtId="174" fontId="1" fillId="0" borderId="0" xfId="0" applyNumberFormat="1" applyFont="1" applyBorder="1"/>
    <xf numFmtId="10" fontId="43" fillId="20" borderId="123" xfId="1" applyNumberFormat="1" applyFont="1" applyFill="1" applyBorder="1" applyAlignment="1">
      <alignment horizontal="center"/>
    </xf>
    <xf numFmtId="169" fontId="1" fillId="0" borderId="13" xfId="1" applyFont="1" applyBorder="1" applyAlignment="1">
      <alignment horizontal="center"/>
    </xf>
    <xf numFmtId="169" fontId="1" fillId="5" borderId="21" xfId="1" applyFont="1" applyFill="1" applyBorder="1" applyAlignment="1"/>
    <xf numFmtId="0" fontId="2" fillId="0" borderId="29" xfId="0" applyFont="1" applyBorder="1" applyAlignment="1">
      <alignment horizontal="left"/>
    </xf>
    <xf numFmtId="0" fontId="9" fillId="25" borderId="147" xfId="0" applyFont="1" applyFill="1" applyBorder="1" applyAlignment="1">
      <alignment horizontal="centerContinuous" vertical="center"/>
    </xf>
    <xf numFmtId="44" fontId="2" fillId="0" borderId="41" xfId="0" applyNumberFormat="1" applyFont="1" applyBorder="1"/>
    <xf numFmtId="169" fontId="1" fillId="5" borderId="74" xfId="1" applyFont="1" applyFill="1" applyBorder="1"/>
    <xf numFmtId="0" fontId="1" fillId="0" borderId="0" xfId="0" applyFont="1" applyBorder="1" applyAlignment="1">
      <alignment horizontal="center" vertical="top"/>
    </xf>
    <xf numFmtId="15" fontId="1" fillId="0" borderId="58" xfId="0" applyNumberFormat="1" applyFont="1" applyBorder="1" applyAlignment="1"/>
    <xf numFmtId="0" fontId="2" fillId="6" borderId="61" xfId="0" applyFont="1" applyFill="1" applyBorder="1" applyAlignment="1">
      <alignment horizontal="center"/>
    </xf>
    <xf numFmtId="0" fontId="23" fillId="0" borderId="148" xfId="0" applyFont="1" applyBorder="1" applyAlignment="1">
      <alignment horizontal="center"/>
    </xf>
    <xf numFmtId="0" fontId="1" fillId="5" borderId="63" xfId="0" applyFont="1" applyFill="1" applyBorder="1" applyAlignment="1">
      <alignment horizontal="center" vertical="center" wrapText="1"/>
    </xf>
    <xf numFmtId="0" fontId="0" fillId="5" borderId="38" xfId="0" applyFill="1" applyBorder="1"/>
    <xf numFmtId="44" fontId="2" fillId="0" borderId="63" xfId="0" applyNumberFormat="1" applyFont="1" applyBorder="1" applyAlignment="1">
      <alignment horizontal="center"/>
    </xf>
    <xf numFmtId="169" fontId="1" fillId="5" borderId="9" xfId="1" applyFont="1" applyFill="1" applyBorder="1" applyAlignment="1">
      <alignment horizontal="left" vertical="top"/>
    </xf>
    <xf numFmtId="0" fontId="1" fillId="0" borderId="93" xfId="0" applyFont="1" applyBorder="1" applyAlignment="1">
      <alignment horizontal="right"/>
    </xf>
    <xf numFmtId="169" fontId="5" fillId="0" borderId="0" xfId="1" applyFont="1" applyFill="1" applyBorder="1" applyAlignment="1">
      <alignment horizontal="right"/>
    </xf>
    <xf numFmtId="4" fontId="1" fillId="0" borderId="80" xfId="0" applyNumberFormat="1" applyFont="1" applyBorder="1" applyProtection="1"/>
    <xf numFmtId="0" fontId="1" fillId="12" borderId="150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168" fontId="2" fillId="0" borderId="0" xfId="0" applyNumberFormat="1" applyFont="1" applyBorder="1" applyAlignment="1">
      <alignment horizontal="right"/>
    </xf>
    <xf numFmtId="0" fontId="18" fillId="0" borderId="151" xfId="1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right"/>
    </xf>
    <xf numFmtId="0" fontId="24" fillId="0" borderId="0" xfId="0" applyFont="1" applyFill="1" applyBorder="1" applyAlignment="1">
      <alignment horizontal="center"/>
    </xf>
    <xf numFmtId="9" fontId="1" fillId="0" borderId="4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5" borderId="12" xfId="0" applyFont="1" applyFill="1" applyBorder="1" applyAlignment="1">
      <alignment horizontal="right" vertical="top"/>
    </xf>
    <xf numFmtId="169" fontId="1" fillId="0" borderId="8" xfId="1" applyFont="1" applyFill="1" applyBorder="1" applyAlignment="1">
      <alignment horizontal="center"/>
    </xf>
    <xf numFmtId="4" fontId="1" fillId="0" borderId="0" xfId="0" applyNumberFormat="1" applyFont="1" applyBorder="1" applyAlignment="1" applyProtection="1">
      <alignment horizontal="center"/>
    </xf>
    <xf numFmtId="0" fontId="8" fillId="0" borderId="0" xfId="0" applyFont="1"/>
    <xf numFmtId="0" fontId="1" fillId="20" borderId="131" xfId="0" applyFont="1" applyFill="1" applyBorder="1"/>
    <xf numFmtId="0" fontId="1" fillId="23" borderId="63" xfId="0" applyFont="1" applyFill="1" applyBorder="1" applyAlignment="1">
      <alignment horizontal="center" vertical="center" wrapText="1"/>
    </xf>
    <xf numFmtId="0" fontId="0" fillId="0" borderId="110" xfId="0" applyFont="1" applyFill="1" applyBorder="1" applyAlignment="1">
      <alignment horizontal="center" vertical="center" wrapText="1"/>
    </xf>
    <xf numFmtId="0" fontId="1" fillId="0" borderId="119" xfId="0" applyFont="1" applyFill="1" applyBorder="1" applyAlignment="1">
      <alignment horizontal="right"/>
    </xf>
    <xf numFmtId="4" fontId="1" fillId="0" borderId="86" xfId="0" applyNumberFormat="1" applyFont="1" applyFill="1" applyBorder="1" applyProtection="1"/>
    <xf numFmtId="0" fontId="8" fillId="5" borderId="19" xfId="0" applyFont="1" applyFill="1" applyBorder="1"/>
    <xf numFmtId="0" fontId="1" fillId="0" borderId="39" xfId="0" applyFont="1" applyBorder="1" applyAlignment="1"/>
    <xf numFmtId="0" fontId="1" fillId="5" borderId="52" xfId="0" applyFont="1" applyFill="1" applyBorder="1" applyAlignment="1">
      <alignment horizontal="centerContinuous"/>
    </xf>
    <xf numFmtId="0" fontId="1" fillId="0" borderId="13" xfId="0" applyFont="1" applyBorder="1" applyAlignment="1">
      <alignment horizontal="right"/>
    </xf>
    <xf numFmtId="0" fontId="0" fillId="0" borderId="9" xfId="0" applyBorder="1"/>
    <xf numFmtId="0" fontId="0" fillId="0" borderId="0" xfId="0" applyFont="1" applyFill="1" applyBorder="1" applyAlignment="1">
      <alignment horizontal="left"/>
    </xf>
    <xf numFmtId="0" fontId="1" fillId="0" borderId="14" xfId="0" applyFont="1" applyBorder="1" applyAlignment="1"/>
    <xf numFmtId="0" fontId="1" fillId="5" borderId="0" xfId="0" applyFont="1" applyFill="1" applyBorder="1" applyAlignment="1">
      <alignment horizontal="justify" vertical="top" wrapText="1"/>
    </xf>
    <xf numFmtId="4" fontId="1" fillId="0" borderId="90" xfId="0" applyNumberFormat="1" applyFont="1" applyFill="1" applyBorder="1" applyProtection="1"/>
    <xf numFmtId="168" fontId="1" fillId="5" borderId="15" xfId="1" applyNumberFormat="1" applyFont="1" applyFill="1" applyBorder="1" applyAlignment="1">
      <alignment horizontal="right"/>
    </xf>
    <xf numFmtId="10" fontId="1" fillId="5" borderId="3" xfId="1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right"/>
    </xf>
    <xf numFmtId="10" fontId="1" fillId="5" borderId="9" xfId="1" applyNumberFormat="1" applyFont="1" applyFill="1" applyBorder="1" applyAlignment="1">
      <alignment horizontal="left" vertical="top"/>
    </xf>
    <xf numFmtId="0" fontId="1" fillId="5" borderId="56" xfId="0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/>
    </xf>
    <xf numFmtId="168" fontId="4" fillId="9" borderId="0" xfId="0" applyNumberFormat="1" applyFont="1" applyFill="1" applyBorder="1" applyAlignment="1">
      <alignment horizontal="center"/>
    </xf>
    <xf numFmtId="0" fontId="0" fillId="14" borderId="115" xfId="0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/>
    </xf>
    <xf numFmtId="9" fontId="1" fillId="5" borderId="30" xfId="2" applyNumberFormat="1" applyFont="1" applyFill="1" applyBorder="1" applyAlignment="1">
      <alignment horizontal="center"/>
    </xf>
    <xf numFmtId="166" fontId="1" fillId="0" borderId="20" xfId="0" applyNumberFormat="1" applyFont="1" applyBorder="1" applyProtection="1"/>
    <xf numFmtId="178" fontId="1" fillId="5" borderId="48" xfId="0" applyNumberFormat="1" applyFont="1" applyFill="1" applyBorder="1" applyProtection="1"/>
    <xf numFmtId="0" fontId="1" fillId="23" borderId="56" xfId="0" applyFont="1" applyFill="1" applyBorder="1" applyAlignment="1">
      <alignment horizontal="center" vertical="center" wrapText="1"/>
    </xf>
    <xf numFmtId="10" fontId="1" fillId="5" borderId="0" xfId="0" applyNumberFormat="1" applyFont="1" applyFill="1" applyBorder="1"/>
    <xf numFmtId="0" fontId="9" fillId="25" borderId="124" xfId="0" applyFont="1" applyFill="1" applyBorder="1" applyAlignment="1">
      <alignment horizontal="centerContinuous" vertical="center"/>
    </xf>
    <xf numFmtId="44" fontId="7" fillId="0" borderId="6" xfId="0" applyNumberFormat="1" applyFont="1" applyBorder="1" applyProtection="1">
      <protection locked="0"/>
    </xf>
    <xf numFmtId="169" fontId="1" fillId="0" borderId="82" xfId="1" applyFont="1" applyBorder="1" applyAlignment="1">
      <alignment horizontal="center"/>
    </xf>
    <xf numFmtId="169" fontId="6" fillId="0" borderId="15" xfId="1" applyBorder="1" applyAlignment="1">
      <alignment horizontal="left"/>
    </xf>
    <xf numFmtId="168" fontId="1" fillId="0" borderId="119" xfId="1" applyNumberFormat="1" applyFont="1" applyFill="1" applyBorder="1"/>
    <xf numFmtId="4" fontId="1" fillId="5" borderId="4" xfId="1" applyNumberFormat="1" applyFont="1" applyFill="1" applyBorder="1" applyAlignment="1">
      <alignment horizontal="right"/>
    </xf>
    <xf numFmtId="0" fontId="0" fillId="5" borderId="6" xfId="0" applyFill="1" applyBorder="1" applyAlignment="1">
      <alignment horizontal="left"/>
    </xf>
    <xf numFmtId="0" fontId="36" fillId="0" borderId="153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0" fontId="0" fillId="7" borderId="10" xfId="0" applyFill="1" applyBorder="1" applyAlignment="1">
      <alignment vertical="top"/>
    </xf>
    <xf numFmtId="0" fontId="0" fillId="0" borderId="114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/>
    </xf>
    <xf numFmtId="169" fontId="1" fillId="0" borderId="69" xfId="1" applyFont="1" applyFill="1" applyBorder="1" applyAlignment="1">
      <alignment horizontal="center" vertical="center" wrapText="1"/>
    </xf>
    <xf numFmtId="169" fontId="6" fillId="0" borderId="12" xfId="1" applyBorder="1" applyAlignment="1">
      <alignment vertical="top"/>
    </xf>
    <xf numFmtId="0" fontId="1" fillId="0" borderId="38" xfId="0" applyFont="1" applyBorder="1" applyAlignment="1">
      <alignment horizontal="center"/>
    </xf>
    <xf numFmtId="0" fontId="2" fillId="0" borderId="19" xfId="0" applyFont="1" applyBorder="1" applyAlignment="1">
      <alignment horizontal="centerContinuous" vertical="top"/>
    </xf>
    <xf numFmtId="0" fontId="1" fillId="5" borderId="85" xfId="0" applyFont="1" applyFill="1" applyBorder="1" applyAlignment="1">
      <alignment horizontal="centerContinuous"/>
    </xf>
    <xf numFmtId="0" fontId="0" fillId="0" borderId="13" xfId="0" applyBorder="1" applyAlignment="1"/>
    <xf numFmtId="0" fontId="0" fillId="0" borderId="0" xfId="0" applyFont="1" applyAlignment="1">
      <alignment horizontal="center"/>
    </xf>
    <xf numFmtId="2" fontId="2" fillId="0" borderId="0" xfId="0" applyNumberFormat="1" applyFont="1" applyBorder="1" applyAlignment="1">
      <alignment horizontal="left" vertical="center"/>
    </xf>
    <xf numFmtId="0" fontId="0" fillId="0" borderId="119" xfId="0" applyFill="1" applyBorder="1" applyAlignment="1">
      <alignment horizontal="center"/>
    </xf>
    <xf numFmtId="0" fontId="0" fillId="0" borderId="1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9" fillId="0" borderId="117" xfId="3" applyFont="1" applyFill="1" applyBorder="1" applyAlignment="1">
      <alignment horizontal="center" vertical="center"/>
    </xf>
    <xf numFmtId="169" fontId="6" fillId="0" borderId="13" xfId="1" applyBorder="1" applyAlignment="1">
      <alignment vertical="top"/>
    </xf>
    <xf numFmtId="0" fontId="5" fillId="0" borderId="0" xfId="0" applyFont="1" applyFill="1" applyBorder="1" applyAlignment="1">
      <alignment horizontal="center"/>
    </xf>
    <xf numFmtId="44" fontId="8" fillId="0" borderId="0" xfId="0" applyNumberFormat="1" applyFont="1"/>
    <xf numFmtId="169" fontId="6" fillId="0" borderId="0" xfId="1"/>
    <xf numFmtId="166" fontId="1" fillId="5" borderId="20" xfId="2" applyNumberFormat="1" applyFont="1" applyFill="1" applyBorder="1"/>
    <xf numFmtId="169" fontId="6" fillId="5" borderId="47" xfId="1" applyFill="1" applyBorder="1"/>
    <xf numFmtId="44" fontId="7" fillId="0" borderId="18" xfId="0" applyNumberFormat="1" applyFont="1" applyBorder="1" applyAlignment="1" applyProtection="1">
      <alignment horizontal="left"/>
      <protection locked="0"/>
    </xf>
    <xf numFmtId="166" fontId="0" fillId="0" borderId="20" xfId="0" applyNumberFormat="1" applyBorder="1"/>
    <xf numFmtId="0" fontId="1" fillId="0" borderId="108" xfId="0" applyFont="1" applyFill="1" applyBorder="1"/>
    <xf numFmtId="166" fontId="1" fillId="5" borderId="3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right" vertical="top" wrapText="1"/>
    </xf>
    <xf numFmtId="4" fontId="1" fillId="0" borderId="47" xfId="1" applyNumberFormat="1" applyFont="1" applyFill="1" applyBorder="1" applyAlignment="1">
      <alignment horizontal="center"/>
    </xf>
    <xf numFmtId="169" fontId="1" fillId="5" borderId="8" xfId="1" applyFont="1" applyFill="1" applyBorder="1" applyAlignment="1">
      <alignment horizontal="centerContinuous"/>
    </xf>
    <xf numFmtId="164" fontId="1" fillId="0" borderId="11" xfId="0" applyNumberFormat="1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168" fontId="1" fillId="0" borderId="0" xfId="1" applyNumberFormat="1" applyFont="1" applyBorder="1"/>
    <xf numFmtId="0" fontId="31" fillId="14" borderId="154" xfId="0" applyFont="1" applyFill="1" applyBorder="1" applyAlignment="1">
      <alignment horizontal="center" vertical="center"/>
    </xf>
    <xf numFmtId="179" fontId="1" fillId="0" borderId="40" xfId="0" applyNumberFormat="1" applyFont="1" applyFill="1" applyBorder="1" applyProtection="1"/>
    <xf numFmtId="0" fontId="1" fillId="22" borderId="11" xfId="0" applyFont="1" applyFill="1" applyBorder="1" applyAlignment="1">
      <alignment horizontal="center"/>
    </xf>
    <xf numFmtId="0" fontId="37" fillId="15" borderId="146" xfId="0" applyFont="1" applyFill="1" applyBorder="1" applyAlignment="1">
      <alignment horizontal="center" vertical="center"/>
    </xf>
    <xf numFmtId="0" fontId="1" fillId="13" borderId="49" xfId="0" applyFont="1" applyFill="1" applyBorder="1" applyAlignment="1">
      <alignment horizontal="center" vertical="center" wrapText="1"/>
    </xf>
    <xf numFmtId="166" fontId="4" fillId="9" borderId="20" xfId="0" applyNumberFormat="1" applyFont="1" applyFill="1" applyBorder="1" applyAlignment="1">
      <alignment horizontal="center"/>
    </xf>
    <xf numFmtId="178" fontId="1" fillId="0" borderId="5" xfId="0" applyNumberFormat="1" applyFont="1" applyFill="1" applyBorder="1" applyProtection="1">
      <protection locked="0"/>
    </xf>
    <xf numFmtId="0" fontId="0" fillId="5" borderId="18" xfId="0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8" fillId="5" borderId="12" xfId="0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centerContinuous"/>
    </xf>
    <xf numFmtId="4" fontId="3" fillId="0" borderId="42" xfId="0" applyNumberFormat="1" applyFont="1" applyBorder="1"/>
    <xf numFmtId="0" fontId="48" fillId="0" borderId="0" xfId="0" applyFont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9" fontId="1" fillId="5" borderId="29" xfId="2" applyNumberFormat="1" applyFont="1" applyFill="1" applyBorder="1" applyAlignment="1" applyProtection="1">
      <alignment horizontal="centerContinuous"/>
    </xf>
    <xf numFmtId="4" fontId="1" fillId="0" borderId="8" xfId="0" applyNumberFormat="1" applyFont="1" applyBorder="1" applyAlignment="1">
      <alignment horizontal="right"/>
    </xf>
    <xf numFmtId="0" fontId="29" fillId="0" borderId="0" xfId="0" applyFont="1"/>
    <xf numFmtId="0" fontId="3" fillId="0" borderId="4" xfId="0" applyNumberFormat="1" applyFont="1" applyFill="1" applyBorder="1" applyAlignment="1">
      <alignment horizontal="center"/>
    </xf>
    <xf numFmtId="22" fontId="44" fillId="0" borderId="0" xfId="0" applyNumberFormat="1" applyFont="1" applyAlignment="1">
      <alignment horizontal="left"/>
    </xf>
    <xf numFmtId="4" fontId="1" fillId="0" borderId="94" xfId="0" applyNumberFormat="1" applyFont="1" applyBorder="1" applyProtection="1"/>
    <xf numFmtId="15" fontId="8" fillId="0" borderId="0" xfId="0" applyNumberFormat="1" applyFont="1" applyFill="1" applyBorder="1"/>
    <xf numFmtId="168" fontId="1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Fill="1" applyBorder="1"/>
    <xf numFmtId="0" fontId="0" fillId="7" borderId="7" xfId="0" applyFill="1" applyBorder="1" applyAlignment="1">
      <alignment vertical="top"/>
    </xf>
    <xf numFmtId="4" fontId="1" fillId="0" borderId="0" xfId="1" applyNumberFormat="1" applyFont="1" applyAlignment="1">
      <alignment horizontal="center"/>
    </xf>
    <xf numFmtId="172" fontId="1" fillId="0" borderId="90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14" fontId="0" fillId="0" borderId="0" xfId="0" applyNumberFormat="1" applyFont="1"/>
    <xf numFmtId="9" fontId="2" fillId="5" borderId="48" xfId="2" applyNumberFormat="1" applyFont="1" applyFill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Continuous"/>
    </xf>
    <xf numFmtId="4" fontId="3" fillId="0" borderId="38" xfId="0" applyNumberFormat="1" applyFont="1" applyBorder="1"/>
    <xf numFmtId="4" fontId="1" fillId="0" borderId="0" xfId="1" applyNumberFormat="1" applyFont="1" applyBorder="1" applyAlignment="1">
      <alignment horizontal="center" vertical="center"/>
    </xf>
    <xf numFmtId="0" fontId="0" fillId="5" borderId="25" xfId="0" applyFill="1" applyBorder="1"/>
    <xf numFmtId="0" fontId="1" fillId="0" borderId="29" xfId="0" applyFont="1" applyBorder="1" applyAlignment="1"/>
    <xf numFmtId="4" fontId="16" fillId="0" borderId="22" xfId="0" applyNumberFormat="1" applyFont="1" applyFill="1" applyBorder="1" applyProtection="1"/>
    <xf numFmtId="4" fontId="1" fillId="0" borderId="53" xfId="1" applyNumberFormat="1" applyFont="1" applyBorder="1"/>
    <xf numFmtId="4" fontId="1" fillId="0" borderId="18" xfId="0" applyNumberFormat="1" applyFont="1" applyBorder="1" applyAlignment="1" applyProtection="1">
      <alignment horizontal="center"/>
    </xf>
    <xf numFmtId="0" fontId="4" fillId="5" borderId="71" xfId="0" applyFont="1" applyFill="1" applyBorder="1"/>
    <xf numFmtId="0" fontId="1" fillId="20" borderId="132" xfId="0" applyFont="1" applyFill="1" applyBorder="1"/>
    <xf numFmtId="0" fontId="1" fillId="0" borderId="9" xfId="0" applyNumberFormat="1" applyFont="1" applyFill="1" applyBorder="1" applyAlignment="1"/>
    <xf numFmtId="0" fontId="0" fillId="5" borderId="4" xfId="0" applyFill="1" applyBorder="1" applyAlignment="1">
      <alignment horizontal="centerContinuous"/>
    </xf>
    <xf numFmtId="169" fontId="6" fillId="0" borderId="20" xfId="1" applyBorder="1"/>
    <xf numFmtId="0" fontId="1" fillId="0" borderId="10" xfId="0" applyFont="1" applyBorder="1" applyAlignment="1">
      <alignment horizontal="left"/>
    </xf>
    <xf numFmtId="166" fontId="1" fillId="5" borderId="0" xfId="0" applyNumberFormat="1" applyFont="1" applyFill="1" applyBorder="1"/>
    <xf numFmtId="0" fontId="0" fillId="0" borderId="14" xfId="0" applyBorder="1" applyAlignment="1">
      <alignment horizontal="centerContinuous"/>
    </xf>
    <xf numFmtId="4" fontId="1" fillId="0" borderId="22" xfId="1" applyNumberFormat="1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4" fillId="5" borderId="53" xfId="0" applyFont="1" applyFill="1" applyBorder="1" applyAlignment="1">
      <alignment horizontal="center"/>
    </xf>
    <xf numFmtId="9" fontId="2" fillId="5" borderId="45" xfId="2" applyNumberFormat="1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/>
    </xf>
    <xf numFmtId="0" fontId="1" fillId="0" borderId="69" xfId="0" applyFont="1" applyBorder="1" applyAlignment="1">
      <alignment horizontal="center"/>
    </xf>
    <xf numFmtId="0" fontId="0" fillId="5" borderId="71" xfId="0" applyFill="1" applyBorder="1" applyAlignment="1">
      <alignment horizontal="centerContinuous" vertical="center"/>
    </xf>
    <xf numFmtId="0" fontId="1" fillId="5" borderId="91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left"/>
    </xf>
    <xf numFmtId="0" fontId="2" fillId="3" borderId="71" xfId="0" applyFont="1" applyFill="1" applyBorder="1" applyAlignment="1">
      <alignment horizontal="centerContinuous"/>
    </xf>
    <xf numFmtId="169" fontId="1" fillId="0" borderId="13" xfId="1" applyFont="1" applyBorder="1" applyAlignment="1">
      <alignment horizontal="centerContinuous"/>
    </xf>
    <xf numFmtId="169" fontId="1" fillId="5" borderId="21" xfId="1" applyFont="1" applyFill="1" applyBorder="1" applyAlignment="1">
      <alignment horizontal="center"/>
    </xf>
    <xf numFmtId="0" fontId="1" fillId="0" borderId="92" xfId="0" applyFont="1" applyBorder="1"/>
    <xf numFmtId="169" fontId="1" fillId="5" borderId="74" xfId="1" applyFont="1" applyFill="1" applyBorder="1" applyAlignment="1">
      <alignment horizontal="center"/>
    </xf>
    <xf numFmtId="4" fontId="6" fillId="5" borderId="0" xfId="1" applyNumberFormat="1" applyFill="1"/>
    <xf numFmtId="44" fontId="1" fillId="0" borderId="20" xfId="0" applyNumberFormat="1" applyFont="1" applyBorder="1" applyAlignment="1"/>
    <xf numFmtId="0" fontId="0" fillId="5" borderId="74" xfId="0" applyFill="1" applyBorder="1"/>
    <xf numFmtId="0" fontId="2" fillId="5" borderId="5" xfId="0" applyFont="1" applyFill="1" applyBorder="1" applyAlignment="1">
      <alignment horizontal="center"/>
    </xf>
    <xf numFmtId="0" fontId="1" fillId="13" borderId="56" xfId="0" applyFont="1" applyFill="1" applyBorder="1" applyAlignment="1">
      <alignment horizontal="center" vertical="center"/>
    </xf>
    <xf numFmtId="44" fontId="2" fillId="0" borderId="19" xfId="0" applyNumberFormat="1" applyFont="1" applyBorder="1"/>
    <xf numFmtId="0" fontId="1" fillId="5" borderId="20" xfId="0" applyFont="1" applyFill="1" applyBorder="1" applyAlignment="1">
      <alignment horizontal="center"/>
    </xf>
    <xf numFmtId="178" fontId="0" fillId="0" borderId="108" xfId="0" applyNumberFormat="1" applyFill="1" applyBorder="1"/>
    <xf numFmtId="166" fontId="1" fillId="0" borderId="39" xfId="0" applyNumberFormat="1" applyFont="1" applyBorder="1" applyProtection="1"/>
    <xf numFmtId="4" fontId="16" fillId="0" borderId="22" xfId="0" applyNumberFormat="1" applyFont="1" applyBorder="1" applyProtection="1"/>
    <xf numFmtId="15" fontId="1" fillId="0" borderId="60" xfId="0" applyNumberFormat="1" applyFont="1" applyBorder="1" applyAlignment="1">
      <alignment horizontal="right"/>
    </xf>
    <xf numFmtId="0" fontId="1" fillId="0" borderId="9" xfId="0" applyNumberFormat="1" applyFont="1" applyBorder="1" applyAlignment="1"/>
    <xf numFmtId="9" fontId="0" fillId="0" borderId="0" xfId="0" applyNumberFormat="1" applyFont="1"/>
    <xf numFmtId="169" fontId="1" fillId="5" borderId="30" xfId="1" applyFont="1" applyFill="1" applyBorder="1" applyAlignment="1">
      <alignment horizontal="centerContinuous" vertical="center" wrapText="1"/>
    </xf>
    <xf numFmtId="0" fontId="1" fillId="2" borderId="74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0" fontId="19" fillId="0" borderId="114" xfId="0" applyFont="1" applyFill="1" applyBorder="1"/>
    <xf numFmtId="166" fontId="1" fillId="5" borderId="0" xfId="0" applyNumberFormat="1" applyFont="1" applyFill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4" fillId="5" borderId="96" xfId="0" applyFont="1" applyFill="1" applyBorder="1" applyAlignment="1">
      <alignment horizontal="center"/>
    </xf>
    <xf numFmtId="10" fontId="43" fillId="20" borderId="155" xfId="1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0" fontId="0" fillId="24" borderId="110" xfId="0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/>
    </xf>
    <xf numFmtId="0" fontId="0" fillId="5" borderId="3" xfId="0" applyFill="1" applyBorder="1" applyAlignment="1">
      <alignment horizontal="centerContinuous"/>
    </xf>
    <xf numFmtId="0" fontId="0" fillId="5" borderId="3" xfId="0" applyFill="1" applyBorder="1" applyAlignment="1">
      <alignment horizontal="left"/>
    </xf>
    <xf numFmtId="0" fontId="2" fillId="5" borderId="0" xfId="0" applyFont="1" applyFill="1" applyBorder="1" applyAlignment="1"/>
    <xf numFmtId="0" fontId="0" fillId="5" borderId="67" xfId="0" applyFill="1" applyBorder="1" applyAlignment="1">
      <alignment horizontal="centerContinuous"/>
    </xf>
    <xf numFmtId="0" fontId="1" fillId="5" borderId="12" xfId="0" applyFont="1" applyFill="1" applyBorder="1"/>
    <xf numFmtId="0" fontId="1" fillId="5" borderId="29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left"/>
    </xf>
    <xf numFmtId="0" fontId="0" fillId="5" borderId="6" xfId="0" applyFill="1" applyBorder="1" applyAlignment="1">
      <alignment horizontal="centerContinuous"/>
    </xf>
    <xf numFmtId="0" fontId="1" fillId="5" borderId="34" xfId="0" applyFont="1" applyFill="1" applyBorder="1" applyAlignment="1">
      <alignment horizontal="center"/>
    </xf>
    <xf numFmtId="0" fontId="49" fillId="0" borderId="0" xfId="0" applyFont="1" applyBorder="1"/>
    <xf numFmtId="179" fontId="2" fillId="5" borderId="20" xfId="0" applyNumberFormat="1" applyFont="1" applyFill="1" applyBorder="1"/>
    <xf numFmtId="0" fontId="1" fillId="26" borderId="19" xfId="0" applyFont="1" applyFill="1" applyBorder="1" applyAlignment="1">
      <alignment horizontal="right"/>
    </xf>
    <xf numFmtId="0" fontId="1" fillId="26" borderId="0" xfId="0" applyFont="1" applyFill="1" applyBorder="1"/>
    <xf numFmtId="4" fontId="1" fillId="26" borderId="22" xfId="0" applyNumberFormat="1" applyFont="1" applyFill="1" applyBorder="1" applyProtection="1"/>
    <xf numFmtId="178" fontId="1" fillId="26" borderId="20" xfId="0" applyNumberFormat="1" applyFont="1" applyFill="1" applyBorder="1"/>
    <xf numFmtId="178" fontId="7" fillId="26" borderId="0" xfId="0" applyNumberFormat="1" applyFont="1" applyFill="1" applyBorder="1" applyProtection="1">
      <protection locked="0"/>
    </xf>
    <xf numFmtId="9" fontId="1" fillId="27" borderId="68" xfId="2" applyNumberFormat="1" applyFont="1" applyFill="1" applyBorder="1" applyAlignment="1">
      <alignment horizontal="centerContinuous" vertical="center"/>
    </xf>
    <xf numFmtId="9" fontId="1" fillId="27" borderId="32" xfId="2" applyNumberFormat="1" applyFont="1" applyFill="1" applyBorder="1" applyAlignment="1">
      <alignment horizontal="centerContinuous" vertical="center"/>
    </xf>
    <xf numFmtId="9" fontId="1" fillId="27" borderId="45" xfId="2" applyNumberFormat="1" applyFont="1" applyFill="1" applyBorder="1" applyAlignment="1">
      <alignment horizontal="center" vertical="center" wrapText="1"/>
    </xf>
    <xf numFmtId="9" fontId="1" fillId="27" borderId="60" xfId="2" applyNumberFormat="1" applyFont="1" applyFill="1" applyBorder="1" applyAlignment="1">
      <alignment horizontal="center" vertical="center" wrapText="1"/>
    </xf>
    <xf numFmtId="9" fontId="1" fillId="23" borderId="68" xfId="2" applyNumberFormat="1" applyFont="1" applyFill="1" applyBorder="1" applyAlignment="1">
      <alignment horizontal="centerContinuous" vertical="center"/>
    </xf>
    <xf numFmtId="9" fontId="1" fillId="23" borderId="45" xfId="2" applyNumberFormat="1" applyFont="1" applyFill="1" applyBorder="1" applyAlignment="1">
      <alignment horizontal="center" vertical="center" wrapText="1"/>
    </xf>
    <xf numFmtId="9" fontId="1" fillId="23" borderId="71" xfId="2" applyNumberFormat="1" applyFont="1" applyFill="1" applyBorder="1" applyAlignment="1">
      <alignment horizontal="centerContinuous" vertical="center"/>
    </xf>
    <xf numFmtId="9" fontId="1" fillId="23" borderId="56" xfId="2" applyNumberFormat="1" applyFont="1" applyFill="1" applyBorder="1" applyAlignment="1">
      <alignment horizontal="center" vertical="center" wrapText="1"/>
    </xf>
    <xf numFmtId="4" fontId="1" fillId="23" borderId="22" xfId="0" applyNumberFormat="1" applyFont="1" applyFill="1" applyBorder="1" applyProtection="1"/>
    <xf numFmtId="178" fontId="7" fillId="23" borderId="0" xfId="0" applyNumberFormat="1" applyFont="1" applyFill="1" applyBorder="1" applyProtection="1">
      <protection locked="0"/>
    </xf>
    <xf numFmtId="4" fontId="1" fillId="28" borderId="45" xfId="0" applyNumberFormat="1" applyFont="1" applyFill="1" applyBorder="1" applyProtection="1"/>
    <xf numFmtId="0" fontId="34" fillId="0" borderId="0" xfId="0" applyFont="1"/>
    <xf numFmtId="180" fontId="0" fillId="0" borderId="0" xfId="0" applyNumberFormat="1"/>
    <xf numFmtId="0" fontId="9" fillId="19" borderId="149" xfId="0" applyFont="1" applyFill="1" applyBorder="1" applyAlignment="1">
      <alignment horizontal="center" vertical="center"/>
    </xf>
    <xf numFmtId="0" fontId="9" fillId="19" borderId="122" xfId="0" applyFont="1" applyFill="1" applyBorder="1" applyAlignment="1">
      <alignment horizontal="center" vertical="center"/>
    </xf>
    <xf numFmtId="0" fontId="9" fillId="19" borderId="152" xfId="0" applyFont="1" applyFill="1" applyBorder="1" applyAlignment="1">
      <alignment horizontal="center" vertical="center"/>
    </xf>
    <xf numFmtId="0" fontId="9" fillId="21" borderId="137" xfId="0" applyFont="1" applyFill="1" applyBorder="1" applyAlignment="1">
      <alignment horizontal="center" vertical="center"/>
    </xf>
    <xf numFmtId="0" fontId="9" fillId="21" borderId="124" xfId="0" applyFont="1" applyFill="1" applyBorder="1" applyAlignment="1">
      <alignment horizontal="center" vertical="center"/>
    </xf>
    <xf numFmtId="0" fontId="9" fillId="21" borderId="142" xfId="0" applyFont="1" applyFill="1" applyBorder="1" applyAlignment="1">
      <alignment horizontal="center" vertical="center"/>
    </xf>
    <xf numFmtId="0" fontId="9" fillId="17" borderId="103" xfId="0" applyFont="1" applyFill="1" applyBorder="1" applyAlignment="1">
      <alignment horizontal="center" vertical="center"/>
    </xf>
    <xf numFmtId="0" fontId="10" fillId="5" borderId="92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71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2" fontId="4" fillId="0" borderId="58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top" wrapText="1"/>
    </xf>
    <xf numFmtId="2" fontId="4" fillId="0" borderId="29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76" fontId="1" fillId="0" borderId="0" xfId="0" applyNumberFormat="1" applyFont="1" applyBorder="1" applyAlignment="1">
      <alignment horizontal="left" vertical="top"/>
    </xf>
    <xf numFmtId="2" fontId="1" fillId="0" borderId="12" xfId="0" applyNumberFormat="1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5" borderId="58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177" fontId="1" fillId="5" borderId="0" xfId="0" applyNumberFormat="1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2" fillId="0" borderId="5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6" xfId="0" applyFont="1" applyBorder="1" applyAlignment="1">
      <alignment horizontal="right" vertical="top" wrapText="1"/>
    </xf>
    <xf numFmtId="0" fontId="1" fillId="0" borderId="95" xfId="0" applyFont="1" applyBorder="1" applyAlignment="1">
      <alignment horizontal="right" vertical="top" wrapText="1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9" fontId="1" fillId="5" borderId="37" xfId="1" applyFont="1" applyFill="1" applyBorder="1" applyAlignment="1">
      <alignment horizontal="center"/>
    </xf>
    <xf numFmtId="169" fontId="1" fillId="5" borderId="47" xfId="1" applyFont="1" applyFill="1" applyBorder="1" applyAlignment="1">
      <alignment horizontal="center"/>
    </xf>
    <xf numFmtId="169" fontId="1" fillId="5" borderId="68" xfId="1" applyFont="1" applyFill="1" applyBorder="1" applyAlignment="1">
      <alignment horizontal="center"/>
    </xf>
    <xf numFmtId="169" fontId="1" fillId="5" borderId="32" xfId="1" applyFont="1" applyFill="1" applyBorder="1" applyAlignment="1">
      <alignment horizontal="center"/>
    </xf>
    <xf numFmtId="169" fontId="1" fillId="5" borderId="71" xfId="1" applyFont="1" applyFill="1" applyBorder="1" applyAlignment="1">
      <alignment horizontal="center"/>
    </xf>
    <xf numFmtId="0" fontId="1" fillId="5" borderId="68" xfId="1" applyNumberFormat="1" applyFont="1" applyFill="1" applyBorder="1" applyAlignment="1">
      <alignment horizontal="center"/>
    </xf>
    <xf numFmtId="0" fontId="1" fillId="5" borderId="71" xfId="1" applyNumberFormat="1" applyFont="1" applyFill="1" applyBorder="1" applyAlignment="1">
      <alignment horizontal="center"/>
    </xf>
    <xf numFmtId="169" fontId="1" fillId="5" borderId="3" xfId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0" fillId="5" borderId="82" xfId="0" applyFont="1" applyFill="1" applyBorder="1" applyAlignment="1">
      <alignment horizontal="center"/>
    </xf>
    <xf numFmtId="0" fontId="10" fillId="5" borderId="53" xfId="0" applyFont="1" applyFill="1" applyBorder="1" applyAlignment="1">
      <alignment horizontal="center"/>
    </xf>
    <xf numFmtId="0" fontId="10" fillId="5" borderId="73" xfId="0" applyFont="1" applyFill="1" applyBorder="1" applyAlignment="1">
      <alignment horizontal="center"/>
    </xf>
    <xf numFmtId="0" fontId="0" fillId="14" borderId="117" xfId="0" applyFill="1" applyBorder="1" applyAlignment="1">
      <alignment horizontal="center" vertical="center" wrapText="1"/>
    </xf>
    <xf numFmtId="0" fontId="0" fillId="14" borderId="115" xfId="0" applyFill="1" applyBorder="1" applyAlignment="1">
      <alignment horizontal="center" vertical="center" wrapText="1"/>
    </xf>
    <xf numFmtId="0" fontId="0" fillId="14" borderId="120" xfId="0" applyFill="1" applyBorder="1" applyAlignment="1">
      <alignment horizontal="center" vertical="center" wrapText="1"/>
    </xf>
  </cellXfs>
  <cellStyles count="6">
    <cellStyle name="Hipervínculo" xfId="5" builtinId="8"/>
    <cellStyle name="Moneda" xfId="4" builtinId="4"/>
    <cellStyle name="Normal" xfId="0" builtinId="0"/>
    <cellStyle name="Normal 2" xfId="3"/>
    <cellStyle name="Porcentaje" xfId="2" builtinId="5"/>
    <cellStyle name="Porcentual_CapefinanNuevo" xfId="1"/>
  </cellStyles>
  <dxfs count="9">
    <dxf>
      <fill>
        <patternFill>
          <bgColor indexed="47"/>
        </patternFill>
      </fill>
    </dxf>
    <dxf>
      <fill>
        <patternFill patternType="lightUp"/>
      </fill>
      <border>
        <top style="thin">
          <color indexed="10"/>
        </top>
        <bottom style="thin">
          <color indexed="10"/>
        </bottom>
      </border>
    </dxf>
    <dxf>
      <border>
        <bottom style="hair">
          <color indexed="64"/>
        </bottom>
      </border>
    </dxf>
    <dxf>
      <border>
        <bottom style="hair">
          <color indexed="64"/>
        </bottom>
      </border>
    </dxf>
    <dxf>
      <fill>
        <patternFill patternType="lightHorizontal">
          <bgColor indexed="22"/>
        </patternFill>
      </fill>
    </dxf>
    <dxf>
      <fill>
        <patternFill>
          <bgColor indexed="22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 patternType="gray0625">
          <bgColor indexed="27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22"/>
        </patternFill>
      </fill>
    </dxf>
    <dxf>
      <font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fmlaLink="$E$21" fmlaRange="$D$21:$D$23" sel="1" val="0"/>
</file>

<file path=xl/ctrlProps/ctrlProp2.xml><?xml version="1.0" encoding="utf-8"?>
<formControlPr xmlns="http://schemas.microsoft.com/office/spreadsheetml/2009/9/main" objectType="Drop" dropStyle="combo" dx="22" fmlaLink="$E$28" fmlaRange="$D$28:$D$29" sel="2" val="0"/>
</file>

<file path=xl/ctrlProps/ctrlProp3.xml><?xml version="1.0" encoding="utf-8"?>
<formControlPr xmlns="http://schemas.microsoft.com/office/spreadsheetml/2009/9/main" objectType="Drop" dropLines="4" dropStyle="combo" dx="22" fmlaLink="$D$34" fmlaRange="$C$34:$C$35" sel="2" val="0"/>
</file>

<file path=xl/ctrlProps/ctrlProp4.xml><?xml version="1.0" encoding="utf-8"?>
<formControlPr xmlns="http://schemas.microsoft.com/office/spreadsheetml/2009/9/main" objectType="Drop" dropStyle="combo" dx="22" fmlaLink="$D$40" fmlaRange="$C$40:$C$41" sel="1" val="0"/>
</file>

<file path=xl/ctrlProps/ctrlProp5.xml><?xml version="1.0" encoding="utf-8"?>
<formControlPr xmlns="http://schemas.microsoft.com/office/spreadsheetml/2009/9/main" objectType="Drop" dropStyle="combo" dx="22" fmlaLink="$E$64" fmlaRange="$D$64:$D$66" noThreeD="1" sel="3" val="0"/>
</file>

<file path=xl/ctrlProps/ctrlProp6.xml><?xml version="1.0" encoding="utf-8"?>
<formControlPr xmlns="http://schemas.microsoft.com/office/spreadsheetml/2009/9/main" objectType="Drop" dropStyle="combo" dx="22" fmlaLink="$F$34" fmlaRange="$E$34:$E$36" sel="3" val="0"/>
</file>

<file path=xl/ctrlProps/ctrlProp7.xml><?xml version="1.0" encoding="utf-8"?>
<formControlPr xmlns="http://schemas.microsoft.com/office/spreadsheetml/2009/9/main" objectType="Drop" dropStyle="combo" dx="22" fmlaLink="$F$40" fmlaRange="$E$40:$E$4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36</xdr:row>
      <xdr:rowOff>19050</xdr:rowOff>
    </xdr:from>
    <xdr:to>
      <xdr:col>8</xdr:col>
      <xdr:colOff>561975</xdr:colOff>
      <xdr:row>43</xdr:row>
      <xdr:rowOff>0</xdr:rowOff>
    </xdr:to>
    <xdr:sp macro="" textlink="">
      <xdr:nvSpPr>
        <xdr:cNvPr id="7" name="6 Rectángulo redondeado"/>
        <xdr:cNvSpPr/>
      </xdr:nvSpPr>
      <xdr:spPr>
        <a:xfrm>
          <a:off x="6524624" y="5067300"/>
          <a:ext cx="3095626" cy="9525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MX" sz="1100" i="1"/>
            <a:t>AÑO</a:t>
          </a:r>
          <a:r>
            <a:rPr lang="es-MX" sz="1100" i="1" baseline="0"/>
            <a:t> FISCAL</a:t>
          </a:r>
          <a:r>
            <a:rPr lang="es-MX" sz="1100" baseline="0"/>
            <a:t>: Considera del    1 de enero al 31 de diciembre.</a:t>
          </a:r>
        </a:p>
        <a:p>
          <a:pPr algn="l"/>
          <a:r>
            <a:rPr lang="es-MX" sz="1100" i="1" baseline="0"/>
            <a:t>AÑO COMERCIAL</a:t>
          </a:r>
          <a:r>
            <a:rPr lang="es-MX" sz="1100" baseline="0"/>
            <a:t>: Considera 12 meses de 30 dias cada uno, equivalente a 360 dias.</a:t>
          </a:r>
          <a:endParaRPr lang="es-MX" sz="1100"/>
        </a:p>
      </xdr:txBody>
    </xdr:sp>
    <xdr:clientData/>
  </xdr:twoCellAnchor>
  <xdr:twoCellAnchor>
    <xdr:from>
      <xdr:col>6</xdr:col>
      <xdr:colOff>95250</xdr:colOff>
      <xdr:row>24</xdr:row>
      <xdr:rowOff>152400</xdr:rowOff>
    </xdr:from>
    <xdr:to>
      <xdr:col>8</xdr:col>
      <xdr:colOff>552451</xdr:colOff>
      <xdr:row>32</xdr:row>
      <xdr:rowOff>123823</xdr:rowOff>
    </xdr:to>
    <xdr:sp macro="" textlink="">
      <xdr:nvSpPr>
        <xdr:cNvPr id="3" name="2 Rectángulo redondeado"/>
        <xdr:cNvSpPr/>
      </xdr:nvSpPr>
      <xdr:spPr>
        <a:xfrm>
          <a:off x="6515100" y="3752850"/>
          <a:ext cx="3095626" cy="1190623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s-MX" sz="1100" i="1"/>
            <a:t>TASA</a:t>
          </a:r>
          <a:r>
            <a:rPr lang="es-MX" sz="1100" i="1" baseline="0"/>
            <a:t> ACTIVA</a:t>
          </a:r>
          <a:r>
            <a:rPr lang="es-MX" sz="1100" i="1"/>
            <a:t> (% que Cobra la Banca, son recursos a favor del banco).</a:t>
          </a:r>
        </a:p>
        <a:p>
          <a:pPr algn="l"/>
          <a:r>
            <a:rPr lang="es-MX" sz="1100" i="1" baseline="0"/>
            <a:t>TASA PASIVA (% que paga la Banca, son recursos a favor del usuario, en este caso a favor de la Dependencia)</a:t>
          </a:r>
          <a:endParaRPr lang="es-MX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18</xdr:row>
          <xdr:rowOff>66675</xdr:rowOff>
        </xdr:from>
        <xdr:to>
          <xdr:col>4</xdr:col>
          <xdr:colOff>180975</xdr:colOff>
          <xdr:row>18</xdr:row>
          <xdr:rowOff>209550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25</xdr:row>
          <xdr:rowOff>114300</xdr:rowOff>
        </xdr:from>
        <xdr:to>
          <xdr:col>4</xdr:col>
          <xdr:colOff>180975</xdr:colOff>
          <xdr:row>26</xdr:row>
          <xdr:rowOff>47625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809625</xdr:colOff>
          <xdr:row>31</xdr:row>
          <xdr:rowOff>114300</xdr:rowOff>
        </xdr:from>
        <xdr:to>
          <xdr:col>4</xdr:col>
          <xdr:colOff>171450</xdr:colOff>
          <xdr:row>32</xdr:row>
          <xdr:rowOff>47625</xdr:rowOff>
        </xdr:to>
        <xdr:sp macro="" textlink="">
          <xdr:nvSpPr>
            <xdr:cNvPr id="16388" name="Drop Dow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37</xdr:row>
          <xdr:rowOff>85725</xdr:rowOff>
        </xdr:from>
        <xdr:to>
          <xdr:col>4</xdr:col>
          <xdr:colOff>161925</xdr:colOff>
          <xdr:row>38</xdr:row>
          <xdr:rowOff>19050</xdr:rowOff>
        </xdr:to>
        <xdr:sp macro="" textlink="">
          <xdr:nvSpPr>
            <xdr:cNvPr id="16389" name="Drop Down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61</xdr:row>
          <xdr:rowOff>0</xdr:rowOff>
        </xdr:from>
        <xdr:to>
          <xdr:col>4</xdr:col>
          <xdr:colOff>1323975</xdr:colOff>
          <xdr:row>61</xdr:row>
          <xdr:rowOff>152400</xdr:rowOff>
        </xdr:to>
        <xdr:sp macro="" textlink="">
          <xdr:nvSpPr>
            <xdr:cNvPr id="16402" name="Drop Down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ctr" rtl="0">
                <a:defRPr sz="1000"/>
              </a:pPr>
              <a:endParaRPr lang="es-MX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1209675</xdr:colOff>
          <xdr:row>31</xdr:row>
          <xdr:rowOff>114300</xdr:rowOff>
        </xdr:from>
        <xdr:to>
          <xdr:col>5</xdr:col>
          <xdr:colOff>1323975</xdr:colOff>
          <xdr:row>32</xdr:row>
          <xdr:rowOff>47625</xdr:rowOff>
        </xdr:to>
        <xdr:sp macro="" textlink="">
          <xdr:nvSpPr>
            <xdr:cNvPr id="16407" name="Drop Down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1209675</xdr:colOff>
          <xdr:row>37</xdr:row>
          <xdr:rowOff>95250</xdr:rowOff>
        </xdr:from>
        <xdr:to>
          <xdr:col>5</xdr:col>
          <xdr:colOff>1314450</xdr:colOff>
          <xdr:row>38</xdr:row>
          <xdr:rowOff>28575</xdr:rowOff>
        </xdr:to>
        <xdr:sp macro="" textlink="">
          <xdr:nvSpPr>
            <xdr:cNvPr id="16408" name="Drop Down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38</xdr:row>
      <xdr:rowOff>66675</xdr:rowOff>
    </xdr:from>
    <xdr:to>
      <xdr:col>4</xdr:col>
      <xdr:colOff>476250</xdr:colOff>
      <xdr:row>39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6096000"/>
          <a:ext cx="16383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strike="noStrike">
              <a:solidFill>
                <a:srgbClr val="000000"/>
              </a:solidFill>
              <a:latin typeface="Arial"/>
              <a:cs typeface="Arial"/>
            </a:rPr>
            <a:t>COSTO FINANCIAMIENTO ACUMULADO</a:t>
          </a:r>
        </a:p>
      </xdr:txBody>
    </xdr:sp>
    <xdr:clientData/>
  </xdr:twoCellAnchor>
  <xdr:twoCellAnchor>
    <xdr:from>
      <xdr:col>2</xdr:col>
      <xdr:colOff>180975</xdr:colOff>
      <xdr:row>40</xdr:row>
      <xdr:rowOff>0</xdr:rowOff>
    </xdr:from>
    <xdr:to>
      <xdr:col>5</xdr:col>
      <xdr:colOff>28575</xdr:colOff>
      <xdr:row>41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90775" y="6400800"/>
          <a:ext cx="213360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700" b="0" i="0" strike="noStrike">
              <a:solidFill>
                <a:srgbClr val="000000"/>
              </a:solidFill>
              <a:latin typeface="Arial"/>
              <a:cs typeface="Arial"/>
            </a:rPr>
            <a:t>COSTO DIRECTO + COSTO INDIRECTO</a:t>
          </a:r>
        </a:p>
      </xdr:txBody>
    </xdr:sp>
    <xdr:clientData/>
  </xdr:twoCellAnchor>
  <xdr:twoCellAnchor>
    <xdr:from>
      <xdr:col>2</xdr:col>
      <xdr:colOff>76200</xdr:colOff>
      <xdr:row>39</xdr:row>
      <xdr:rowOff>76200</xdr:rowOff>
    </xdr:from>
    <xdr:to>
      <xdr:col>4</xdr:col>
      <xdr:colOff>704850</xdr:colOff>
      <xdr:row>39</xdr:row>
      <xdr:rowOff>76200</xdr:rowOff>
    </xdr:to>
    <xdr:sp macro="" textlink="">
      <xdr:nvSpPr>
        <xdr:cNvPr id="19969" name="Line 4"/>
        <xdr:cNvSpPr>
          <a:spLocks noChangeShapeType="1"/>
        </xdr:cNvSpPr>
      </xdr:nvSpPr>
      <xdr:spPr bwMode="auto">
        <a:xfrm flipV="1">
          <a:off x="2800350" y="6477000"/>
          <a:ext cx="2152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104775</xdr:colOff>
      <xdr:row>103</xdr:row>
      <xdr:rowOff>0</xdr:rowOff>
    </xdr:from>
    <xdr:to>
      <xdr:col>18</xdr:col>
      <xdr:colOff>800100</xdr:colOff>
      <xdr:row>103</xdr:row>
      <xdr:rowOff>0</xdr:rowOff>
    </xdr:to>
    <xdr:sp macro="" textlink="">
      <xdr:nvSpPr>
        <xdr:cNvPr id="15535" name="Line 2"/>
        <xdr:cNvSpPr>
          <a:spLocks noChangeShapeType="1"/>
        </xdr:cNvSpPr>
      </xdr:nvSpPr>
      <xdr:spPr bwMode="auto">
        <a:xfrm>
          <a:off x="7258050" y="1694497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porte@neodata.com.m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showGridLines="0" showZeros="0" topLeftCell="B40" zoomScale="130" zoomScaleNormal="130" workbookViewId="0">
      <selection activeCell="C51" sqref="C51"/>
    </sheetView>
  </sheetViews>
  <sheetFormatPr baseColWidth="10" defaultColWidth="9.140625" defaultRowHeight="12.75"/>
  <cols>
    <col min="1" max="1" width="30.7109375" customWidth="1"/>
    <col min="2" max="2" width="75" bestFit="1" customWidth="1"/>
    <col min="3" max="3" width="50.7109375" customWidth="1"/>
  </cols>
  <sheetData>
    <row r="1" spans="1:3">
      <c r="B1" s="636"/>
      <c r="C1" s="1018"/>
    </row>
    <row r="2" spans="1:3" ht="12.75" customHeight="1">
      <c r="A2" s="168" t="s">
        <v>164</v>
      </c>
      <c r="B2" s="168"/>
      <c r="C2" s="581"/>
    </row>
    <row r="3" spans="1:3" ht="12.75" customHeight="1">
      <c r="A3" s="350"/>
      <c r="B3" s="350"/>
      <c r="C3" s="350"/>
    </row>
    <row r="4" spans="1:3" ht="12.75" customHeight="1">
      <c r="A4" s="736" t="s">
        <v>28</v>
      </c>
      <c r="B4" s="753" t="s">
        <v>162</v>
      </c>
      <c r="C4" s="604" t="s">
        <v>123</v>
      </c>
    </row>
    <row r="5" spans="1:3" ht="12.75" customHeight="1">
      <c r="A5" s="211" t="s">
        <v>297</v>
      </c>
      <c r="B5" s="223"/>
      <c r="C5" s="888"/>
    </row>
    <row r="6" spans="1:3" ht="12.75" customHeight="1">
      <c r="A6" s="813" t="s">
        <v>205</v>
      </c>
      <c r="B6" s="1024" t="s">
        <v>430</v>
      </c>
      <c r="C6" s="1058" t="s">
        <v>229</v>
      </c>
    </row>
    <row r="7" spans="1:3" ht="12.75" customHeight="1">
      <c r="A7" s="155" t="s">
        <v>177</v>
      </c>
      <c r="B7" s="145" t="s">
        <v>279</v>
      </c>
      <c r="C7" s="188"/>
    </row>
    <row r="8" spans="1:3" ht="12.75" customHeight="1">
      <c r="A8" s="155" t="s">
        <v>287</v>
      </c>
      <c r="B8" s="145" t="s">
        <v>312</v>
      </c>
      <c r="C8" s="188"/>
    </row>
    <row r="9" spans="1:3" ht="12.75" customHeight="1">
      <c r="A9" s="155" t="s">
        <v>133</v>
      </c>
      <c r="B9" s="145" t="s">
        <v>256</v>
      </c>
      <c r="C9" s="188"/>
    </row>
    <row r="10" spans="1:3" ht="12.75" customHeight="1">
      <c r="A10" s="345" t="s">
        <v>364</v>
      </c>
      <c r="B10" s="219" t="s">
        <v>405</v>
      </c>
      <c r="C10" s="188"/>
    </row>
    <row r="11" spans="1:3" ht="12.75" customHeight="1">
      <c r="A11" s="345" t="s">
        <v>291</v>
      </c>
      <c r="B11" s="145" t="s">
        <v>446</v>
      </c>
      <c r="C11" s="188"/>
    </row>
    <row r="12" spans="1:3" ht="12.75" customHeight="1">
      <c r="A12" s="345" t="s">
        <v>357</v>
      </c>
      <c r="B12" s="145" t="s">
        <v>2</v>
      </c>
      <c r="C12" s="188"/>
    </row>
    <row r="13" spans="1:3" ht="12.75" customHeight="1">
      <c r="A13" s="345" t="s">
        <v>499</v>
      </c>
      <c r="B13" s="145" t="s">
        <v>503</v>
      </c>
      <c r="C13" s="895"/>
    </row>
    <row r="14" spans="1:3" ht="12.75" customHeight="1">
      <c r="A14" s="155" t="s">
        <v>389</v>
      </c>
      <c r="B14" s="145" t="s">
        <v>63</v>
      </c>
      <c r="C14" s="343" t="s">
        <v>30</v>
      </c>
    </row>
    <row r="15" spans="1:3" ht="12.75" customHeight="1">
      <c r="A15" s="155" t="s">
        <v>278</v>
      </c>
      <c r="B15" s="145" t="s">
        <v>447</v>
      </c>
      <c r="C15" s="343" t="s">
        <v>30</v>
      </c>
    </row>
    <row r="16" spans="1:3" ht="12.75" customHeight="1">
      <c r="A16" s="155" t="s">
        <v>73</v>
      </c>
      <c r="B16" s="145" t="s">
        <v>458</v>
      </c>
      <c r="C16" s="343" t="s">
        <v>30</v>
      </c>
    </row>
    <row r="17" spans="1:3" ht="12.75" customHeight="1">
      <c r="A17" s="155" t="s">
        <v>467</v>
      </c>
      <c r="B17" s="145" t="s">
        <v>214</v>
      </c>
      <c r="C17" s="188" t="s">
        <v>174</v>
      </c>
    </row>
    <row r="18" spans="1:3" ht="12.75" customHeight="1">
      <c r="A18" s="155" t="s">
        <v>366</v>
      </c>
      <c r="B18" s="145" t="s">
        <v>95</v>
      </c>
      <c r="C18" s="188" t="s">
        <v>422</v>
      </c>
    </row>
    <row r="19" spans="1:3" ht="12.75" customHeight="1">
      <c r="A19" s="211" t="s">
        <v>286</v>
      </c>
      <c r="B19" s="223"/>
      <c r="C19" s="366"/>
    </row>
    <row r="20" spans="1:3" ht="22.5">
      <c r="A20" s="155" t="s">
        <v>292</v>
      </c>
      <c r="B20" s="219" t="s">
        <v>87</v>
      </c>
      <c r="C20" s="188" t="s">
        <v>309</v>
      </c>
    </row>
    <row r="21" spans="1:3" ht="12.75" customHeight="1">
      <c r="A21" s="345" t="s">
        <v>490</v>
      </c>
      <c r="B21" s="145" t="s">
        <v>148</v>
      </c>
      <c r="C21" s="188" t="s">
        <v>283</v>
      </c>
    </row>
    <row r="22" spans="1:3" ht="12.75" customHeight="1">
      <c r="A22" s="345" t="s">
        <v>34</v>
      </c>
      <c r="B22" s="145" t="s">
        <v>532</v>
      </c>
      <c r="C22" s="188" t="s">
        <v>44</v>
      </c>
    </row>
    <row r="23" spans="1:3" ht="12.75" customHeight="1">
      <c r="A23" s="345" t="s">
        <v>281</v>
      </c>
      <c r="B23" s="145" t="s">
        <v>505</v>
      </c>
      <c r="C23" s="188"/>
    </row>
    <row r="24" spans="1:3" ht="12.75" customHeight="1">
      <c r="A24" s="345" t="s">
        <v>165</v>
      </c>
      <c r="B24" s="145" t="s">
        <v>363</v>
      </c>
      <c r="C24" s="188"/>
    </row>
    <row r="25" spans="1:3" ht="12.75" customHeight="1">
      <c r="A25" s="345" t="s">
        <v>230</v>
      </c>
      <c r="B25" s="145" t="s">
        <v>179</v>
      </c>
      <c r="C25" s="188"/>
    </row>
    <row r="26" spans="1:3" ht="12.75" customHeight="1">
      <c r="A26" s="345" t="s">
        <v>334</v>
      </c>
      <c r="B26" s="145" t="s">
        <v>227</v>
      </c>
      <c r="C26" s="188"/>
    </row>
    <row r="27" spans="1:3" ht="12.75" customHeight="1">
      <c r="A27" s="345" t="s">
        <v>298</v>
      </c>
      <c r="B27" s="145" t="s">
        <v>358</v>
      </c>
      <c r="C27" s="188"/>
    </row>
    <row r="28" spans="1:3" ht="12.75" customHeight="1">
      <c r="A28" s="345" t="s">
        <v>411</v>
      </c>
      <c r="B28" s="145" t="s">
        <v>96</v>
      </c>
      <c r="C28" s="188"/>
    </row>
    <row r="29" spans="1:3" ht="12.75" customHeight="1">
      <c r="A29" s="345" t="s">
        <v>111</v>
      </c>
      <c r="B29" s="145" t="s">
        <v>269</v>
      </c>
      <c r="C29" s="188"/>
    </row>
    <row r="30" spans="1:3" ht="12.75" customHeight="1">
      <c r="A30" s="211" t="s">
        <v>513</v>
      </c>
      <c r="B30" s="223"/>
      <c r="C30" s="366"/>
    </row>
    <row r="31" spans="1:3" ht="12.75" customHeight="1">
      <c r="A31" s="155" t="s">
        <v>145</v>
      </c>
      <c r="B31" s="145" t="s">
        <v>423</v>
      </c>
      <c r="C31" s="340">
        <v>44778</v>
      </c>
    </row>
    <row r="32" spans="1:3" ht="12.75" customHeight="1">
      <c r="A32" s="155" t="s">
        <v>308</v>
      </c>
      <c r="B32" s="145" t="s">
        <v>451</v>
      </c>
      <c r="C32" s="343" t="s">
        <v>267</v>
      </c>
    </row>
    <row r="33" spans="1:3" ht="12.75" customHeight="1">
      <c r="A33" s="155" t="s">
        <v>173</v>
      </c>
      <c r="B33" s="219" t="s">
        <v>109</v>
      </c>
      <c r="C33" s="188" t="s">
        <v>534</v>
      </c>
    </row>
    <row r="34" spans="1:3" ht="12.75" customHeight="1">
      <c r="A34" s="211" t="s">
        <v>261</v>
      </c>
      <c r="B34" s="223"/>
      <c r="C34" s="701"/>
    </row>
    <row r="35" spans="1:3" ht="56.25">
      <c r="A35" s="155" t="s">
        <v>434</v>
      </c>
      <c r="B35" s="145" t="s">
        <v>244</v>
      </c>
      <c r="C35" s="680" t="s">
        <v>462</v>
      </c>
    </row>
    <row r="36" spans="1:3" ht="12.75" customHeight="1">
      <c r="A36" s="155" t="s">
        <v>518</v>
      </c>
      <c r="B36" s="145" t="s">
        <v>3</v>
      </c>
      <c r="C36" s="188" t="s">
        <v>38</v>
      </c>
    </row>
    <row r="37" spans="1:3" ht="12.75" customHeight="1">
      <c r="A37" s="155" t="s">
        <v>456</v>
      </c>
      <c r="B37" s="145" t="s">
        <v>236</v>
      </c>
      <c r="C37" s="188"/>
    </row>
    <row r="38" spans="1:3" ht="12.75" customHeight="1">
      <c r="A38" s="155" t="s">
        <v>352</v>
      </c>
      <c r="B38" s="145" t="s">
        <v>398</v>
      </c>
      <c r="C38" s="188" t="s">
        <v>169</v>
      </c>
    </row>
    <row r="39" spans="1:3" ht="12.75" customHeight="1">
      <c r="A39" s="155" t="s">
        <v>494</v>
      </c>
      <c r="B39" s="219" t="s">
        <v>175</v>
      </c>
      <c r="C39" s="188" t="s">
        <v>316</v>
      </c>
    </row>
    <row r="40" spans="1:3" ht="12.75" customHeight="1">
      <c r="A40" s="155" t="s">
        <v>351</v>
      </c>
      <c r="B40" s="219" t="s">
        <v>117</v>
      </c>
      <c r="C40" s="188"/>
    </row>
    <row r="41" spans="1:3" ht="12.75" customHeight="1">
      <c r="A41" s="155" t="s">
        <v>191</v>
      </c>
      <c r="B41" s="219" t="s">
        <v>498</v>
      </c>
      <c r="C41" s="188"/>
    </row>
    <row r="42" spans="1:3" ht="12.75" customHeight="1">
      <c r="A42" s="155" t="s">
        <v>347</v>
      </c>
      <c r="B42" s="219" t="s">
        <v>540</v>
      </c>
      <c r="C42" s="188"/>
    </row>
    <row r="43" spans="1:3" ht="12.75" customHeight="1">
      <c r="A43" s="155" t="s">
        <v>141</v>
      </c>
      <c r="B43" s="219" t="s">
        <v>284</v>
      </c>
      <c r="C43" s="188" t="s">
        <v>174</v>
      </c>
    </row>
    <row r="44" spans="1:3" ht="12.75" customHeight="1">
      <c r="A44" s="155" t="s">
        <v>288</v>
      </c>
      <c r="B44" s="219" t="s">
        <v>207</v>
      </c>
      <c r="C44" s="188" t="s">
        <v>422</v>
      </c>
    </row>
    <row r="45" spans="1:3" ht="12.75" customHeight="1">
      <c r="A45" s="155" t="s">
        <v>55</v>
      </c>
      <c r="B45" s="145" t="s">
        <v>335</v>
      </c>
      <c r="C45" s="340">
        <v>45367</v>
      </c>
    </row>
    <row r="46" spans="1:3" ht="12.75" customHeight="1">
      <c r="A46" s="696" t="s">
        <v>206</v>
      </c>
      <c r="B46" s="967" t="s">
        <v>393</v>
      </c>
      <c r="C46" s="840">
        <v>45456</v>
      </c>
    </row>
    <row r="47" spans="1:3" ht="12.75" customHeight="1">
      <c r="A47" s="155" t="s">
        <v>209</v>
      </c>
      <c r="B47" s="145" t="s">
        <v>482</v>
      </c>
      <c r="C47" s="857">
        <v>1631310.01</v>
      </c>
    </row>
    <row r="48" spans="1:3" ht="12.75" customHeight="1">
      <c r="A48" s="155" t="s">
        <v>428</v>
      </c>
      <c r="B48" s="145" t="s">
        <v>379</v>
      </c>
      <c r="C48" s="857">
        <v>0</v>
      </c>
    </row>
    <row r="49" spans="1:3" ht="12.75" customHeight="1">
      <c r="A49" s="155" t="s">
        <v>338</v>
      </c>
      <c r="B49" s="145" t="s">
        <v>536</v>
      </c>
      <c r="C49" s="779">
        <v>0.16</v>
      </c>
    </row>
    <row r="50" spans="1:3" ht="12.75" customHeight="1">
      <c r="A50" s="211" t="s">
        <v>143</v>
      </c>
      <c r="B50" s="223"/>
      <c r="C50" s="366"/>
    </row>
    <row r="51" spans="1:3" ht="12.75" customHeight="1">
      <c r="A51" s="345" t="s">
        <v>473</v>
      </c>
      <c r="B51" s="145" t="s">
        <v>237</v>
      </c>
      <c r="C51" s="188">
        <f>+fechaterminacion-fechainicio+1</f>
        <v>90</v>
      </c>
    </row>
    <row r="52" spans="1:3" ht="12.75" customHeight="1">
      <c r="A52" s="345" t="s">
        <v>272</v>
      </c>
      <c r="B52" s="145" t="s">
        <v>444</v>
      </c>
      <c r="C52" s="188">
        <v>75</v>
      </c>
    </row>
    <row r="53" spans="1:3" ht="12.75" customHeight="1">
      <c r="A53" s="155" t="s">
        <v>266</v>
      </c>
      <c r="B53" s="219" t="s">
        <v>530</v>
      </c>
      <c r="C53" s="188">
        <v>2</v>
      </c>
    </row>
    <row r="54" spans="1:3" ht="12.75" customHeight="1">
      <c r="A54" s="155" t="s">
        <v>210</v>
      </c>
      <c r="B54" s="219" t="s">
        <v>425</v>
      </c>
      <c r="C54" s="188" t="s">
        <v>113</v>
      </c>
    </row>
    <row r="55" spans="1:3" ht="12.75" customHeight="1">
      <c r="A55" s="155" t="s">
        <v>431</v>
      </c>
      <c r="B55" s="219" t="s">
        <v>407</v>
      </c>
      <c r="C55" s="188"/>
    </row>
    <row r="56" spans="1:3" ht="12.75" customHeight="1">
      <c r="A56" s="155" t="s">
        <v>33</v>
      </c>
      <c r="B56" s="219" t="s">
        <v>199</v>
      </c>
      <c r="C56" s="188" t="s">
        <v>327</v>
      </c>
    </row>
    <row r="57" spans="1:3" ht="12.75" customHeight="1">
      <c r="A57" s="155" t="s">
        <v>245</v>
      </c>
      <c r="B57" s="219" t="s">
        <v>328</v>
      </c>
      <c r="C57" s="188"/>
    </row>
    <row r="58" spans="1:3" ht="12.75" customHeight="1">
      <c r="A58" s="862" t="s">
        <v>368</v>
      </c>
      <c r="B58" s="563"/>
      <c r="C58" s="874"/>
    </row>
    <row r="59" spans="1:3" ht="12.75" customHeight="1">
      <c r="A59" s="155" t="s">
        <v>377</v>
      </c>
      <c r="B59" s="145" t="s">
        <v>514</v>
      </c>
      <c r="C59" s="343" t="s">
        <v>157</v>
      </c>
    </row>
    <row r="60" spans="1:3" ht="12.75" customHeight="1">
      <c r="A60" s="155" t="s">
        <v>101</v>
      </c>
      <c r="B60" s="145" t="s">
        <v>404</v>
      </c>
      <c r="C60" s="340">
        <v>44769</v>
      </c>
    </row>
    <row r="61" spans="1:3" ht="12.75" customHeight="1">
      <c r="A61" s="155" t="s">
        <v>511</v>
      </c>
      <c r="B61" s="145" t="s">
        <v>130</v>
      </c>
      <c r="C61" s="687"/>
    </row>
  </sheetData>
  <hyperlinks>
    <hyperlink ref="C13" r:id="rId1" display="soporte@neodata.com.mx"/>
  </hyperlinks>
  <printOptions horizontalCentered="1"/>
  <pageMargins left="0.47244094488188981" right="0.74803149606299213" top="0.27559055118110237" bottom="0.35433070866141736" header="0" footer="0"/>
  <pageSetup scale="60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07"/>
  <sheetViews>
    <sheetView showGridLines="0" topLeftCell="A82" zoomScaleNormal="100" workbookViewId="0">
      <selection activeCell="V99" sqref="V99"/>
    </sheetView>
  </sheetViews>
  <sheetFormatPr baseColWidth="10" defaultColWidth="9.140625" defaultRowHeight="12.75"/>
  <cols>
    <col min="1" max="1" width="1.7109375" customWidth="1"/>
    <col min="2" max="2" width="16.85546875" hidden="1" customWidth="1"/>
    <col min="3" max="3" width="8.7109375" customWidth="1"/>
    <col min="4" max="4" width="10.42578125" style="985" customWidth="1"/>
    <col min="5" max="5" width="14.28515625" style="985" customWidth="1"/>
    <col min="6" max="6" width="16.140625" style="985" customWidth="1"/>
    <col min="7" max="8" width="13.85546875" style="985" hidden="1" customWidth="1"/>
    <col min="9" max="9" width="13" style="985" hidden="1" customWidth="1"/>
    <col min="10" max="11" width="13.85546875" style="985" hidden="1" customWidth="1"/>
    <col min="12" max="12" width="13.7109375" style="985" hidden="1" customWidth="1"/>
    <col min="13" max="13" width="12.28515625" style="985" customWidth="1"/>
    <col min="14" max="15" width="12.28515625" style="985" hidden="1" customWidth="1"/>
    <col min="16" max="16" width="12.42578125" style="985" customWidth="1"/>
    <col min="17" max="17" width="14.5703125" style="985" customWidth="1"/>
    <col min="18" max="18" width="16.7109375" style="985" customWidth="1"/>
    <col min="19" max="19" width="13" style="985" customWidth="1"/>
    <col min="20" max="20" width="15.7109375" style="985" customWidth="1"/>
    <col min="21" max="21" width="14.28515625" customWidth="1"/>
    <col min="22" max="22" width="15.5703125" customWidth="1"/>
  </cols>
  <sheetData>
    <row r="1" spans="3:21" ht="13.5" thickTop="1">
      <c r="C1" s="1147" t="str">
        <f>nombrecliente</f>
        <v>AYUNTAMIENTO DE CUERNAVACA_x000D_
SECRETARÍA DE DESARROLLO URBANO Y OBRAS PÚBLICAS</v>
      </c>
      <c r="D1" s="1148"/>
      <c r="E1" s="1148"/>
      <c r="F1" s="1148"/>
      <c r="G1" s="163"/>
      <c r="H1" s="163"/>
      <c r="I1" s="163"/>
      <c r="J1" s="163"/>
      <c r="K1" s="163"/>
      <c r="L1" s="796"/>
      <c r="M1" s="416" t="str">
        <f>"LICITACION "&amp;numerodeconcurso&amp;" QUE SE CELEBRARA EN "</f>
        <v xml:space="preserve">LICITACION A.D.03/R33/DLyCOP/OP444/2022 QUE SE CELEBRARA EN </v>
      </c>
      <c r="N1" s="278"/>
      <c r="O1" s="278"/>
      <c r="P1" s="971"/>
      <c r="Q1" s="278"/>
      <c r="R1" s="926"/>
      <c r="S1" s="278"/>
      <c r="T1" s="669"/>
      <c r="U1" s="1057"/>
    </row>
    <row r="2" spans="3:21">
      <c r="C2" s="1149"/>
      <c r="D2" s="1150"/>
      <c r="E2" s="1150"/>
      <c r="F2" s="1150"/>
      <c r="G2" s="126"/>
      <c r="H2" s="126"/>
      <c r="I2" s="126"/>
      <c r="J2" s="126"/>
      <c r="K2" s="126"/>
      <c r="L2" s="1041"/>
      <c r="M2" s="412" t="str">
        <f>"LUGAR DE CELEBRACION  " &amp;direcciondeconcurso</f>
        <v>LUGAR DE CELEBRACION  CUERNAVACA, MORELOS</v>
      </c>
      <c r="N2" s="208"/>
      <c r="O2" s="208"/>
      <c r="P2" s="547"/>
      <c r="Q2" s="208"/>
      <c r="R2" s="562"/>
      <c r="S2" s="208"/>
      <c r="T2" s="792"/>
      <c r="U2" s="1070"/>
    </row>
    <row r="3" spans="3:21">
      <c r="C3" s="1149"/>
      <c r="D3" s="1150"/>
      <c r="E3" s="1150"/>
      <c r="F3" s="1150"/>
      <c r="G3" s="126"/>
      <c r="H3" s="126"/>
      <c r="I3" s="126"/>
      <c r="J3" s="126"/>
      <c r="K3" s="126"/>
      <c r="L3" s="1041"/>
      <c r="M3" s="568" t="s">
        <v>225</v>
      </c>
      <c r="N3" s="513"/>
      <c r="O3" s="513"/>
      <c r="P3" s="1151">
        <f>fechadeconcurso</f>
        <v>44778</v>
      </c>
      <c r="Q3" s="1151"/>
      <c r="R3" s="562"/>
      <c r="S3" s="208"/>
      <c r="T3" s="532"/>
      <c r="U3" s="839"/>
    </row>
    <row r="4" spans="3:21">
      <c r="C4" s="526" t="s">
        <v>168</v>
      </c>
      <c r="D4" s="314"/>
      <c r="E4" s="362"/>
      <c r="F4" s="180"/>
      <c r="G4" s="180"/>
      <c r="H4" s="180"/>
      <c r="I4" s="180"/>
      <c r="J4" s="180"/>
      <c r="K4" s="180"/>
      <c r="L4" s="1041"/>
      <c r="M4" s="568" t="s">
        <v>476</v>
      </c>
      <c r="N4" s="513"/>
      <c r="O4" s="513"/>
      <c r="P4" s="1153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Q4" s="1153"/>
      <c r="R4" s="1153"/>
      <c r="S4" s="1153"/>
      <c r="T4" s="1154"/>
      <c r="U4" s="839" t="s">
        <v>168</v>
      </c>
    </row>
    <row r="5" spans="3:21">
      <c r="C5" s="551" t="str">
        <f>area</f>
        <v>AREA</v>
      </c>
      <c r="D5" s="314"/>
      <c r="E5" s="126"/>
      <c r="F5" s="180"/>
      <c r="G5" s="180"/>
      <c r="H5" s="180"/>
      <c r="I5" s="180"/>
      <c r="J5" s="180"/>
      <c r="K5" s="180"/>
      <c r="L5" s="1041"/>
      <c r="M5" s="615"/>
      <c r="N5" s="517"/>
      <c r="O5" s="517"/>
      <c r="P5" s="1153"/>
      <c r="Q5" s="1153"/>
      <c r="R5" s="1153"/>
      <c r="S5" s="1153"/>
      <c r="T5" s="1154"/>
      <c r="U5" s="839" t="s">
        <v>232</v>
      </c>
    </row>
    <row r="6" spans="3:21">
      <c r="C6" s="413"/>
      <c r="D6" s="314"/>
      <c r="E6" s="347"/>
      <c r="F6" s="166"/>
      <c r="G6" s="166"/>
      <c r="H6" s="166"/>
      <c r="I6" s="166"/>
      <c r="J6" s="166"/>
      <c r="K6" s="166"/>
      <c r="L6" s="1041"/>
      <c r="M6" s="615"/>
      <c r="N6" s="517"/>
      <c r="O6" s="517"/>
      <c r="P6" s="1153"/>
      <c r="Q6" s="1153"/>
      <c r="R6" s="1153"/>
      <c r="S6" s="1153"/>
      <c r="T6" s="1154"/>
      <c r="U6" s="839" t="s">
        <v>140</v>
      </c>
    </row>
    <row r="7" spans="3:21">
      <c r="C7" s="173" t="s">
        <v>168</v>
      </c>
      <c r="D7" s="718"/>
      <c r="E7" s="333"/>
      <c r="F7" s="128"/>
      <c r="G7" s="128"/>
      <c r="H7" s="128"/>
      <c r="I7" s="128"/>
      <c r="J7" s="128"/>
      <c r="K7" s="128"/>
      <c r="L7" s="475"/>
      <c r="M7" s="883" t="s">
        <v>119</v>
      </c>
      <c r="N7" s="849"/>
      <c r="O7" s="532"/>
      <c r="P7" s="160" t="str">
        <f>direcciondelaobra&amp;", "&amp;ciudaddelaobra&amp;", "&amp;estadodelaobra</f>
        <v xml:space="preserve"> CALLE MAGNOLIA, ESQ. CON CALLE GERANIO, COL SATÉLITE, CUERNAVACA, Morelos</v>
      </c>
      <c r="Q7" s="547"/>
      <c r="R7" s="982"/>
      <c r="S7" s="622"/>
      <c r="T7" s="668"/>
      <c r="U7" s="732" t="s">
        <v>400</v>
      </c>
    </row>
    <row r="8" spans="3:21">
      <c r="C8" s="451" t="str">
        <f>razonsocial</f>
        <v>COMDIFIER S. R. L. DE C.V.</v>
      </c>
      <c r="D8" s="314"/>
      <c r="E8" s="305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961"/>
      <c r="Q8" s="272" t="str">
        <f>responsable</f>
        <v>ARQ. JORGE PULIDO GUZMÁNN</v>
      </c>
      <c r="R8" s="272"/>
      <c r="S8" s="272"/>
      <c r="T8" s="743" t="s">
        <v>168</v>
      </c>
      <c r="U8" s="607" t="s">
        <v>168</v>
      </c>
    </row>
    <row r="9" spans="3:21" ht="13.5" thickBot="1">
      <c r="C9" s="524" t="s">
        <v>104</v>
      </c>
      <c r="D9" s="84"/>
      <c r="E9" s="346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427"/>
      <c r="Q9" s="263" t="str">
        <f>cargo</f>
        <v>REPRESENTANTE LEGAL</v>
      </c>
      <c r="R9" s="263"/>
      <c r="S9" s="263"/>
      <c r="T9" s="427" t="s">
        <v>168</v>
      </c>
      <c r="U9" s="723" t="s">
        <v>60</v>
      </c>
    </row>
    <row r="10" spans="3:21" ht="13.5" thickTop="1">
      <c r="D10" s="88" t="str">
        <f>IF(ModeloCalculoFinanciamiento=1,"DETERMINACION DEL PORCENTAJE DE FINANCIAMIENTO (IMPORTE TOTAL DE OBRA)","DETERMINACION DEL PORCENTAJE DE FINANCIAMIENTO (COSTO DIRECTO + INDIRECTO DE OBRA)")</f>
        <v>DETERMINACION DEL PORCENTAJE DE FINANCIAMIENTO (COSTO DIRECTO + INDIRECTO DE OBRA)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3:21">
      <c r="D11" s="147"/>
      <c r="E11" s="147"/>
      <c r="F11" s="86" t="s">
        <v>22</v>
      </c>
      <c r="G11" s="86"/>
      <c r="H11" s="86"/>
      <c r="I11" s="86"/>
      <c r="J11" s="86"/>
      <c r="K11" s="86"/>
      <c r="L11" s="147"/>
      <c r="M11" s="147"/>
      <c r="N11" s="147"/>
      <c r="O11" s="147"/>
      <c r="P11" s="419">
        <f>fechainicio</f>
        <v>45367</v>
      </c>
      <c r="Q11" s="86" t="s">
        <v>14</v>
      </c>
      <c r="R11" s="419">
        <f>fechaterminacion</f>
        <v>45456</v>
      </c>
      <c r="S11" s="807" t="s">
        <v>200</v>
      </c>
      <c r="T11" s="399" t="str">
        <f>plazocalculado&amp;" Dias"</f>
        <v>90 Dias</v>
      </c>
    </row>
    <row r="12" spans="3:21">
      <c r="D12" s="147"/>
      <c r="E12" s="147"/>
      <c r="F12" s="86"/>
      <c r="G12" s="86"/>
      <c r="H12" s="86"/>
      <c r="I12" s="86"/>
      <c r="J12" s="86"/>
      <c r="K12" s="86"/>
      <c r="L12" s="147"/>
      <c r="M12" s="147"/>
      <c r="N12" s="147"/>
      <c r="O12" s="147"/>
      <c r="P12" s="398"/>
      <c r="Q12" s="86"/>
      <c r="R12" s="398"/>
      <c r="S12" s="807"/>
      <c r="T12" s="399"/>
    </row>
    <row r="13" spans="3:21">
      <c r="D13" s="782"/>
      <c r="E13" s="482"/>
      <c r="F13" s="121" t="s">
        <v>35</v>
      </c>
      <c r="G13" s="121"/>
      <c r="H13" s="121"/>
      <c r="I13" s="121"/>
      <c r="J13" s="121"/>
      <c r="K13" s="121"/>
      <c r="L13" s="121"/>
      <c r="M13" s="121"/>
      <c r="N13" s="121"/>
      <c r="O13" s="121"/>
      <c r="P13" s="569">
        <f>Costo_directo</f>
        <v>512199.43</v>
      </c>
      <c r="Q13" s="482"/>
      <c r="R13" s="121" t="s">
        <v>489</v>
      </c>
      <c r="S13" s="512">
        <f>TasaInteres/100</f>
        <v>8.0500000000000002E-2</v>
      </c>
      <c r="T13" s="313" t="s">
        <v>155</v>
      </c>
      <c r="U13" s="449"/>
    </row>
    <row r="14" spans="3:21">
      <c r="D14" s="782"/>
      <c r="E14" s="538"/>
      <c r="F14" s="75" t="s">
        <v>496</v>
      </c>
      <c r="G14" s="75"/>
      <c r="H14" s="75"/>
      <c r="I14" s="75"/>
      <c r="J14" s="75"/>
      <c r="K14" s="75"/>
      <c r="L14" s="75"/>
      <c r="M14" s="75"/>
      <c r="N14" s="75"/>
      <c r="O14" s="75"/>
      <c r="P14" s="853">
        <f>Porcentaje_Indirecto</f>
        <v>0.12979399999999999</v>
      </c>
      <c r="Q14" s="538"/>
      <c r="R14" s="75" t="s">
        <v>158</v>
      </c>
      <c r="S14" s="1084">
        <f>PuntosBanco/100</f>
        <v>0.08</v>
      </c>
      <c r="T14" s="991">
        <f>(S13+S14)/DIAS_DEL_AÑO*DiasPagoEstimaciones</f>
        <v>1.8029E-2</v>
      </c>
      <c r="U14" s="777" t="s">
        <v>168</v>
      </c>
    </row>
    <row r="15" spans="3:21">
      <c r="D15" s="782"/>
      <c r="E15" s="538"/>
      <c r="F15" s="75" t="s">
        <v>438</v>
      </c>
      <c r="G15" s="75"/>
      <c r="H15" s="75"/>
      <c r="I15" s="75"/>
      <c r="J15" s="75"/>
      <c r="K15" s="75"/>
      <c r="L15" s="75"/>
      <c r="M15" s="75"/>
      <c r="N15" s="75"/>
      <c r="O15" s="75"/>
      <c r="P15" s="963">
        <f>CostoDirectoMasIndirecto</f>
        <v>578679.65</v>
      </c>
      <c r="Q15" s="504"/>
      <c r="R15" s="75" t="s">
        <v>399</v>
      </c>
      <c r="S15" s="527">
        <f>(S13+S14)/DIAS_DEL_AÑO</f>
        <v>4.4000000000000002E-4</v>
      </c>
      <c r="T15" s="783" t="s">
        <v>353</v>
      </c>
      <c r="U15" s="871"/>
    </row>
    <row r="16" spans="3:21">
      <c r="D16" s="92"/>
      <c r="E16" s="747"/>
      <c r="F16" s="130" t="s">
        <v>437</v>
      </c>
      <c r="G16" s="130"/>
      <c r="H16" s="130"/>
      <c r="I16" s="130"/>
      <c r="J16" s="130"/>
      <c r="K16" s="130"/>
      <c r="L16" s="130"/>
      <c r="M16" s="130"/>
      <c r="N16" s="130"/>
      <c r="O16" s="130"/>
      <c r="P16" s="764">
        <f>Importe_TotalObra</f>
        <v>2842797.73</v>
      </c>
      <c r="Q16" s="693"/>
      <c r="R16" s="755" t="s">
        <v>81</v>
      </c>
      <c r="S16" s="635">
        <f>DiasPagoEstimaciones</f>
        <v>41</v>
      </c>
      <c r="T16" s="665"/>
      <c r="U16" s="1033"/>
    </row>
    <row r="17" spans="2:22">
      <c r="D17" s="92"/>
      <c r="E17" s="88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5"/>
      <c r="Q17" s="206"/>
      <c r="R17" s="291"/>
      <c r="S17" s="291" t="str">
        <f>IF(Intereses_a_considerar=1,"",IF(Tipo_de_Tasa=2,"TASA PASIVA:",""))</f>
        <v/>
      </c>
      <c r="T17" s="512">
        <f>IF(Intereses_a_considerar=1,0,IF(Tipo_de_Tasa=2,S13,0))</f>
        <v>0</v>
      </c>
      <c r="U17" s="212"/>
    </row>
    <row r="18" spans="2:22">
      <c r="D18" s="92"/>
      <c r="E18" s="88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5"/>
      <c r="Q18" s="206"/>
      <c r="R18" s="291"/>
      <c r="S18" s="291" t="str">
        <f>IF(Intereses_a_considerar=1,"",IF(Tipo_de_Tasa=2,"TASA DE INTERES DIARIA PASIVA:",""))</f>
        <v/>
      </c>
      <c r="T18" s="527">
        <f>(T17)/DIAS_DEL_AÑO</f>
        <v>0</v>
      </c>
      <c r="U18" s="212"/>
    </row>
    <row r="19" spans="2:22" ht="12.75" customHeight="1">
      <c r="D19" s="92"/>
      <c r="E19" s="88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5"/>
      <c r="Q19" s="206"/>
      <c r="R19" s="919"/>
      <c r="S19" s="291" t="str">
        <f>IF(Intereses_a_considerar=1,"",IF(Tipo_de_Tasa=2,"% APLICABLE AL PERIODO CON IMPORTE POSITIVOS :",""))</f>
        <v/>
      </c>
      <c r="T19" s="527">
        <f>(T17)/DIAS_DEL_AÑO*DiasPagoEstimaciones</f>
        <v>0</v>
      </c>
      <c r="U19" s="212"/>
    </row>
    <row r="20" spans="2:22">
      <c r="E20" s="510" t="s">
        <v>271</v>
      </c>
      <c r="F20" s="374"/>
      <c r="G20" s="809"/>
      <c r="H20" s="141"/>
      <c r="I20" s="141"/>
      <c r="J20" s="141"/>
      <c r="K20" s="141"/>
      <c r="L20" s="866"/>
      <c r="M20" s="612"/>
      <c r="N20" s="411"/>
      <c r="O20" s="411"/>
      <c r="P20" s="994" t="s">
        <v>20</v>
      </c>
      <c r="Q20" s="374"/>
      <c r="R20" s="766" t="s">
        <v>340</v>
      </c>
      <c r="S20" s="374"/>
      <c r="T20" s="313" t="s">
        <v>374</v>
      </c>
      <c r="U20" s="449"/>
    </row>
    <row r="21" spans="2:22">
      <c r="E21" s="239" t="str">
        <f>DatosObra!B105</f>
        <v>EJERCICIO</v>
      </c>
      <c r="F21" s="382" t="str">
        <f>DatosObra!C105</f>
        <v/>
      </c>
      <c r="G21" s="504"/>
      <c r="H21" s="206"/>
      <c r="I21" s="206"/>
      <c r="J21" s="206"/>
      <c r="K21" s="206"/>
      <c r="L21" s="206"/>
      <c r="M21" s="239"/>
      <c r="N21" s="372"/>
      <c r="O21" s="372"/>
      <c r="P21" s="372" t="str">
        <f>DatosObra!D105</f>
        <v>EJERCICIO</v>
      </c>
      <c r="Q21" s="382" t="str">
        <f>DatosObra!E105</f>
        <v/>
      </c>
      <c r="R21" s="239" t="str">
        <f>DatosObra!F105</f>
        <v>EJERCICIO</v>
      </c>
      <c r="S21" s="382" t="str">
        <f>DatosObra!G105</f>
        <v/>
      </c>
      <c r="T21" s="1172" t="str">
        <f>IndicadorEcon1</f>
        <v>CETES</v>
      </c>
      <c r="U21" s="1173"/>
    </row>
    <row r="22" spans="2:22">
      <c r="E22" s="435">
        <f>PorcentajeAnticipo1</f>
        <v>0.3</v>
      </c>
      <c r="F22" s="435">
        <f>PorcentajeAnticipo2</f>
        <v>0</v>
      </c>
      <c r="G22" s="945"/>
      <c r="H22" s="269"/>
      <c r="I22" s="269"/>
      <c r="J22" s="269"/>
      <c r="K22" s="269"/>
      <c r="L22" s="786"/>
      <c r="M22" s="835"/>
      <c r="N22" s="502"/>
      <c r="O22" s="502"/>
      <c r="P22" s="754">
        <f>MontoEjercer1</f>
        <v>578679.65</v>
      </c>
      <c r="Q22" s="459">
        <f>MontoEjercer2</f>
        <v>0</v>
      </c>
      <c r="R22" s="854">
        <f>ImporteAnticipo1</f>
        <v>173603.9</v>
      </c>
      <c r="S22" s="459">
        <f>ImporteAnticipo2</f>
        <v>0</v>
      </c>
      <c r="T22" s="1174"/>
      <c r="U22" s="1175"/>
    </row>
    <row r="23" spans="2:22" ht="12.75" customHeight="1">
      <c r="E23" s="224"/>
      <c r="F23" s="202"/>
      <c r="G23" s="202"/>
      <c r="H23" s="202"/>
      <c r="I23" s="202"/>
      <c r="J23" s="202"/>
      <c r="K23" s="202"/>
      <c r="L23" s="224"/>
      <c r="M23" s="224"/>
      <c r="N23" s="224"/>
      <c r="O23" s="224"/>
      <c r="P23" s="791"/>
      <c r="Q23" s="1025"/>
      <c r="R23" s="506"/>
      <c r="S23" s="506"/>
      <c r="T23" s="608"/>
    </row>
    <row r="24" spans="2:22" ht="12.75" customHeight="1">
      <c r="E24" s="1165" t="s">
        <v>321</v>
      </c>
      <c r="F24" s="1166"/>
      <c r="G24" s="141"/>
      <c r="H24" s="141"/>
      <c r="I24" s="141"/>
      <c r="J24" s="141"/>
      <c r="K24" s="141"/>
      <c r="L24" s="601"/>
      <c r="M24" s="629"/>
      <c r="N24" s="284"/>
      <c r="O24" s="284"/>
      <c r="P24" s="667"/>
      <c r="Q24" s="469"/>
      <c r="R24" s="902"/>
      <c r="S24" s="1165" t="s">
        <v>128</v>
      </c>
      <c r="T24" s="1166"/>
    </row>
    <row r="25" spans="2:22" ht="12.75" customHeight="1">
      <c r="E25" s="1165" t="str">
        <f>E21</f>
        <v>EJERCICIO</v>
      </c>
      <c r="F25" s="1166"/>
      <c r="G25" s="247"/>
      <c r="H25" s="247"/>
      <c r="I25" s="247"/>
      <c r="J25" s="247"/>
      <c r="K25" s="247"/>
      <c r="L25" s="601"/>
      <c r="M25" s="914"/>
      <c r="N25" s="495"/>
      <c r="O25" s="495"/>
      <c r="P25" s="431"/>
      <c r="Q25" s="453" t="s">
        <v>137</v>
      </c>
      <c r="R25" s="430">
        <f>IF(TipoDeAnticipo=1,0,ImporteAnticipo1-MAX(N32:N41)+ImporteAnticipo2)</f>
        <v>0</v>
      </c>
      <c r="S25" s="1165" t="str">
        <f>F21</f>
        <v/>
      </c>
      <c r="T25" s="1166"/>
    </row>
    <row r="26" spans="2:22" ht="12.75" customHeight="1">
      <c r="E26" s="510" t="s">
        <v>427</v>
      </c>
      <c r="F26" s="987"/>
      <c r="G26" s="247"/>
      <c r="H26" s="247"/>
      <c r="I26" s="247"/>
      <c r="J26" s="247"/>
      <c r="K26" s="247"/>
      <c r="L26" s="601"/>
      <c r="M26" s="313"/>
      <c r="N26" s="284"/>
      <c r="O26" s="284"/>
      <c r="P26" s="944"/>
      <c r="Q26" s="469"/>
      <c r="R26" s="1064"/>
      <c r="S26" s="1165" t="s">
        <v>13</v>
      </c>
      <c r="T26" s="1166"/>
    </row>
    <row r="27" spans="2:22" ht="12.75" customHeight="1">
      <c r="E27" s="507">
        <f>ImporteAnticipo1/(MontoEjercer1+MontoEjercer2)</f>
        <v>0.3</v>
      </c>
      <c r="F27" s="987"/>
      <c r="G27" s="247"/>
      <c r="H27" s="247"/>
      <c r="I27" s="247"/>
      <c r="J27" s="247"/>
      <c r="K27" s="247"/>
      <c r="L27" s="1067"/>
      <c r="M27" s="947"/>
      <c r="N27" s="523"/>
      <c r="O27" s="523"/>
      <c r="P27" s="431"/>
      <c r="Q27" s="453" t="s">
        <v>49</v>
      </c>
      <c r="R27" s="430">
        <f>IF(TipoDeAnticipo=1,0,ImporteParaFinanciamiento-MAX(G32:G41))</f>
        <v>0</v>
      </c>
      <c r="S27" s="507">
        <f>IF(ImporteEjecutar2doAnt=0,0,IF(TipoDeAnticipo=1,0,IF(TipoDeAnticipo=2,SaldoporAmortizar,IF(TipoDeAnticipo=3,SaldoporAmortizar,0)))/ImporteEjecutar2doAnt)</f>
        <v>0</v>
      </c>
      <c r="T27" s="850" t="s">
        <v>168</v>
      </c>
    </row>
    <row r="28" spans="2:22" ht="13.5" thickBot="1">
      <c r="C28" s="221"/>
      <c r="D28" s="147"/>
      <c r="E28" s="147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719"/>
      <c r="Q28" s="1089"/>
      <c r="R28" s="730"/>
      <c r="S28" s="399"/>
      <c r="T28" s="147"/>
    </row>
    <row r="29" spans="2:22" ht="13.5" thickTop="1">
      <c r="B29" s="583" t="s">
        <v>52</v>
      </c>
      <c r="C29" s="1066" t="s">
        <v>361</v>
      </c>
      <c r="D29" s="906"/>
      <c r="E29" s="1167" t="str">
        <f>IF(ModeloCalculoFinanciamiento=1,"INGRESOS A IMPORTE TOTAL DE OBRA","INGRESOS A COSTO DIRECTO +INDIRECTO")</f>
        <v>INGRESOS A COSTO DIRECTO +INDIRECTO</v>
      </c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9"/>
      <c r="Q29" s="1170" t="s">
        <v>185</v>
      </c>
      <c r="R29" s="1171"/>
      <c r="S29" s="1167" t="s">
        <v>136</v>
      </c>
      <c r="T29" s="1169"/>
      <c r="U29" s="1069"/>
    </row>
    <row r="30" spans="2:22" ht="26.25" customHeight="1" thickBot="1">
      <c r="B30" s="970" t="s">
        <v>70</v>
      </c>
      <c r="C30" s="426" t="s">
        <v>311</v>
      </c>
      <c r="D30" s="426" t="s">
        <v>361</v>
      </c>
      <c r="E30" s="359" t="s">
        <v>271</v>
      </c>
      <c r="F30" s="280" t="s">
        <v>201</v>
      </c>
      <c r="G30" s="365" t="s">
        <v>254</v>
      </c>
      <c r="H30" s="365" t="s">
        <v>212</v>
      </c>
      <c r="I30" s="365" t="s">
        <v>387</v>
      </c>
      <c r="J30" s="334" t="s">
        <v>386</v>
      </c>
      <c r="K30" s="334" t="s">
        <v>282</v>
      </c>
      <c r="L30" s="280" t="s">
        <v>474</v>
      </c>
      <c r="M30" s="280" t="s">
        <v>442</v>
      </c>
      <c r="N30" s="334" t="s">
        <v>184</v>
      </c>
      <c r="O30" s="632" t="s">
        <v>421</v>
      </c>
      <c r="P30" s="280" t="s">
        <v>18</v>
      </c>
      <c r="Q30" s="359" t="s">
        <v>192</v>
      </c>
      <c r="R30" s="406" t="s">
        <v>317</v>
      </c>
      <c r="S30" s="359" t="s">
        <v>255</v>
      </c>
      <c r="T30" s="406" t="s">
        <v>354</v>
      </c>
      <c r="U30" s="1080" t="s">
        <v>409</v>
      </c>
    </row>
    <row r="31" spans="2:22" ht="13.5" thickTop="1">
      <c r="B31" s="384"/>
      <c r="C31" s="384"/>
      <c r="D31" s="384">
        <v>0</v>
      </c>
      <c r="E31" s="737">
        <f>ImporteAnticipo1</f>
        <v>173603.9</v>
      </c>
      <c r="F31" s="154">
        <v>0</v>
      </c>
      <c r="G31" s="154"/>
      <c r="H31" s="154"/>
      <c r="I31" s="154"/>
      <c r="J31" s="154"/>
      <c r="K31" s="154"/>
      <c r="L31" s="154"/>
      <c r="M31" s="154"/>
      <c r="N31" s="418"/>
      <c r="O31" s="418"/>
      <c r="P31" s="358">
        <f>E31</f>
        <v>173603.9</v>
      </c>
      <c r="Q31" s="819">
        <v>0</v>
      </c>
      <c r="R31" s="358">
        <f>AnticipoInicialProveedor</f>
        <v>0</v>
      </c>
      <c r="S31" s="674">
        <f t="shared" ref="S31:S99" si="0">P31-(Q31+R31)</f>
        <v>173603.9</v>
      </c>
      <c r="T31" s="358">
        <f>S31</f>
        <v>173603.9</v>
      </c>
      <c r="U31" s="609">
        <v>0</v>
      </c>
    </row>
    <row r="32" spans="2:22">
      <c r="B32" s="424">
        <v>1</v>
      </c>
      <c r="C32" s="424">
        <f>IF(Programa!D13&gt;0,1,"")</f>
        <v>1</v>
      </c>
      <c r="D32" s="692" t="str">
        <f>IF(C32&lt;&gt;0,Programa!C13," ")</f>
        <v>Mes1</v>
      </c>
      <c r="E32" s="1046">
        <v>0</v>
      </c>
      <c r="F32" s="184">
        <f>ImporteParaFinanciamiento*Programa!N13</f>
        <v>9552.2199999999993</v>
      </c>
      <c r="G32" s="184">
        <f>IF(PeriodoEntregaAnticipo2&gt;B32,F32,0)</f>
        <v>0</v>
      </c>
      <c r="H32" s="184">
        <f>IF(PeriodosProgramados&gt;=B32,IF(E32=0,ImporteParaFinanciamiento-G32,0),0)</f>
        <v>578679.65</v>
      </c>
      <c r="I32" s="184">
        <f t="shared" ref="I32:I99" si="1">IF(PeriodoEntregaAnticipo2=B32+1,H32,0)</f>
        <v>0</v>
      </c>
      <c r="J32" s="184">
        <f t="shared" ref="J32:J99" si="2">IF(AND(B32&gt;=PeriodoInicialCobro,B32&lt;=PeriodoFinalCobro),1,0)</f>
        <v>0</v>
      </c>
      <c r="K32" s="184">
        <f>IF(PeriodoInicialCobro=1,F32*J32,0)</f>
        <v>0</v>
      </c>
      <c r="L32" s="890">
        <f t="shared" ref="L32:L99" si="3">IF(PeriodoEntregaAnticipo2=0,PorcentajeAmortizacion1*J32,IF(B32&lt;PeriodoAmortizacionP2,PorcentajeAmortizacion1*J32,PorcentajeAmortizacion2*J32))</f>
        <v>0</v>
      </c>
      <c r="M32" s="184">
        <f t="shared" ref="M32:M99" si="4">K32*L32</f>
        <v>0</v>
      </c>
      <c r="N32" s="452">
        <f>IF(PeriodoAmortizacionP2&gt;B32,M32,0)</f>
        <v>0</v>
      </c>
      <c r="O32" s="452">
        <f t="shared" ref="O32:O99" si="5">K32-M32</f>
        <v>0</v>
      </c>
      <c r="P32" s="535">
        <f t="shared" ref="P32:P99" si="6">E32+(K32-M32)</f>
        <v>0</v>
      </c>
      <c r="Q32" s="670">
        <f>CostoDirectoMasIndirecto*Programa!N13</f>
        <v>9552.2199999999993</v>
      </c>
      <c r="R32" s="646">
        <f>'f)Financ_Horizontal'!D28</f>
        <v>0</v>
      </c>
      <c r="S32" s="674">
        <f t="shared" si="0"/>
        <v>-9552.2199999999993</v>
      </c>
      <c r="T32" s="535">
        <f t="shared" ref="T32:T99" si="7">IF(B32&lt;=PeriodoFinalCobro,S32+T31,0)</f>
        <v>164051.68</v>
      </c>
      <c r="U32" s="609">
        <f t="shared" ref="U32:U99" si="8">ROUND(IF(Intereses_a_considerar=1,IF(T32&lt;0,T32*PorcentajeAplicablePeriodo,0),IF(T32&lt;0,T32*PorcentajeAplicablePeriodo,IF(Tipo_de_Tasa=1,T32*PorcentajeAplicablePeriodo,T32*Porcentaje_Aplicable_TasaPasiva))),2)</f>
        <v>0</v>
      </c>
      <c r="V32" s="207"/>
    </row>
    <row r="33" spans="2:22">
      <c r="B33" s="424">
        <v>2</v>
      </c>
      <c r="C33" s="424">
        <f>IF(Programa!D14&gt;0,1+C32,"")</f>
        <v>2</v>
      </c>
      <c r="D33" s="692" t="str">
        <f>IF(C33&lt;&gt;0,Programa!C14," ")</f>
        <v>Mes2</v>
      </c>
      <c r="E33" s="1046">
        <f>IF(PeriodoEntregaAnticipo2=2,ImporteAnticipo2,0)</f>
        <v>0</v>
      </c>
      <c r="F33" s="184">
        <f>ImporteParaFinanciamiento*Programa!N14</f>
        <v>193084.98</v>
      </c>
      <c r="G33" s="184">
        <f t="shared" ref="G33:G99" si="9">IF(PeriodoEntregaAnticipo2&gt;B33,F33+G32,0)</f>
        <v>0</v>
      </c>
      <c r="H33" s="184">
        <f t="shared" ref="H33:H99" si="10">IF(H32=0,0,IF(PeriodosProgramados&gt;=B33,IF(E33=0,ImporteParaFinanciamiento-G33,0),0))</f>
        <v>578679.65</v>
      </c>
      <c r="I33" s="184">
        <f t="shared" si="1"/>
        <v>0</v>
      </c>
      <c r="J33" s="184">
        <f t="shared" si="2"/>
        <v>0</v>
      </c>
      <c r="K33" s="184">
        <f>IF(PeriodoInicialCobro=1,F33*J33,IF(PeriodoInicialCobro=2,F32*J33,0))</f>
        <v>0</v>
      </c>
      <c r="L33" s="890">
        <f t="shared" si="3"/>
        <v>0</v>
      </c>
      <c r="M33" s="184">
        <f t="shared" si="4"/>
        <v>0</v>
      </c>
      <c r="N33" s="452">
        <f t="shared" ref="N33:N99" si="11">IF(PeriodoAmortizacionP2&gt;B33,M33+N32,0)</f>
        <v>0</v>
      </c>
      <c r="O33" s="452">
        <f t="shared" si="5"/>
        <v>0</v>
      </c>
      <c r="P33" s="535">
        <f t="shared" si="6"/>
        <v>0</v>
      </c>
      <c r="Q33" s="670">
        <f>CostoDirectoMasIndirecto*Programa!N14</f>
        <v>193084.98</v>
      </c>
      <c r="R33" s="646">
        <f>'f)Financ_Horizontal'!D28</f>
        <v>0</v>
      </c>
      <c r="S33" s="674">
        <f t="shared" si="0"/>
        <v>-193084.98</v>
      </c>
      <c r="T33" s="535">
        <f t="shared" si="7"/>
        <v>-29033.3</v>
      </c>
      <c r="U33" s="609">
        <f t="shared" si="8"/>
        <v>-523.44000000000005</v>
      </c>
      <c r="V33" s="207"/>
    </row>
    <row r="34" spans="2:22">
      <c r="B34" s="424">
        <v>3</v>
      </c>
      <c r="C34" s="424">
        <f>IF(Programa!D15&gt;0,1+C33,"")</f>
        <v>3</v>
      </c>
      <c r="D34" s="692" t="str">
        <f>IF(C34&lt;&gt;0,Programa!C15," ")</f>
        <v>Mes3</v>
      </c>
      <c r="E34" s="1046">
        <f>IF(PeriodoEntregaAnticipo2=3,ImporteAnticipo2,0)</f>
        <v>0</v>
      </c>
      <c r="F34" s="184">
        <f>ImporteParaFinanciamiento*Programa!N15</f>
        <v>205855.48</v>
      </c>
      <c r="G34" s="184">
        <f t="shared" si="9"/>
        <v>0</v>
      </c>
      <c r="H34" s="184">
        <f t="shared" si="10"/>
        <v>578679.65</v>
      </c>
      <c r="I34" s="184">
        <f t="shared" si="1"/>
        <v>0</v>
      </c>
      <c r="J34" s="184">
        <f t="shared" si="2"/>
        <v>1</v>
      </c>
      <c r="K34" s="184">
        <f>IF(PeriodoInicialCobro=1,F34*J34,IF(PeriodoInicialCobro=2,F33*J34,IF(PeriodoInicialCobro=3,F32*J34,0)))</f>
        <v>9552.2199999999993</v>
      </c>
      <c r="L34" s="890">
        <f t="shared" si="3"/>
        <v>0.3</v>
      </c>
      <c r="M34" s="184">
        <f t="shared" si="4"/>
        <v>2865.67</v>
      </c>
      <c r="N34" s="452">
        <f t="shared" si="11"/>
        <v>0</v>
      </c>
      <c r="O34" s="452">
        <f t="shared" si="5"/>
        <v>6686.55</v>
      </c>
      <c r="P34" s="535">
        <f t="shared" si="6"/>
        <v>6686.55</v>
      </c>
      <c r="Q34" s="670">
        <f>CostoDirectoMasIndirecto*Programa!N15</f>
        <v>205855.48</v>
      </c>
      <c r="R34" s="646">
        <f>'f)Financ_Horizontal'!E$28</f>
        <v>0</v>
      </c>
      <c r="S34" s="674">
        <f t="shared" si="0"/>
        <v>-199168.93</v>
      </c>
      <c r="T34" s="535">
        <f t="shared" si="7"/>
        <v>-228202.23</v>
      </c>
      <c r="U34" s="609">
        <f t="shared" si="8"/>
        <v>-4114.26</v>
      </c>
      <c r="V34" s="207"/>
    </row>
    <row r="35" spans="2:22">
      <c r="B35" s="424">
        <v>4</v>
      </c>
      <c r="C35" s="424" t="str">
        <f>IF(Programa!D16&gt;0,1+C34,"")</f>
        <v/>
      </c>
      <c r="D35" s="692">
        <f>IF(C35&lt;&gt;0,Programa!C16," ")</f>
        <v>0</v>
      </c>
      <c r="E35" s="1046">
        <f>IF(PeriodoEntregaAnticipo2=4,ImporteAnticipo2,0)</f>
        <v>0</v>
      </c>
      <c r="F35" s="184">
        <f>ImporteParaFinanciamiento*Programa!N16</f>
        <v>0</v>
      </c>
      <c r="G35" s="184">
        <f t="shared" si="9"/>
        <v>0</v>
      </c>
      <c r="H35" s="184">
        <f t="shared" si="10"/>
        <v>0</v>
      </c>
      <c r="I35" s="184">
        <f t="shared" si="1"/>
        <v>0</v>
      </c>
      <c r="J35" s="184">
        <f t="shared" si="2"/>
        <v>1</v>
      </c>
      <c r="K35" s="184">
        <f>IF(PeriodoInicialCobro=1,F35*J35,IF(PeriodoInicialCobro=2,F34*J35,IF(PeriodoInicialCobro=3,F33*J35,IF(PeriodoInicialCobro=4,F32*J35,0))))</f>
        <v>193084.98</v>
      </c>
      <c r="L35" s="890">
        <f t="shared" si="3"/>
        <v>0.3</v>
      </c>
      <c r="M35" s="184">
        <f t="shared" si="4"/>
        <v>57925.49</v>
      </c>
      <c r="N35" s="452">
        <f t="shared" si="11"/>
        <v>0</v>
      </c>
      <c r="O35" s="452">
        <f t="shared" si="5"/>
        <v>135159.49</v>
      </c>
      <c r="P35" s="535">
        <f t="shared" si="6"/>
        <v>135159.49</v>
      </c>
      <c r="Q35" s="670">
        <f>CostoDirectoMasIndirecto*Programa!N16</f>
        <v>0</v>
      </c>
      <c r="R35" s="646">
        <f>'f)Financ_Horizontal'!F$28</f>
        <v>0</v>
      </c>
      <c r="S35" s="674">
        <f t="shared" si="0"/>
        <v>135159.49</v>
      </c>
      <c r="T35" s="535">
        <f t="shared" si="7"/>
        <v>-93042.74</v>
      </c>
      <c r="U35" s="609">
        <f t="shared" si="8"/>
        <v>-1677.47</v>
      </c>
      <c r="V35" s="207"/>
    </row>
    <row r="36" spans="2:22">
      <c r="B36" s="424">
        <v>5</v>
      </c>
      <c r="C36" s="424" t="str">
        <f>IF(Programa!D17&gt;0,1+C35,"")</f>
        <v/>
      </c>
      <c r="D36" s="692">
        <f>IF(C36&lt;&gt;0,Programa!C17," ")</f>
        <v>0</v>
      </c>
      <c r="E36" s="1046">
        <f>IF(PeriodoEntregaAnticipo2=5,ImporteAnticipo2,0)</f>
        <v>0</v>
      </c>
      <c r="F36" s="184">
        <f>ImporteParaFinanciamiento*Programa!N17</f>
        <v>0</v>
      </c>
      <c r="G36" s="184">
        <f t="shared" si="9"/>
        <v>0</v>
      </c>
      <c r="H36" s="184">
        <f t="shared" si="10"/>
        <v>0</v>
      </c>
      <c r="I36" s="184">
        <f t="shared" si="1"/>
        <v>0</v>
      </c>
      <c r="J36" s="184">
        <f t="shared" si="2"/>
        <v>1</v>
      </c>
      <c r="K36" s="184">
        <f>IF(PeriodoInicialCobro=1,F36*J36,IF(PeriodoInicialCobro=2,F35*J36,IF(PeriodoInicialCobro=3,F34*J36,IF(PeriodoInicialCobro=4,F33*J36,IF(PeriodoInicialCobro=5,F32*J36,0)))))</f>
        <v>205855.48</v>
      </c>
      <c r="L36" s="890">
        <f t="shared" si="3"/>
        <v>0.3</v>
      </c>
      <c r="M36" s="184">
        <f t="shared" si="4"/>
        <v>61756.639999999999</v>
      </c>
      <c r="N36" s="452">
        <f t="shared" si="11"/>
        <v>0</v>
      </c>
      <c r="O36" s="452">
        <f t="shared" si="5"/>
        <v>144098.84</v>
      </c>
      <c r="P36" s="535">
        <f t="shared" si="6"/>
        <v>144098.84</v>
      </c>
      <c r="Q36" s="670">
        <f>CostoDirectoMasIndirecto*Programa!N17</f>
        <v>0</v>
      </c>
      <c r="R36" s="646">
        <f>'f)Financ_Horizontal'!G$28</f>
        <v>0</v>
      </c>
      <c r="S36" s="674">
        <f t="shared" si="0"/>
        <v>144098.84</v>
      </c>
      <c r="T36" s="535">
        <f t="shared" si="7"/>
        <v>51056.1</v>
      </c>
      <c r="U36" s="609">
        <f t="shared" si="8"/>
        <v>0</v>
      </c>
      <c r="V36" s="207"/>
    </row>
    <row r="37" spans="2:22">
      <c r="B37" s="424">
        <v>6</v>
      </c>
      <c r="C37" s="424" t="str">
        <f>IF(Programa!D18&gt;0,1+C36,"")</f>
        <v/>
      </c>
      <c r="D37" s="692">
        <f>IF(C37&lt;&gt;0,Programa!C18," ")</f>
        <v>0</v>
      </c>
      <c r="E37" s="1046">
        <f>IF(PeriodoEntregaAnticipo2=6,ImporteAnticipo2,0)</f>
        <v>0</v>
      </c>
      <c r="F37" s="184">
        <f>ImporteParaFinanciamiento*Programa!N18</f>
        <v>0</v>
      </c>
      <c r="G37" s="184">
        <f t="shared" si="9"/>
        <v>0</v>
      </c>
      <c r="H37" s="184">
        <f t="shared" si="10"/>
        <v>0</v>
      </c>
      <c r="I37" s="184">
        <f t="shared" si="1"/>
        <v>0</v>
      </c>
      <c r="J37" s="184">
        <f t="shared" si="2"/>
        <v>0</v>
      </c>
      <c r="K37" s="184">
        <f>IF(PeriodoInicialCobro=1,F37*J37,IF(PeriodoInicialCobro=2,F36*J37,IF(PeriodoInicialCobro=3,F35*J37,IF(PeriodoInicialCobro=4,F34*J37,IF(PeriodoInicialCobro=5,F33*J37,IF(PeriodoInicialCobro=6,F32*J37,0))))))</f>
        <v>0</v>
      </c>
      <c r="L37" s="890">
        <f t="shared" si="3"/>
        <v>0</v>
      </c>
      <c r="M37" s="184">
        <f t="shared" si="4"/>
        <v>0</v>
      </c>
      <c r="N37" s="452">
        <f t="shared" si="11"/>
        <v>0</v>
      </c>
      <c r="O37" s="452">
        <f t="shared" si="5"/>
        <v>0</v>
      </c>
      <c r="P37" s="535">
        <f t="shared" si="6"/>
        <v>0</v>
      </c>
      <c r="Q37" s="670">
        <f>CostoDirectoMasIndirecto*Programa!N18</f>
        <v>0</v>
      </c>
      <c r="R37" s="646">
        <f>'f)Financ_Horizontal'!H$28</f>
        <v>0</v>
      </c>
      <c r="S37" s="674">
        <f t="shared" si="0"/>
        <v>0</v>
      </c>
      <c r="T37" s="535">
        <f t="shared" si="7"/>
        <v>0</v>
      </c>
      <c r="U37" s="609">
        <f t="shared" si="8"/>
        <v>0</v>
      </c>
      <c r="V37" s="207"/>
    </row>
    <row r="38" spans="2:22">
      <c r="B38" s="424">
        <v>7</v>
      </c>
      <c r="C38" s="424" t="str">
        <f>IF(Programa!D19&gt;0,1+C37,"")</f>
        <v/>
      </c>
      <c r="D38" s="692">
        <f>IF(C38&lt;&gt;0,Programa!C19," ")</f>
        <v>0</v>
      </c>
      <c r="E38" s="1046">
        <f>IF(PeriodoEntregaAnticipo2=7,ImporteAnticipo2,0)</f>
        <v>0</v>
      </c>
      <c r="F38" s="184">
        <f>ImporteParaFinanciamiento*Programa!N19</f>
        <v>0</v>
      </c>
      <c r="G38" s="184">
        <f t="shared" si="9"/>
        <v>0</v>
      </c>
      <c r="H38" s="184">
        <f t="shared" si="10"/>
        <v>0</v>
      </c>
      <c r="I38" s="184">
        <f t="shared" si="1"/>
        <v>0</v>
      </c>
      <c r="J38" s="184">
        <f t="shared" si="2"/>
        <v>0</v>
      </c>
      <c r="K38" s="184">
        <f>IF(PeriodoInicialCobro=1,F38*J38,IF(PeriodoInicialCobro=2,F37*J38,IF(PeriodoInicialCobro=3,F36*J38,IF(PeriodoInicialCobro=4,F35*J38,IF(PeriodoInicialCobro=5,F34*J38,IF(PeriodoInicialCobro=6,F33*J38,IF(PeriodoInicialCobro=7,F32*J38,0)))))))</f>
        <v>0</v>
      </c>
      <c r="L38" s="890">
        <f t="shared" si="3"/>
        <v>0</v>
      </c>
      <c r="M38" s="184">
        <f t="shared" si="4"/>
        <v>0</v>
      </c>
      <c r="N38" s="452">
        <f t="shared" si="11"/>
        <v>0</v>
      </c>
      <c r="O38" s="452">
        <f t="shared" si="5"/>
        <v>0</v>
      </c>
      <c r="P38" s="535">
        <f t="shared" si="6"/>
        <v>0</v>
      </c>
      <c r="Q38" s="670">
        <f>CostoDirectoMasIndirecto*Programa!N19</f>
        <v>0</v>
      </c>
      <c r="R38" s="646">
        <f>'f)Financ_Horizontal'!I$28</f>
        <v>0</v>
      </c>
      <c r="S38" s="674">
        <f t="shared" si="0"/>
        <v>0</v>
      </c>
      <c r="T38" s="535">
        <f t="shared" si="7"/>
        <v>0</v>
      </c>
      <c r="U38" s="609">
        <f t="shared" si="8"/>
        <v>0</v>
      </c>
      <c r="V38" s="207"/>
    </row>
    <row r="39" spans="2:22">
      <c r="B39" s="424">
        <v>8</v>
      </c>
      <c r="C39" s="424" t="str">
        <f>IF(Programa!D20&gt;0,1+C38,"")</f>
        <v/>
      </c>
      <c r="D39" s="692">
        <f>IF(C39&lt;&gt;0,Programa!C20," ")</f>
        <v>0</v>
      </c>
      <c r="E39" s="1046">
        <f>IF(PeriodoEntregaAnticipo2=8,ImporteAnticipo2,0)</f>
        <v>0</v>
      </c>
      <c r="F39" s="184">
        <f>ImporteParaFinanciamiento*Programa!N20</f>
        <v>0</v>
      </c>
      <c r="G39" s="184">
        <f t="shared" si="9"/>
        <v>0</v>
      </c>
      <c r="H39" s="184">
        <f t="shared" si="10"/>
        <v>0</v>
      </c>
      <c r="I39" s="184">
        <f t="shared" si="1"/>
        <v>0</v>
      </c>
      <c r="J39" s="184">
        <f t="shared" si="2"/>
        <v>0</v>
      </c>
      <c r="K39" s="184">
        <f t="shared" ref="K39:K99" si="12">IF(PeriodoInicialCobro=1,F39*J39,IF(PeriodoInicialCobro=2,F38*J39,IF(PeriodoInicialCobro=3,F37*J39,IF(PeriodoInicialCobro=4,F36*J39,IF(PeriodoInicialCobro=5,F35*J39,IF(PeriodoInicialCobro=6,F34*J39,IF(PeriodoInicialCobro=7,F33*J39,IF(PeriodoInicialCobro=8,F32*J39,0))))))))</f>
        <v>0</v>
      </c>
      <c r="L39" s="890">
        <f t="shared" si="3"/>
        <v>0</v>
      </c>
      <c r="M39" s="184">
        <f t="shared" si="4"/>
        <v>0</v>
      </c>
      <c r="N39" s="452">
        <f t="shared" si="11"/>
        <v>0</v>
      </c>
      <c r="O39" s="452">
        <f t="shared" si="5"/>
        <v>0</v>
      </c>
      <c r="P39" s="535">
        <f t="shared" si="6"/>
        <v>0</v>
      </c>
      <c r="Q39" s="670">
        <f>CostoDirectoMasIndirecto*Programa!N20</f>
        <v>0</v>
      </c>
      <c r="R39" s="646">
        <f>'f)Financ_Horizontal'!J$28</f>
        <v>0</v>
      </c>
      <c r="S39" s="674">
        <f t="shared" si="0"/>
        <v>0</v>
      </c>
      <c r="T39" s="535">
        <f t="shared" si="7"/>
        <v>0</v>
      </c>
      <c r="U39" s="609">
        <f t="shared" si="8"/>
        <v>0</v>
      </c>
      <c r="V39" s="207"/>
    </row>
    <row r="40" spans="2:22">
      <c r="B40" s="424">
        <v>9</v>
      </c>
      <c r="C40" s="424" t="str">
        <f>IF(Programa!D21&gt;0,1+C39,"")</f>
        <v/>
      </c>
      <c r="D40" s="692">
        <f>IF(C40&lt;&gt;0,Programa!C21," ")</f>
        <v>0</v>
      </c>
      <c r="E40" s="1046">
        <f>IF(PeriodoEntregaAnticipo2=9,ImporteAnticipo2,0)</f>
        <v>0</v>
      </c>
      <c r="F40" s="184">
        <f>ImporteParaFinanciamiento*Programa!N21</f>
        <v>0</v>
      </c>
      <c r="G40" s="184">
        <f t="shared" si="9"/>
        <v>0</v>
      </c>
      <c r="H40" s="184">
        <f t="shared" si="10"/>
        <v>0</v>
      </c>
      <c r="I40" s="184">
        <f t="shared" si="1"/>
        <v>0</v>
      </c>
      <c r="J40" s="184">
        <f t="shared" si="2"/>
        <v>0</v>
      </c>
      <c r="K40" s="184">
        <f t="shared" si="12"/>
        <v>0</v>
      </c>
      <c r="L40" s="890">
        <f t="shared" si="3"/>
        <v>0</v>
      </c>
      <c r="M40" s="184">
        <f t="shared" si="4"/>
        <v>0</v>
      </c>
      <c r="N40" s="452">
        <f t="shared" si="11"/>
        <v>0</v>
      </c>
      <c r="O40" s="452">
        <f t="shared" si="5"/>
        <v>0</v>
      </c>
      <c r="P40" s="535">
        <f t="shared" si="6"/>
        <v>0</v>
      </c>
      <c r="Q40" s="670">
        <f>CostoDirectoMasIndirecto*Programa!N21</f>
        <v>0</v>
      </c>
      <c r="R40" s="646">
        <f>'f)Financ_Horizontal'!K$28</f>
        <v>0</v>
      </c>
      <c r="S40" s="674">
        <f t="shared" si="0"/>
        <v>0</v>
      </c>
      <c r="T40" s="535">
        <f t="shared" si="7"/>
        <v>0</v>
      </c>
      <c r="U40" s="609">
        <f t="shared" si="8"/>
        <v>0</v>
      </c>
      <c r="V40" s="207"/>
    </row>
    <row r="41" spans="2:22">
      <c r="B41" s="424">
        <v>10</v>
      </c>
      <c r="C41" s="424" t="str">
        <f>IF(Programa!D22&gt;0,1+C40,"")</f>
        <v/>
      </c>
      <c r="D41" s="692">
        <f>IF(C41&lt;&gt;0,Programa!C22," ")</f>
        <v>0</v>
      </c>
      <c r="E41" s="1046">
        <f>IF(PeriodoEntregaAnticipo2=10,ImporteAnticipo2,0)</f>
        <v>0</v>
      </c>
      <c r="F41" s="184">
        <f>ImporteParaFinanciamiento*Programa!N22</f>
        <v>0</v>
      </c>
      <c r="G41" s="184">
        <f t="shared" si="9"/>
        <v>0</v>
      </c>
      <c r="H41" s="184">
        <f t="shared" si="10"/>
        <v>0</v>
      </c>
      <c r="I41" s="184">
        <f t="shared" si="1"/>
        <v>0</v>
      </c>
      <c r="J41" s="184">
        <f t="shared" si="2"/>
        <v>0</v>
      </c>
      <c r="K41" s="184">
        <f t="shared" si="12"/>
        <v>0</v>
      </c>
      <c r="L41" s="890">
        <f t="shared" si="3"/>
        <v>0</v>
      </c>
      <c r="M41" s="184">
        <f t="shared" si="4"/>
        <v>0</v>
      </c>
      <c r="N41" s="452">
        <f t="shared" si="11"/>
        <v>0</v>
      </c>
      <c r="O41" s="452">
        <f t="shared" si="5"/>
        <v>0</v>
      </c>
      <c r="P41" s="535">
        <f t="shared" si="6"/>
        <v>0</v>
      </c>
      <c r="Q41" s="670">
        <f>CostoDirectoMasIndirecto*Programa!N22</f>
        <v>0</v>
      </c>
      <c r="R41" s="646">
        <f>'f)Financ_Horizontal'!L$28</f>
        <v>0</v>
      </c>
      <c r="S41" s="674">
        <f t="shared" si="0"/>
        <v>0</v>
      </c>
      <c r="T41" s="535">
        <f t="shared" si="7"/>
        <v>0</v>
      </c>
      <c r="U41" s="609">
        <f t="shared" si="8"/>
        <v>0</v>
      </c>
      <c r="V41" s="207"/>
    </row>
    <row r="42" spans="2:22" s="23" customFormat="1">
      <c r="B42" s="424">
        <v>11</v>
      </c>
      <c r="C42" s="424" t="str">
        <f>IF(Programa!D23&gt;0,1+C41,"")</f>
        <v/>
      </c>
      <c r="D42" s="692">
        <f>IF(C42&lt;&gt;0,Programa!C23," ")</f>
        <v>0</v>
      </c>
      <c r="E42" s="1046">
        <f>IF(PeriodoEntregaAnticipo2=11,ImporteAnticipo2,0)</f>
        <v>0</v>
      </c>
      <c r="F42" s="184">
        <f>ImporteParaFinanciamiento*Programa!N23</f>
        <v>0</v>
      </c>
      <c r="G42" s="184">
        <f t="shared" si="9"/>
        <v>0</v>
      </c>
      <c r="H42" s="184">
        <f t="shared" si="10"/>
        <v>0</v>
      </c>
      <c r="I42" s="184">
        <f t="shared" si="1"/>
        <v>0</v>
      </c>
      <c r="J42" s="184">
        <f t="shared" si="2"/>
        <v>0</v>
      </c>
      <c r="K42" s="184">
        <f t="shared" si="12"/>
        <v>0</v>
      </c>
      <c r="L42" s="890">
        <f t="shared" si="3"/>
        <v>0</v>
      </c>
      <c r="M42" s="184">
        <f t="shared" si="4"/>
        <v>0</v>
      </c>
      <c r="N42" s="452">
        <f t="shared" si="11"/>
        <v>0</v>
      </c>
      <c r="O42" s="452">
        <f t="shared" si="5"/>
        <v>0</v>
      </c>
      <c r="P42" s="535">
        <f t="shared" si="6"/>
        <v>0</v>
      </c>
      <c r="Q42" s="670">
        <f>CostoDirectoMasIndirecto*Programa!N23</f>
        <v>0</v>
      </c>
      <c r="R42" s="646">
        <f>'f)Financ_Horizontal'!M$28</f>
        <v>0</v>
      </c>
      <c r="S42" s="674">
        <f t="shared" si="0"/>
        <v>0</v>
      </c>
      <c r="T42" s="535">
        <f t="shared" si="7"/>
        <v>0</v>
      </c>
      <c r="U42" s="609">
        <f t="shared" si="8"/>
        <v>0</v>
      </c>
      <c r="V42" s="207"/>
    </row>
    <row r="43" spans="2:22">
      <c r="B43" s="424">
        <v>12</v>
      </c>
      <c r="C43" s="424" t="str">
        <f>IF(Programa!D24&gt;0,1+C42,"")</f>
        <v/>
      </c>
      <c r="D43" s="692">
        <f>IF(C43&lt;&gt;0,Programa!C24," ")</f>
        <v>0</v>
      </c>
      <c r="E43" s="1046">
        <f>IF(PeriodoEntregaAnticipo2=12,ImporteAnticipo2,0)</f>
        <v>0</v>
      </c>
      <c r="F43" s="184">
        <f>ImporteParaFinanciamiento*Programa!N24</f>
        <v>0</v>
      </c>
      <c r="G43" s="184">
        <f t="shared" si="9"/>
        <v>0</v>
      </c>
      <c r="H43" s="184">
        <f t="shared" si="10"/>
        <v>0</v>
      </c>
      <c r="I43" s="184">
        <f t="shared" si="1"/>
        <v>0</v>
      </c>
      <c r="J43" s="184">
        <f t="shared" si="2"/>
        <v>0</v>
      </c>
      <c r="K43" s="184">
        <f t="shared" si="12"/>
        <v>0</v>
      </c>
      <c r="L43" s="890">
        <f t="shared" si="3"/>
        <v>0</v>
      </c>
      <c r="M43" s="184">
        <f t="shared" si="4"/>
        <v>0</v>
      </c>
      <c r="N43" s="452">
        <f t="shared" si="11"/>
        <v>0</v>
      </c>
      <c r="O43" s="452">
        <f t="shared" si="5"/>
        <v>0</v>
      </c>
      <c r="P43" s="535">
        <f t="shared" si="6"/>
        <v>0</v>
      </c>
      <c r="Q43" s="670">
        <f>CostoDirectoMasIndirecto*Programa!N24</f>
        <v>0</v>
      </c>
      <c r="R43" s="646">
        <f>'f)Financ_Horizontal'!N$28</f>
        <v>0</v>
      </c>
      <c r="S43" s="674">
        <f t="shared" si="0"/>
        <v>0</v>
      </c>
      <c r="T43" s="535">
        <f t="shared" si="7"/>
        <v>0</v>
      </c>
      <c r="U43" s="609">
        <f t="shared" si="8"/>
        <v>0</v>
      </c>
      <c r="V43" s="207"/>
    </row>
    <row r="44" spans="2:22">
      <c r="B44" s="424">
        <v>13</v>
      </c>
      <c r="C44" s="424" t="str">
        <f>IF(Programa!D25&gt;0,1+C43,"")</f>
        <v/>
      </c>
      <c r="D44" s="692">
        <f>IF(C44&lt;&gt;0,Programa!C25," ")</f>
        <v>0</v>
      </c>
      <c r="E44" s="1046">
        <f>IF(PeriodoEntregaAnticipo2=13,ImporteAnticipo2,0)</f>
        <v>0</v>
      </c>
      <c r="F44" s="184">
        <f>ImporteParaFinanciamiento*Programa!N25</f>
        <v>0</v>
      </c>
      <c r="G44" s="184">
        <f t="shared" si="9"/>
        <v>0</v>
      </c>
      <c r="H44" s="184">
        <f t="shared" si="10"/>
        <v>0</v>
      </c>
      <c r="I44" s="184">
        <f t="shared" si="1"/>
        <v>0</v>
      </c>
      <c r="J44" s="184">
        <f t="shared" si="2"/>
        <v>0</v>
      </c>
      <c r="K44" s="184">
        <f t="shared" si="12"/>
        <v>0</v>
      </c>
      <c r="L44" s="890">
        <f t="shared" si="3"/>
        <v>0</v>
      </c>
      <c r="M44" s="184">
        <f t="shared" si="4"/>
        <v>0</v>
      </c>
      <c r="N44" s="452">
        <f t="shared" si="11"/>
        <v>0</v>
      </c>
      <c r="O44" s="452">
        <f t="shared" si="5"/>
        <v>0</v>
      </c>
      <c r="P44" s="535">
        <f t="shared" si="6"/>
        <v>0</v>
      </c>
      <c r="Q44" s="670">
        <f>CostoDirectoMasIndirecto*Programa!N25</f>
        <v>0</v>
      </c>
      <c r="R44" s="646">
        <f>'f)Financ_Horizontal'!O$28</f>
        <v>0</v>
      </c>
      <c r="S44" s="674">
        <f t="shared" si="0"/>
        <v>0</v>
      </c>
      <c r="T44" s="535">
        <f t="shared" si="7"/>
        <v>0</v>
      </c>
      <c r="U44" s="609">
        <f t="shared" si="8"/>
        <v>0</v>
      </c>
      <c r="V44" s="207"/>
    </row>
    <row r="45" spans="2:22">
      <c r="B45" s="424">
        <v>14</v>
      </c>
      <c r="C45" s="424" t="str">
        <f>IF(Programa!D26&gt;0,1+C44,"")</f>
        <v/>
      </c>
      <c r="D45" s="692">
        <f>IF(C45&lt;&gt;0,Programa!C26," ")</f>
        <v>0</v>
      </c>
      <c r="E45" s="1046">
        <f>IF(PeriodoEntregaAnticipo2=14,ImporteAnticipo2,0)</f>
        <v>0</v>
      </c>
      <c r="F45" s="184">
        <f>ImporteParaFinanciamiento*Programa!N26</f>
        <v>0</v>
      </c>
      <c r="G45" s="184">
        <f t="shared" si="9"/>
        <v>0</v>
      </c>
      <c r="H45" s="184">
        <f t="shared" si="10"/>
        <v>0</v>
      </c>
      <c r="I45" s="184">
        <f t="shared" si="1"/>
        <v>0</v>
      </c>
      <c r="J45" s="184">
        <f t="shared" si="2"/>
        <v>0</v>
      </c>
      <c r="K45" s="184">
        <f t="shared" si="12"/>
        <v>0</v>
      </c>
      <c r="L45" s="890">
        <f t="shared" si="3"/>
        <v>0</v>
      </c>
      <c r="M45" s="184">
        <f t="shared" si="4"/>
        <v>0</v>
      </c>
      <c r="N45" s="452">
        <f t="shared" si="11"/>
        <v>0</v>
      </c>
      <c r="O45" s="452">
        <f t="shared" si="5"/>
        <v>0</v>
      </c>
      <c r="P45" s="535">
        <f t="shared" si="6"/>
        <v>0</v>
      </c>
      <c r="Q45" s="670">
        <f>CostoDirectoMasIndirecto*Programa!N26</f>
        <v>0</v>
      </c>
      <c r="R45" s="646">
        <f>'f)Financ_Horizontal'!P$28</f>
        <v>0</v>
      </c>
      <c r="S45" s="674">
        <f t="shared" si="0"/>
        <v>0</v>
      </c>
      <c r="T45" s="535">
        <f t="shared" si="7"/>
        <v>0</v>
      </c>
      <c r="U45" s="609">
        <f t="shared" si="8"/>
        <v>0</v>
      </c>
      <c r="V45" s="207"/>
    </row>
    <row r="46" spans="2:22">
      <c r="B46" s="424">
        <v>15</v>
      </c>
      <c r="C46" s="424" t="str">
        <f>IF(Programa!D27&gt;0,1+C45,"")</f>
        <v/>
      </c>
      <c r="D46" s="692">
        <f>IF(C46&lt;&gt;0,Programa!C27," ")</f>
        <v>0</v>
      </c>
      <c r="E46" s="1046">
        <f>IF(PeriodoEntregaAnticipo2=15,ImporteAnticipo2,0)</f>
        <v>0</v>
      </c>
      <c r="F46" s="184">
        <f>ImporteParaFinanciamiento*Programa!N27</f>
        <v>0</v>
      </c>
      <c r="G46" s="184">
        <f t="shared" si="9"/>
        <v>0</v>
      </c>
      <c r="H46" s="184">
        <f t="shared" si="10"/>
        <v>0</v>
      </c>
      <c r="I46" s="184">
        <f t="shared" si="1"/>
        <v>0</v>
      </c>
      <c r="J46" s="184">
        <f t="shared" si="2"/>
        <v>0</v>
      </c>
      <c r="K46" s="184">
        <f t="shared" si="12"/>
        <v>0</v>
      </c>
      <c r="L46" s="890">
        <f t="shared" si="3"/>
        <v>0</v>
      </c>
      <c r="M46" s="184">
        <f t="shared" si="4"/>
        <v>0</v>
      </c>
      <c r="N46" s="452">
        <f t="shared" si="11"/>
        <v>0</v>
      </c>
      <c r="O46" s="452">
        <f t="shared" si="5"/>
        <v>0</v>
      </c>
      <c r="P46" s="535">
        <f t="shared" si="6"/>
        <v>0</v>
      </c>
      <c r="Q46" s="670">
        <f>CostoDirectoMasIndirecto*Programa!N27</f>
        <v>0</v>
      </c>
      <c r="R46" s="646">
        <f>'f)Financ_Horizontal'!Q$28</f>
        <v>0</v>
      </c>
      <c r="S46" s="674">
        <f t="shared" si="0"/>
        <v>0</v>
      </c>
      <c r="T46" s="535">
        <f t="shared" si="7"/>
        <v>0</v>
      </c>
      <c r="U46" s="609">
        <f t="shared" si="8"/>
        <v>0</v>
      </c>
    </row>
    <row r="47" spans="2:22">
      <c r="B47" s="424">
        <v>16</v>
      </c>
      <c r="C47" s="424" t="str">
        <f>IF(Programa!D28&gt;0,1+C46,"")</f>
        <v/>
      </c>
      <c r="D47" s="692">
        <f>IF(C47&lt;&gt;0,Programa!C28," ")</f>
        <v>0</v>
      </c>
      <c r="E47" s="1046">
        <f>IF(PeriodoEntregaAnticipo2=16,ImporteAnticipo2,0)</f>
        <v>0</v>
      </c>
      <c r="F47" s="184">
        <f>ImporteParaFinanciamiento*Programa!N28</f>
        <v>0</v>
      </c>
      <c r="G47" s="184">
        <f t="shared" si="9"/>
        <v>0</v>
      </c>
      <c r="H47" s="184">
        <f t="shared" si="10"/>
        <v>0</v>
      </c>
      <c r="I47" s="184">
        <f t="shared" si="1"/>
        <v>0</v>
      </c>
      <c r="J47" s="184">
        <f t="shared" si="2"/>
        <v>0</v>
      </c>
      <c r="K47" s="184">
        <f t="shared" si="12"/>
        <v>0</v>
      </c>
      <c r="L47" s="890">
        <f t="shared" si="3"/>
        <v>0</v>
      </c>
      <c r="M47" s="184">
        <f t="shared" si="4"/>
        <v>0</v>
      </c>
      <c r="N47" s="452">
        <f t="shared" si="11"/>
        <v>0</v>
      </c>
      <c r="O47" s="452">
        <f t="shared" si="5"/>
        <v>0</v>
      </c>
      <c r="P47" s="535">
        <f t="shared" si="6"/>
        <v>0</v>
      </c>
      <c r="Q47" s="670">
        <f>CostoDirectoMasIndirecto*Programa!N28</f>
        <v>0</v>
      </c>
      <c r="R47" s="646">
        <f>'f)Financ_Horizontal'!R$28</f>
        <v>0</v>
      </c>
      <c r="S47" s="674">
        <f t="shared" si="0"/>
        <v>0</v>
      </c>
      <c r="T47" s="535">
        <f t="shared" si="7"/>
        <v>0</v>
      </c>
      <c r="U47" s="609">
        <f t="shared" si="8"/>
        <v>0</v>
      </c>
    </row>
    <row r="48" spans="2:22">
      <c r="B48" s="424">
        <v>17</v>
      </c>
      <c r="C48" s="424" t="str">
        <f>IF(Programa!D29&gt;0,1+C47,"")</f>
        <v/>
      </c>
      <c r="D48" s="692">
        <f>IF(C48&lt;&gt;0,Programa!C29," ")</f>
        <v>0</v>
      </c>
      <c r="E48" s="1046">
        <f>IF(PeriodoEntregaAnticipo2=17,ImporteAnticipo2,0)</f>
        <v>0</v>
      </c>
      <c r="F48" s="184">
        <f>ImporteParaFinanciamiento*Programa!N29</f>
        <v>0</v>
      </c>
      <c r="G48" s="184">
        <f t="shared" si="9"/>
        <v>0</v>
      </c>
      <c r="H48" s="184">
        <f t="shared" si="10"/>
        <v>0</v>
      </c>
      <c r="I48" s="184">
        <f t="shared" si="1"/>
        <v>0</v>
      </c>
      <c r="J48" s="184">
        <f t="shared" si="2"/>
        <v>0</v>
      </c>
      <c r="K48" s="184">
        <f t="shared" si="12"/>
        <v>0</v>
      </c>
      <c r="L48" s="890">
        <f t="shared" si="3"/>
        <v>0</v>
      </c>
      <c r="M48" s="184">
        <f t="shared" si="4"/>
        <v>0</v>
      </c>
      <c r="N48" s="452">
        <f t="shared" si="11"/>
        <v>0</v>
      </c>
      <c r="O48" s="452">
        <f t="shared" si="5"/>
        <v>0</v>
      </c>
      <c r="P48" s="535">
        <f t="shared" si="6"/>
        <v>0</v>
      </c>
      <c r="Q48" s="670">
        <f>CostoDirectoMasIndirecto*Programa!N29</f>
        <v>0</v>
      </c>
      <c r="R48" s="646">
        <f>'f)Financ_Horizontal'!S$28</f>
        <v>0</v>
      </c>
      <c r="S48" s="674">
        <f t="shared" si="0"/>
        <v>0</v>
      </c>
      <c r="T48" s="535">
        <f t="shared" si="7"/>
        <v>0</v>
      </c>
      <c r="U48" s="609">
        <f t="shared" si="8"/>
        <v>0</v>
      </c>
    </row>
    <row r="49" spans="2:21">
      <c r="B49" s="424">
        <v>18</v>
      </c>
      <c r="C49" s="424" t="str">
        <f>IF(Programa!D30&gt;0,1+C48,"")</f>
        <v/>
      </c>
      <c r="D49" s="692">
        <f>IF(C49&lt;&gt;0,Programa!C30," ")</f>
        <v>0</v>
      </c>
      <c r="E49" s="1046">
        <f>IF(PeriodoEntregaAnticipo2=18,ImporteAnticipo2,0)</f>
        <v>0</v>
      </c>
      <c r="F49" s="184">
        <f>ImporteParaFinanciamiento*Programa!N30</f>
        <v>0</v>
      </c>
      <c r="G49" s="184">
        <f t="shared" si="9"/>
        <v>0</v>
      </c>
      <c r="H49" s="184">
        <f t="shared" si="10"/>
        <v>0</v>
      </c>
      <c r="I49" s="184">
        <f t="shared" si="1"/>
        <v>0</v>
      </c>
      <c r="J49" s="184">
        <f t="shared" si="2"/>
        <v>0</v>
      </c>
      <c r="K49" s="184">
        <f t="shared" si="12"/>
        <v>0</v>
      </c>
      <c r="L49" s="890">
        <f t="shared" si="3"/>
        <v>0</v>
      </c>
      <c r="M49" s="184">
        <f t="shared" si="4"/>
        <v>0</v>
      </c>
      <c r="N49" s="452">
        <f t="shared" si="11"/>
        <v>0</v>
      </c>
      <c r="O49" s="452">
        <f t="shared" si="5"/>
        <v>0</v>
      </c>
      <c r="P49" s="535">
        <f t="shared" si="6"/>
        <v>0</v>
      </c>
      <c r="Q49" s="670">
        <f>CostoDirectoMasIndirecto*Programa!N30</f>
        <v>0</v>
      </c>
      <c r="R49" s="646">
        <f>'f)Financ_Horizontal'!T$28</f>
        <v>0</v>
      </c>
      <c r="S49" s="674">
        <f t="shared" si="0"/>
        <v>0</v>
      </c>
      <c r="T49" s="535">
        <f t="shared" si="7"/>
        <v>0</v>
      </c>
      <c r="U49" s="609">
        <f t="shared" si="8"/>
        <v>0</v>
      </c>
    </row>
    <row r="50" spans="2:21">
      <c r="B50" s="424">
        <v>19</v>
      </c>
      <c r="C50" s="424" t="str">
        <f>IF(Programa!D31&gt;0,1+C49,"")</f>
        <v/>
      </c>
      <c r="D50" s="692">
        <f>IF(C50&lt;&gt;0,Programa!C31," ")</f>
        <v>0</v>
      </c>
      <c r="E50" s="1046">
        <f>IF(PeriodoEntregaAnticipo2=19,ImporteAnticipo2,0)</f>
        <v>0</v>
      </c>
      <c r="F50" s="184">
        <f>ImporteParaFinanciamiento*Programa!N31</f>
        <v>0</v>
      </c>
      <c r="G50" s="184">
        <f t="shared" si="9"/>
        <v>0</v>
      </c>
      <c r="H50" s="184">
        <f t="shared" si="10"/>
        <v>0</v>
      </c>
      <c r="I50" s="184">
        <f t="shared" si="1"/>
        <v>0</v>
      </c>
      <c r="J50" s="184">
        <f t="shared" si="2"/>
        <v>0</v>
      </c>
      <c r="K50" s="184">
        <f t="shared" si="12"/>
        <v>0</v>
      </c>
      <c r="L50" s="890">
        <f t="shared" si="3"/>
        <v>0</v>
      </c>
      <c r="M50" s="184">
        <f t="shared" si="4"/>
        <v>0</v>
      </c>
      <c r="N50" s="452">
        <f t="shared" si="11"/>
        <v>0</v>
      </c>
      <c r="O50" s="452">
        <f t="shared" si="5"/>
        <v>0</v>
      </c>
      <c r="P50" s="535">
        <f t="shared" si="6"/>
        <v>0</v>
      </c>
      <c r="Q50" s="670">
        <f>CostoDirectoMasIndirecto*Programa!N31</f>
        <v>0</v>
      </c>
      <c r="R50" s="646">
        <f>'f)Financ_Horizontal'!U$28</f>
        <v>0</v>
      </c>
      <c r="S50" s="674">
        <f t="shared" si="0"/>
        <v>0</v>
      </c>
      <c r="T50" s="535">
        <f t="shared" si="7"/>
        <v>0</v>
      </c>
      <c r="U50" s="609">
        <f t="shared" si="8"/>
        <v>0</v>
      </c>
    </row>
    <row r="51" spans="2:21">
      <c r="B51" s="424">
        <v>20</v>
      </c>
      <c r="C51" s="424" t="str">
        <f>IF(Programa!D32&gt;0,1+C50,"")</f>
        <v/>
      </c>
      <c r="D51" s="692">
        <f>IF(C51&lt;&gt;0,Programa!C32," ")</f>
        <v>0</v>
      </c>
      <c r="E51" s="1046">
        <f>IF(PeriodoEntregaAnticipo2=20,ImporteAnticipo2,0)</f>
        <v>0</v>
      </c>
      <c r="F51" s="184">
        <f>ImporteParaFinanciamiento*Programa!N32</f>
        <v>0</v>
      </c>
      <c r="G51" s="184">
        <f t="shared" si="9"/>
        <v>0</v>
      </c>
      <c r="H51" s="184">
        <f t="shared" si="10"/>
        <v>0</v>
      </c>
      <c r="I51" s="184">
        <f t="shared" si="1"/>
        <v>0</v>
      </c>
      <c r="J51" s="184">
        <f t="shared" si="2"/>
        <v>0</v>
      </c>
      <c r="K51" s="184">
        <f t="shared" si="12"/>
        <v>0</v>
      </c>
      <c r="L51" s="890">
        <f t="shared" si="3"/>
        <v>0</v>
      </c>
      <c r="M51" s="184">
        <f t="shared" si="4"/>
        <v>0</v>
      </c>
      <c r="N51" s="452">
        <f t="shared" si="11"/>
        <v>0</v>
      </c>
      <c r="O51" s="452">
        <f t="shared" si="5"/>
        <v>0</v>
      </c>
      <c r="P51" s="535">
        <f t="shared" si="6"/>
        <v>0</v>
      </c>
      <c r="Q51" s="670">
        <f>CostoDirectoMasIndirecto*Programa!N32</f>
        <v>0</v>
      </c>
      <c r="R51" s="646">
        <f>'f)Financ_Horizontal'!V$28</f>
        <v>0</v>
      </c>
      <c r="S51" s="674">
        <f t="shared" si="0"/>
        <v>0</v>
      </c>
      <c r="T51" s="535">
        <f t="shared" si="7"/>
        <v>0</v>
      </c>
      <c r="U51" s="609">
        <f t="shared" si="8"/>
        <v>0</v>
      </c>
    </row>
    <row r="52" spans="2:21">
      <c r="B52" s="424">
        <v>21</v>
      </c>
      <c r="C52" s="424" t="str">
        <f>IF(Programa!D33&gt;0,1+C51,"")</f>
        <v/>
      </c>
      <c r="D52" s="692">
        <f>IF(C52&lt;&gt;0,Programa!C33," ")</f>
        <v>0</v>
      </c>
      <c r="E52" s="1046">
        <f>IF(PeriodoEntregaAnticipo2=21,ImporteAnticipo2,0)</f>
        <v>0</v>
      </c>
      <c r="F52" s="184">
        <f>ImporteParaFinanciamiento*Programa!N33</f>
        <v>0</v>
      </c>
      <c r="G52" s="184">
        <f t="shared" si="9"/>
        <v>0</v>
      </c>
      <c r="H52" s="184">
        <f t="shared" si="10"/>
        <v>0</v>
      </c>
      <c r="I52" s="184">
        <f t="shared" si="1"/>
        <v>0</v>
      </c>
      <c r="J52" s="184">
        <f t="shared" si="2"/>
        <v>0</v>
      </c>
      <c r="K52" s="184">
        <f t="shared" si="12"/>
        <v>0</v>
      </c>
      <c r="L52" s="890">
        <f t="shared" si="3"/>
        <v>0</v>
      </c>
      <c r="M52" s="184">
        <f t="shared" si="4"/>
        <v>0</v>
      </c>
      <c r="N52" s="452">
        <f t="shared" si="11"/>
        <v>0</v>
      </c>
      <c r="O52" s="452">
        <f t="shared" si="5"/>
        <v>0</v>
      </c>
      <c r="P52" s="535">
        <f t="shared" si="6"/>
        <v>0</v>
      </c>
      <c r="Q52" s="670">
        <f>CostoDirectoMasIndirecto*Programa!N33</f>
        <v>0</v>
      </c>
      <c r="R52" s="646">
        <f>'f)Financ_Horizontal'!W$28</f>
        <v>0</v>
      </c>
      <c r="S52" s="674">
        <f t="shared" si="0"/>
        <v>0</v>
      </c>
      <c r="T52" s="535">
        <f t="shared" si="7"/>
        <v>0</v>
      </c>
      <c r="U52" s="609">
        <f t="shared" si="8"/>
        <v>0</v>
      </c>
    </row>
    <row r="53" spans="2:21">
      <c r="B53" s="424">
        <v>22</v>
      </c>
      <c r="C53" s="424" t="str">
        <f>IF(Programa!D34&gt;0,1+C52,"")</f>
        <v/>
      </c>
      <c r="D53" s="692">
        <f>IF(C53&lt;&gt;0,Programa!C34," ")</f>
        <v>0</v>
      </c>
      <c r="E53" s="1046">
        <f>IF(PeriodoEntregaAnticipo2=22,ImporteAnticipo2,0)</f>
        <v>0</v>
      </c>
      <c r="F53" s="184">
        <f>ImporteParaFinanciamiento*Programa!N34</f>
        <v>0</v>
      </c>
      <c r="G53" s="184">
        <f t="shared" si="9"/>
        <v>0</v>
      </c>
      <c r="H53" s="184">
        <f t="shared" si="10"/>
        <v>0</v>
      </c>
      <c r="I53" s="184">
        <f t="shared" si="1"/>
        <v>0</v>
      </c>
      <c r="J53" s="184">
        <f t="shared" si="2"/>
        <v>0</v>
      </c>
      <c r="K53" s="184">
        <f t="shared" si="12"/>
        <v>0</v>
      </c>
      <c r="L53" s="890">
        <f t="shared" si="3"/>
        <v>0</v>
      </c>
      <c r="M53" s="184">
        <f t="shared" si="4"/>
        <v>0</v>
      </c>
      <c r="N53" s="452">
        <f t="shared" si="11"/>
        <v>0</v>
      </c>
      <c r="O53" s="452">
        <f t="shared" si="5"/>
        <v>0</v>
      </c>
      <c r="P53" s="535">
        <f t="shared" si="6"/>
        <v>0</v>
      </c>
      <c r="Q53" s="670">
        <f>CostoDirectoMasIndirecto*Programa!N34</f>
        <v>0</v>
      </c>
      <c r="R53" s="646">
        <f>'f)Financ_Horizontal'!X$28</f>
        <v>0</v>
      </c>
      <c r="S53" s="674">
        <f t="shared" si="0"/>
        <v>0</v>
      </c>
      <c r="T53" s="535">
        <f t="shared" si="7"/>
        <v>0</v>
      </c>
      <c r="U53" s="609">
        <f t="shared" si="8"/>
        <v>0</v>
      </c>
    </row>
    <row r="54" spans="2:21">
      <c r="B54" s="424">
        <v>23</v>
      </c>
      <c r="C54" s="424" t="str">
        <f>IF(Programa!D35&gt;0,1+C53,"")</f>
        <v/>
      </c>
      <c r="D54" s="692">
        <f>IF(C54&lt;&gt;0,Programa!C35," ")</f>
        <v>0</v>
      </c>
      <c r="E54" s="1046">
        <f>IF(PeriodoEntregaAnticipo2=23,ImporteAnticipo2,0)</f>
        <v>0</v>
      </c>
      <c r="F54" s="184">
        <f>ImporteParaFinanciamiento*Programa!N35</f>
        <v>0</v>
      </c>
      <c r="G54" s="184">
        <f t="shared" si="9"/>
        <v>0</v>
      </c>
      <c r="H54" s="184">
        <f t="shared" si="10"/>
        <v>0</v>
      </c>
      <c r="I54" s="184">
        <f t="shared" si="1"/>
        <v>0</v>
      </c>
      <c r="J54" s="184">
        <f t="shared" si="2"/>
        <v>0</v>
      </c>
      <c r="K54" s="184">
        <f t="shared" si="12"/>
        <v>0</v>
      </c>
      <c r="L54" s="890">
        <f t="shared" si="3"/>
        <v>0</v>
      </c>
      <c r="M54" s="184">
        <f t="shared" si="4"/>
        <v>0</v>
      </c>
      <c r="N54" s="452">
        <f t="shared" si="11"/>
        <v>0</v>
      </c>
      <c r="O54" s="452">
        <f t="shared" si="5"/>
        <v>0</v>
      </c>
      <c r="P54" s="535">
        <f t="shared" si="6"/>
        <v>0</v>
      </c>
      <c r="Q54" s="670">
        <f>CostoDirectoMasIndirecto*Programa!N35</f>
        <v>0</v>
      </c>
      <c r="R54" s="646">
        <f>'f)Financ_Horizontal'!Y$28</f>
        <v>0</v>
      </c>
      <c r="S54" s="674">
        <f t="shared" si="0"/>
        <v>0</v>
      </c>
      <c r="T54" s="535">
        <f t="shared" si="7"/>
        <v>0</v>
      </c>
      <c r="U54" s="609">
        <f t="shared" si="8"/>
        <v>0</v>
      </c>
    </row>
    <row r="55" spans="2:21">
      <c r="B55" s="424">
        <v>24</v>
      </c>
      <c r="C55" s="424" t="str">
        <f>IF(Programa!D36&gt;0,1+C54,"")</f>
        <v/>
      </c>
      <c r="D55" s="692">
        <f>IF(C55&lt;&gt;0,Programa!C36," ")</f>
        <v>0</v>
      </c>
      <c r="E55" s="1046">
        <f>IF(PeriodoEntregaAnticipo2=24,ImporteAnticipo2,0)</f>
        <v>0</v>
      </c>
      <c r="F55" s="184">
        <f>ImporteParaFinanciamiento*Programa!N36</f>
        <v>0</v>
      </c>
      <c r="G55" s="184">
        <f t="shared" si="9"/>
        <v>0</v>
      </c>
      <c r="H55" s="184">
        <f t="shared" si="10"/>
        <v>0</v>
      </c>
      <c r="I55" s="184">
        <f t="shared" si="1"/>
        <v>0</v>
      </c>
      <c r="J55" s="184">
        <f t="shared" si="2"/>
        <v>0</v>
      </c>
      <c r="K55" s="184">
        <f t="shared" si="12"/>
        <v>0</v>
      </c>
      <c r="L55" s="890">
        <f t="shared" si="3"/>
        <v>0</v>
      </c>
      <c r="M55" s="184">
        <f t="shared" si="4"/>
        <v>0</v>
      </c>
      <c r="N55" s="452">
        <f t="shared" si="11"/>
        <v>0</v>
      </c>
      <c r="O55" s="452">
        <f t="shared" si="5"/>
        <v>0</v>
      </c>
      <c r="P55" s="535">
        <f t="shared" si="6"/>
        <v>0</v>
      </c>
      <c r="Q55" s="670">
        <f>CostoDirectoMasIndirecto*Programa!N36</f>
        <v>0</v>
      </c>
      <c r="R55" s="646">
        <f>'f)Financ_Horizontal'!Z$28</f>
        <v>0</v>
      </c>
      <c r="S55" s="674">
        <f t="shared" si="0"/>
        <v>0</v>
      </c>
      <c r="T55" s="535">
        <f t="shared" si="7"/>
        <v>0</v>
      </c>
      <c r="U55" s="609">
        <f t="shared" si="8"/>
        <v>0</v>
      </c>
    </row>
    <row r="56" spans="2:21">
      <c r="B56" s="424">
        <v>25</v>
      </c>
      <c r="C56" s="424" t="str">
        <f>IF(Programa!D37&gt;0,1+C55,"")</f>
        <v/>
      </c>
      <c r="D56" s="692">
        <f>IF(C56&lt;&gt;0,Programa!C37," ")</f>
        <v>0</v>
      </c>
      <c r="E56" s="1046">
        <f>IF(PeriodoEntregaAnticipo2=25,ImporteAnticipo2,0)</f>
        <v>0</v>
      </c>
      <c r="F56" s="184">
        <f>ImporteParaFinanciamiento*Programa!N37</f>
        <v>0</v>
      </c>
      <c r="G56" s="184">
        <f t="shared" si="9"/>
        <v>0</v>
      </c>
      <c r="H56" s="184">
        <f t="shared" si="10"/>
        <v>0</v>
      </c>
      <c r="I56" s="184">
        <f t="shared" si="1"/>
        <v>0</v>
      </c>
      <c r="J56" s="184">
        <f t="shared" si="2"/>
        <v>0</v>
      </c>
      <c r="K56" s="184">
        <f t="shared" si="12"/>
        <v>0</v>
      </c>
      <c r="L56" s="890">
        <f t="shared" si="3"/>
        <v>0</v>
      </c>
      <c r="M56" s="184">
        <f t="shared" si="4"/>
        <v>0</v>
      </c>
      <c r="N56" s="452">
        <f t="shared" si="11"/>
        <v>0</v>
      </c>
      <c r="O56" s="452">
        <f t="shared" si="5"/>
        <v>0</v>
      </c>
      <c r="P56" s="535">
        <f t="shared" si="6"/>
        <v>0</v>
      </c>
      <c r="Q56" s="670">
        <f>CostoDirectoMasIndirecto*Programa!N37</f>
        <v>0</v>
      </c>
      <c r="R56" s="646">
        <f>'f)Financ_Horizontal'!AA28</f>
        <v>0</v>
      </c>
      <c r="S56" s="674">
        <f t="shared" si="0"/>
        <v>0</v>
      </c>
      <c r="T56" s="535">
        <f t="shared" si="7"/>
        <v>0</v>
      </c>
      <c r="U56" s="609">
        <f t="shared" si="8"/>
        <v>0</v>
      </c>
    </row>
    <row r="57" spans="2:21">
      <c r="B57" s="424">
        <v>26</v>
      </c>
      <c r="C57" s="424" t="str">
        <f>IF(Programa!D38&gt;0,1+C56,"")</f>
        <v/>
      </c>
      <c r="D57" s="692">
        <f>IF(C57&lt;&gt;0,Programa!C38," ")</f>
        <v>0</v>
      </c>
      <c r="E57" s="1046">
        <f>IF(PeriodoEntregaAnticipo2=26,ImporteAnticipo2,0)</f>
        <v>0</v>
      </c>
      <c r="F57" s="184">
        <f>ImporteParaFinanciamiento*Programa!N38</f>
        <v>0</v>
      </c>
      <c r="G57" s="184">
        <f t="shared" si="9"/>
        <v>0</v>
      </c>
      <c r="H57" s="184">
        <f t="shared" si="10"/>
        <v>0</v>
      </c>
      <c r="I57" s="184">
        <f t="shared" si="1"/>
        <v>0</v>
      </c>
      <c r="J57" s="184">
        <f t="shared" si="2"/>
        <v>0</v>
      </c>
      <c r="K57" s="184">
        <f t="shared" si="12"/>
        <v>0</v>
      </c>
      <c r="L57" s="890">
        <f t="shared" si="3"/>
        <v>0</v>
      </c>
      <c r="M57" s="184">
        <f t="shared" si="4"/>
        <v>0</v>
      </c>
      <c r="N57" s="452">
        <f t="shared" si="11"/>
        <v>0</v>
      </c>
      <c r="O57" s="452">
        <f t="shared" si="5"/>
        <v>0</v>
      </c>
      <c r="P57" s="535">
        <f t="shared" si="6"/>
        <v>0</v>
      </c>
      <c r="Q57" s="670">
        <f>CostoDirectoMasIndirecto*Programa!N38</f>
        <v>0</v>
      </c>
      <c r="R57" s="646">
        <f>'f)Financ_Horizontal'!AB$28</f>
        <v>0</v>
      </c>
      <c r="S57" s="674">
        <f t="shared" si="0"/>
        <v>0</v>
      </c>
      <c r="T57" s="535">
        <f t="shared" si="7"/>
        <v>0</v>
      </c>
      <c r="U57" s="609">
        <f t="shared" si="8"/>
        <v>0</v>
      </c>
    </row>
    <row r="58" spans="2:21">
      <c r="B58" s="424">
        <v>27</v>
      </c>
      <c r="C58" s="424" t="str">
        <f>IF(Programa!D39&gt;0,1+C57,"")</f>
        <v/>
      </c>
      <c r="D58" s="692">
        <f>IF(C58&lt;&gt;0,Programa!C39," ")</f>
        <v>0</v>
      </c>
      <c r="E58" s="1046">
        <f>IF(PeriodoEntregaAnticipo2=27,ImporteAnticipo2,0)</f>
        <v>0</v>
      </c>
      <c r="F58" s="184">
        <f>ImporteParaFinanciamiento*Programa!N39</f>
        <v>0</v>
      </c>
      <c r="G58" s="184">
        <f t="shared" si="9"/>
        <v>0</v>
      </c>
      <c r="H58" s="184">
        <f t="shared" si="10"/>
        <v>0</v>
      </c>
      <c r="I58" s="184">
        <f t="shared" si="1"/>
        <v>0</v>
      </c>
      <c r="J58" s="184">
        <f t="shared" si="2"/>
        <v>0</v>
      </c>
      <c r="K58" s="184">
        <f t="shared" si="12"/>
        <v>0</v>
      </c>
      <c r="L58" s="890">
        <f t="shared" si="3"/>
        <v>0</v>
      </c>
      <c r="M58" s="184">
        <f t="shared" si="4"/>
        <v>0</v>
      </c>
      <c r="N58" s="452">
        <f t="shared" si="11"/>
        <v>0</v>
      </c>
      <c r="O58" s="452">
        <f t="shared" si="5"/>
        <v>0</v>
      </c>
      <c r="P58" s="535">
        <f t="shared" si="6"/>
        <v>0</v>
      </c>
      <c r="Q58" s="670">
        <f>CostoDirectoMasIndirecto*Programa!N39</f>
        <v>0</v>
      </c>
      <c r="R58" s="646">
        <f>'f)Financ_Horizontal'!AC$28</f>
        <v>0</v>
      </c>
      <c r="S58" s="674">
        <f t="shared" si="0"/>
        <v>0</v>
      </c>
      <c r="T58" s="535">
        <f t="shared" si="7"/>
        <v>0</v>
      </c>
      <c r="U58" s="609">
        <f t="shared" si="8"/>
        <v>0</v>
      </c>
    </row>
    <row r="59" spans="2:21">
      <c r="B59" s="424">
        <v>28</v>
      </c>
      <c r="C59" s="424" t="str">
        <f>IF(Programa!D40&gt;0,1+C58,"")</f>
        <v/>
      </c>
      <c r="D59" s="692">
        <f>IF(C59&lt;&gt;0,Programa!C40," ")</f>
        <v>0</v>
      </c>
      <c r="E59" s="1046">
        <f>IF(PeriodoEntregaAnticipo2=28,ImporteAnticipo2,0)</f>
        <v>0</v>
      </c>
      <c r="F59" s="184">
        <f>ImporteParaFinanciamiento*Programa!N40</f>
        <v>0</v>
      </c>
      <c r="G59" s="184">
        <f t="shared" si="9"/>
        <v>0</v>
      </c>
      <c r="H59" s="184">
        <f t="shared" si="10"/>
        <v>0</v>
      </c>
      <c r="I59" s="184">
        <f t="shared" si="1"/>
        <v>0</v>
      </c>
      <c r="J59" s="184">
        <f t="shared" si="2"/>
        <v>0</v>
      </c>
      <c r="K59" s="184">
        <f t="shared" si="12"/>
        <v>0</v>
      </c>
      <c r="L59" s="890">
        <f t="shared" si="3"/>
        <v>0</v>
      </c>
      <c r="M59" s="184">
        <f t="shared" si="4"/>
        <v>0</v>
      </c>
      <c r="N59" s="452">
        <f t="shared" si="11"/>
        <v>0</v>
      </c>
      <c r="O59" s="452">
        <f t="shared" si="5"/>
        <v>0</v>
      </c>
      <c r="P59" s="535">
        <f t="shared" si="6"/>
        <v>0</v>
      </c>
      <c r="Q59" s="670">
        <f>CostoDirectoMasIndirecto*Programa!N40</f>
        <v>0</v>
      </c>
      <c r="R59" s="646">
        <f>'f)Financ_Horizontal'!AD$28</f>
        <v>0</v>
      </c>
      <c r="S59" s="674">
        <f t="shared" si="0"/>
        <v>0</v>
      </c>
      <c r="T59" s="535">
        <f t="shared" si="7"/>
        <v>0</v>
      </c>
      <c r="U59" s="609">
        <f t="shared" si="8"/>
        <v>0</v>
      </c>
    </row>
    <row r="60" spans="2:21">
      <c r="B60" s="424">
        <v>29</v>
      </c>
      <c r="C60" s="424" t="str">
        <f>IF(Programa!D41&gt;0,1+C59,"")</f>
        <v/>
      </c>
      <c r="D60" s="692">
        <f>IF(C60&lt;&gt;0,Programa!C41," ")</f>
        <v>0</v>
      </c>
      <c r="E60" s="1046">
        <f>IF(PeriodoEntregaAnticipo2=29,ImporteAnticipo2,0)</f>
        <v>0</v>
      </c>
      <c r="F60" s="184">
        <f>ImporteParaFinanciamiento*Programa!N41</f>
        <v>0</v>
      </c>
      <c r="G60" s="184">
        <f t="shared" si="9"/>
        <v>0</v>
      </c>
      <c r="H60" s="184">
        <f t="shared" si="10"/>
        <v>0</v>
      </c>
      <c r="I60" s="184">
        <f t="shared" si="1"/>
        <v>0</v>
      </c>
      <c r="J60" s="184">
        <f t="shared" si="2"/>
        <v>0</v>
      </c>
      <c r="K60" s="184">
        <f t="shared" si="12"/>
        <v>0</v>
      </c>
      <c r="L60" s="890">
        <f t="shared" si="3"/>
        <v>0</v>
      </c>
      <c r="M60" s="184">
        <f t="shared" si="4"/>
        <v>0</v>
      </c>
      <c r="N60" s="452">
        <f t="shared" si="11"/>
        <v>0</v>
      </c>
      <c r="O60" s="452">
        <f t="shared" si="5"/>
        <v>0</v>
      </c>
      <c r="P60" s="535">
        <f t="shared" si="6"/>
        <v>0</v>
      </c>
      <c r="Q60" s="670">
        <f>CostoDirectoMasIndirecto*Programa!N41</f>
        <v>0</v>
      </c>
      <c r="R60" s="646">
        <f>'f)Financ_Horizontal'!AE$28</f>
        <v>0</v>
      </c>
      <c r="S60" s="674">
        <f t="shared" si="0"/>
        <v>0</v>
      </c>
      <c r="T60" s="535">
        <f t="shared" si="7"/>
        <v>0</v>
      </c>
      <c r="U60" s="609">
        <f t="shared" si="8"/>
        <v>0</v>
      </c>
    </row>
    <row r="61" spans="2:21">
      <c r="B61" s="424">
        <v>30</v>
      </c>
      <c r="C61" s="424" t="str">
        <f>IF(Programa!D42&gt;0,1+C60,"")</f>
        <v/>
      </c>
      <c r="D61" s="692">
        <f>IF(C61&lt;&gt;0,Programa!C42," ")</f>
        <v>0</v>
      </c>
      <c r="E61" s="1046">
        <f>IF(PeriodoEntregaAnticipo2=30,ImporteAnticipo2,0)</f>
        <v>0</v>
      </c>
      <c r="F61" s="184">
        <f>ImporteParaFinanciamiento*Programa!N42</f>
        <v>0</v>
      </c>
      <c r="G61" s="184">
        <f t="shared" si="9"/>
        <v>0</v>
      </c>
      <c r="H61" s="184">
        <f t="shared" si="10"/>
        <v>0</v>
      </c>
      <c r="I61" s="184">
        <f t="shared" si="1"/>
        <v>0</v>
      </c>
      <c r="J61" s="184">
        <f t="shared" si="2"/>
        <v>0</v>
      </c>
      <c r="K61" s="184">
        <f t="shared" si="12"/>
        <v>0</v>
      </c>
      <c r="L61" s="890">
        <f t="shared" si="3"/>
        <v>0</v>
      </c>
      <c r="M61" s="184">
        <f t="shared" si="4"/>
        <v>0</v>
      </c>
      <c r="N61" s="452">
        <f t="shared" si="11"/>
        <v>0</v>
      </c>
      <c r="O61" s="452">
        <f t="shared" si="5"/>
        <v>0</v>
      </c>
      <c r="P61" s="535">
        <f t="shared" si="6"/>
        <v>0</v>
      </c>
      <c r="Q61" s="670">
        <f>CostoDirectoMasIndirecto*Programa!N42</f>
        <v>0</v>
      </c>
      <c r="R61" s="646">
        <f>'f)Financ_Horizontal'!AF$28</f>
        <v>0</v>
      </c>
      <c r="S61" s="674">
        <f t="shared" si="0"/>
        <v>0</v>
      </c>
      <c r="T61" s="535">
        <f t="shared" si="7"/>
        <v>0</v>
      </c>
      <c r="U61" s="609">
        <f t="shared" si="8"/>
        <v>0</v>
      </c>
    </row>
    <row r="62" spans="2:21">
      <c r="B62" s="424">
        <v>31</v>
      </c>
      <c r="C62" s="424" t="str">
        <f>IF(Programa!D43&gt;0,1+C61,"")</f>
        <v/>
      </c>
      <c r="D62" s="692">
        <f>IF(C62&lt;&gt;0,Programa!C43," ")</f>
        <v>0</v>
      </c>
      <c r="E62" s="1046">
        <f>IF(PeriodoEntregaAnticipo2=31,ImporteAnticipo2,0)</f>
        <v>0</v>
      </c>
      <c r="F62" s="184">
        <f>ImporteParaFinanciamiento*Programa!N43</f>
        <v>0</v>
      </c>
      <c r="G62" s="184">
        <f t="shared" si="9"/>
        <v>0</v>
      </c>
      <c r="H62" s="184">
        <f t="shared" si="10"/>
        <v>0</v>
      </c>
      <c r="I62" s="184">
        <f t="shared" si="1"/>
        <v>0</v>
      </c>
      <c r="J62" s="184">
        <f t="shared" si="2"/>
        <v>0</v>
      </c>
      <c r="K62" s="184">
        <f t="shared" si="12"/>
        <v>0</v>
      </c>
      <c r="L62" s="890">
        <f t="shared" si="3"/>
        <v>0</v>
      </c>
      <c r="M62" s="184">
        <f t="shared" si="4"/>
        <v>0</v>
      </c>
      <c r="N62" s="452">
        <f t="shared" si="11"/>
        <v>0</v>
      </c>
      <c r="O62" s="452">
        <f t="shared" si="5"/>
        <v>0</v>
      </c>
      <c r="P62" s="535">
        <f t="shared" si="6"/>
        <v>0</v>
      </c>
      <c r="Q62" s="670">
        <f>CostoDirectoMasIndirecto*Programa!N43</f>
        <v>0</v>
      </c>
      <c r="R62" s="646">
        <f>'f)Financ_Horizontal'!AG$28</f>
        <v>0</v>
      </c>
      <c r="S62" s="674">
        <f t="shared" si="0"/>
        <v>0</v>
      </c>
      <c r="T62" s="535">
        <f t="shared" si="7"/>
        <v>0</v>
      </c>
      <c r="U62" s="609">
        <f t="shared" si="8"/>
        <v>0</v>
      </c>
    </row>
    <row r="63" spans="2:21">
      <c r="B63" s="424">
        <v>32</v>
      </c>
      <c r="C63" s="424" t="str">
        <f>IF(Programa!D44&gt;0,1+C62,"")</f>
        <v/>
      </c>
      <c r="D63" s="692">
        <f>IF(C63&lt;&gt;0,Programa!C44," ")</f>
        <v>0</v>
      </c>
      <c r="E63" s="1046">
        <f>IF(PeriodoEntregaAnticipo2=32,ImporteAnticipo2,0)</f>
        <v>0</v>
      </c>
      <c r="F63" s="184">
        <f>ImporteParaFinanciamiento*Programa!N44</f>
        <v>0</v>
      </c>
      <c r="G63" s="184">
        <f t="shared" si="9"/>
        <v>0</v>
      </c>
      <c r="H63" s="184">
        <f t="shared" si="10"/>
        <v>0</v>
      </c>
      <c r="I63" s="184">
        <f t="shared" si="1"/>
        <v>0</v>
      </c>
      <c r="J63" s="184">
        <f t="shared" si="2"/>
        <v>0</v>
      </c>
      <c r="K63" s="184">
        <f t="shared" si="12"/>
        <v>0</v>
      </c>
      <c r="L63" s="890">
        <f t="shared" si="3"/>
        <v>0</v>
      </c>
      <c r="M63" s="184">
        <f t="shared" si="4"/>
        <v>0</v>
      </c>
      <c r="N63" s="452">
        <f t="shared" si="11"/>
        <v>0</v>
      </c>
      <c r="O63" s="452">
        <f t="shared" si="5"/>
        <v>0</v>
      </c>
      <c r="P63" s="535">
        <f t="shared" si="6"/>
        <v>0</v>
      </c>
      <c r="Q63" s="670">
        <f>CostoDirectoMasIndirecto*Programa!N44</f>
        <v>0</v>
      </c>
      <c r="R63" s="646">
        <f>'f)Financ_Horizontal'!AH$28</f>
        <v>0</v>
      </c>
      <c r="S63" s="674">
        <f t="shared" si="0"/>
        <v>0</v>
      </c>
      <c r="T63" s="535">
        <f t="shared" si="7"/>
        <v>0</v>
      </c>
      <c r="U63" s="609">
        <f t="shared" si="8"/>
        <v>0</v>
      </c>
    </row>
    <row r="64" spans="2:21">
      <c r="B64" s="424">
        <v>33</v>
      </c>
      <c r="C64" s="424" t="str">
        <f>IF(Programa!D45&gt;0,1+C63,"")</f>
        <v/>
      </c>
      <c r="D64" s="692">
        <f>IF(C64&lt;&gt;0,Programa!C45," ")</f>
        <v>0</v>
      </c>
      <c r="E64" s="1046">
        <f>IF(PeriodoEntregaAnticipo2=33,ImporteAnticipo2,0)</f>
        <v>0</v>
      </c>
      <c r="F64" s="184">
        <f>ImporteParaFinanciamiento*Programa!N45</f>
        <v>0</v>
      </c>
      <c r="G64" s="184">
        <f t="shared" si="9"/>
        <v>0</v>
      </c>
      <c r="H64" s="184">
        <f t="shared" si="10"/>
        <v>0</v>
      </c>
      <c r="I64" s="184">
        <f t="shared" si="1"/>
        <v>0</v>
      </c>
      <c r="J64" s="184">
        <f t="shared" si="2"/>
        <v>0</v>
      </c>
      <c r="K64" s="184">
        <f t="shared" si="12"/>
        <v>0</v>
      </c>
      <c r="L64" s="890">
        <f t="shared" si="3"/>
        <v>0</v>
      </c>
      <c r="M64" s="184">
        <f t="shared" si="4"/>
        <v>0</v>
      </c>
      <c r="N64" s="452">
        <f t="shared" si="11"/>
        <v>0</v>
      </c>
      <c r="O64" s="452">
        <f t="shared" si="5"/>
        <v>0</v>
      </c>
      <c r="P64" s="535">
        <f t="shared" si="6"/>
        <v>0</v>
      </c>
      <c r="Q64" s="670">
        <f>CostoDirectoMasIndirecto*Programa!N45</f>
        <v>0</v>
      </c>
      <c r="R64" s="646">
        <f>'f)Financ_Horizontal'!AI$28</f>
        <v>0</v>
      </c>
      <c r="S64" s="674">
        <f t="shared" si="0"/>
        <v>0</v>
      </c>
      <c r="T64" s="535">
        <f t="shared" si="7"/>
        <v>0</v>
      </c>
      <c r="U64" s="609">
        <f t="shared" si="8"/>
        <v>0</v>
      </c>
    </row>
    <row r="65" spans="2:21">
      <c r="B65" s="424">
        <v>34</v>
      </c>
      <c r="C65" s="424" t="str">
        <f>IF(Programa!D46&gt;0,1+C64,"")</f>
        <v/>
      </c>
      <c r="D65" s="692">
        <f>IF(C65&lt;&gt;0,Programa!C46," ")</f>
        <v>0</v>
      </c>
      <c r="E65" s="1046">
        <f>IF(PeriodoEntregaAnticipo2=34,ImporteAnticipo2,0)</f>
        <v>0</v>
      </c>
      <c r="F65" s="184">
        <f>ImporteParaFinanciamiento*Programa!N46</f>
        <v>0</v>
      </c>
      <c r="G65" s="184">
        <f t="shared" si="9"/>
        <v>0</v>
      </c>
      <c r="H65" s="184">
        <f t="shared" si="10"/>
        <v>0</v>
      </c>
      <c r="I65" s="184">
        <f t="shared" si="1"/>
        <v>0</v>
      </c>
      <c r="J65" s="184">
        <f t="shared" si="2"/>
        <v>0</v>
      </c>
      <c r="K65" s="184">
        <f t="shared" si="12"/>
        <v>0</v>
      </c>
      <c r="L65" s="890">
        <f t="shared" si="3"/>
        <v>0</v>
      </c>
      <c r="M65" s="184">
        <f t="shared" si="4"/>
        <v>0</v>
      </c>
      <c r="N65" s="452">
        <f t="shared" si="11"/>
        <v>0</v>
      </c>
      <c r="O65" s="452">
        <f t="shared" si="5"/>
        <v>0</v>
      </c>
      <c r="P65" s="535">
        <f t="shared" si="6"/>
        <v>0</v>
      </c>
      <c r="Q65" s="670">
        <f>CostoDirectoMasIndirecto*Programa!N46</f>
        <v>0</v>
      </c>
      <c r="R65" s="646">
        <f>'f)Financ_Horizontal'!AJ$28</f>
        <v>0</v>
      </c>
      <c r="S65" s="674">
        <f t="shared" si="0"/>
        <v>0</v>
      </c>
      <c r="T65" s="535">
        <f t="shared" si="7"/>
        <v>0</v>
      </c>
      <c r="U65" s="609">
        <f t="shared" si="8"/>
        <v>0</v>
      </c>
    </row>
    <row r="66" spans="2:21">
      <c r="B66" s="424">
        <v>35</v>
      </c>
      <c r="C66" s="424" t="str">
        <f>IF(Programa!D47&gt;0,1+C65,"")</f>
        <v/>
      </c>
      <c r="D66" s="692">
        <f>IF(C66&lt;&gt;0,Programa!C47," ")</f>
        <v>0</v>
      </c>
      <c r="E66" s="1046">
        <f>IF(PeriodoEntregaAnticipo2=35,ImporteAnticipo2,0)</f>
        <v>0</v>
      </c>
      <c r="F66" s="184">
        <f>ImporteParaFinanciamiento*Programa!N47</f>
        <v>0</v>
      </c>
      <c r="G66" s="184">
        <f t="shared" si="9"/>
        <v>0</v>
      </c>
      <c r="H66" s="184">
        <f t="shared" si="10"/>
        <v>0</v>
      </c>
      <c r="I66" s="184">
        <f t="shared" si="1"/>
        <v>0</v>
      </c>
      <c r="J66" s="184">
        <f t="shared" si="2"/>
        <v>0</v>
      </c>
      <c r="K66" s="184">
        <f t="shared" si="12"/>
        <v>0</v>
      </c>
      <c r="L66" s="890">
        <f t="shared" si="3"/>
        <v>0</v>
      </c>
      <c r="M66" s="184">
        <f t="shared" si="4"/>
        <v>0</v>
      </c>
      <c r="N66" s="452">
        <f t="shared" si="11"/>
        <v>0</v>
      </c>
      <c r="O66" s="452">
        <f t="shared" si="5"/>
        <v>0</v>
      </c>
      <c r="P66" s="535">
        <f t="shared" si="6"/>
        <v>0</v>
      </c>
      <c r="Q66" s="670">
        <f>CostoDirectoMasIndirecto*Programa!N47</f>
        <v>0</v>
      </c>
      <c r="R66" s="646">
        <f>'f)Financ_Horizontal'!AK$28</f>
        <v>0</v>
      </c>
      <c r="S66" s="674">
        <f t="shared" si="0"/>
        <v>0</v>
      </c>
      <c r="T66" s="535">
        <f t="shared" si="7"/>
        <v>0</v>
      </c>
      <c r="U66" s="609">
        <f t="shared" si="8"/>
        <v>0</v>
      </c>
    </row>
    <row r="67" spans="2:21">
      <c r="B67" s="424">
        <v>36</v>
      </c>
      <c r="C67" s="424" t="str">
        <f>IF(Programa!D48&gt;0,1+C66,"")</f>
        <v/>
      </c>
      <c r="D67" s="692">
        <f>IF(C67&lt;&gt;0,Programa!C48," ")</f>
        <v>0</v>
      </c>
      <c r="E67" s="1046">
        <f>IF(PeriodoEntregaAnticipo2=36,ImporteAnticipo2,0)</f>
        <v>0</v>
      </c>
      <c r="F67" s="184">
        <f>ImporteParaFinanciamiento*Programa!N48</f>
        <v>0</v>
      </c>
      <c r="G67" s="184">
        <f t="shared" si="9"/>
        <v>0</v>
      </c>
      <c r="H67" s="184">
        <f t="shared" si="10"/>
        <v>0</v>
      </c>
      <c r="I67" s="184">
        <f t="shared" si="1"/>
        <v>0</v>
      </c>
      <c r="J67" s="184">
        <f t="shared" si="2"/>
        <v>0</v>
      </c>
      <c r="K67" s="184">
        <f t="shared" si="12"/>
        <v>0</v>
      </c>
      <c r="L67" s="890">
        <f t="shared" si="3"/>
        <v>0</v>
      </c>
      <c r="M67" s="184">
        <f t="shared" si="4"/>
        <v>0</v>
      </c>
      <c r="N67" s="452">
        <f t="shared" si="11"/>
        <v>0</v>
      </c>
      <c r="O67" s="452">
        <f t="shared" si="5"/>
        <v>0</v>
      </c>
      <c r="P67" s="535">
        <f t="shared" si="6"/>
        <v>0</v>
      </c>
      <c r="Q67" s="670">
        <f>CostoDirectoMasIndirecto*Programa!N48</f>
        <v>0</v>
      </c>
      <c r="R67" s="646">
        <f>'f)Financ_Horizontal'!AL$28</f>
        <v>0</v>
      </c>
      <c r="S67" s="674">
        <f t="shared" si="0"/>
        <v>0</v>
      </c>
      <c r="T67" s="535">
        <f t="shared" si="7"/>
        <v>0</v>
      </c>
      <c r="U67" s="609">
        <f t="shared" si="8"/>
        <v>0</v>
      </c>
    </row>
    <row r="68" spans="2:21">
      <c r="B68" s="424">
        <v>37</v>
      </c>
      <c r="C68" s="424" t="str">
        <f>IF(Programa!D49&gt;0,1+C67,"")</f>
        <v/>
      </c>
      <c r="D68" s="692">
        <f>IF(C68&lt;&gt;0,Programa!C49," ")</f>
        <v>0</v>
      </c>
      <c r="E68" s="1046">
        <f>IF(PeriodoEntregaAnticipo2=37,ImporteAnticipo2,0)</f>
        <v>0</v>
      </c>
      <c r="F68" s="184">
        <f>ImporteParaFinanciamiento*Programa!N49</f>
        <v>0</v>
      </c>
      <c r="G68" s="184">
        <f t="shared" si="9"/>
        <v>0</v>
      </c>
      <c r="H68" s="184">
        <f t="shared" si="10"/>
        <v>0</v>
      </c>
      <c r="I68" s="184">
        <f t="shared" si="1"/>
        <v>0</v>
      </c>
      <c r="J68" s="184">
        <f t="shared" si="2"/>
        <v>0</v>
      </c>
      <c r="K68" s="184">
        <f t="shared" si="12"/>
        <v>0</v>
      </c>
      <c r="L68" s="890">
        <f t="shared" si="3"/>
        <v>0</v>
      </c>
      <c r="M68" s="184">
        <f t="shared" si="4"/>
        <v>0</v>
      </c>
      <c r="N68" s="452">
        <f t="shared" si="11"/>
        <v>0</v>
      </c>
      <c r="O68" s="452">
        <f t="shared" si="5"/>
        <v>0</v>
      </c>
      <c r="P68" s="535">
        <f t="shared" si="6"/>
        <v>0</v>
      </c>
      <c r="Q68" s="670">
        <f>CostoDirectoMasIndirecto*Programa!N49</f>
        <v>0</v>
      </c>
      <c r="R68" s="646">
        <f>'f)Financ_Horizontal'!AM$28</f>
        <v>0</v>
      </c>
      <c r="S68" s="674">
        <f t="shared" si="0"/>
        <v>0</v>
      </c>
      <c r="T68" s="535">
        <f t="shared" si="7"/>
        <v>0</v>
      </c>
      <c r="U68" s="609">
        <f t="shared" si="8"/>
        <v>0</v>
      </c>
    </row>
    <row r="69" spans="2:21">
      <c r="B69" s="424">
        <v>38</v>
      </c>
      <c r="C69" s="424" t="str">
        <f>IF(Programa!D50&gt;0,1+C68,"")</f>
        <v/>
      </c>
      <c r="D69" s="692">
        <f>IF(C69&lt;&gt;0,Programa!C50," ")</f>
        <v>0</v>
      </c>
      <c r="E69" s="1046">
        <f>IF(PeriodoEntregaAnticipo2=38,ImporteAnticipo2,0)</f>
        <v>0</v>
      </c>
      <c r="F69" s="184">
        <f>ImporteParaFinanciamiento*Programa!N50</f>
        <v>0</v>
      </c>
      <c r="G69" s="184">
        <f t="shared" si="9"/>
        <v>0</v>
      </c>
      <c r="H69" s="184">
        <f t="shared" si="10"/>
        <v>0</v>
      </c>
      <c r="I69" s="184">
        <f t="shared" si="1"/>
        <v>0</v>
      </c>
      <c r="J69" s="184">
        <f t="shared" si="2"/>
        <v>0</v>
      </c>
      <c r="K69" s="184">
        <f t="shared" si="12"/>
        <v>0</v>
      </c>
      <c r="L69" s="890">
        <f t="shared" si="3"/>
        <v>0</v>
      </c>
      <c r="M69" s="184">
        <f t="shared" si="4"/>
        <v>0</v>
      </c>
      <c r="N69" s="452">
        <f t="shared" si="11"/>
        <v>0</v>
      </c>
      <c r="O69" s="452">
        <f t="shared" si="5"/>
        <v>0</v>
      </c>
      <c r="P69" s="535">
        <f t="shared" si="6"/>
        <v>0</v>
      </c>
      <c r="Q69" s="670">
        <f>CostoDirectoMasIndirecto*Programa!N50</f>
        <v>0</v>
      </c>
      <c r="R69" s="646">
        <f>'f)Financ_Horizontal'!AN$28</f>
        <v>0</v>
      </c>
      <c r="S69" s="674">
        <f t="shared" si="0"/>
        <v>0</v>
      </c>
      <c r="T69" s="535">
        <f t="shared" si="7"/>
        <v>0</v>
      </c>
      <c r="U69" s="609">
        <f t="shared" si="8"/>
        <v>0</v>
      </c>
    </row>
    <row r="70" spans="2:21">
      <c r="B70" s="424">
        <v>39</v>
      </c>
      <c r="C70" s="424" t="str">
        <f>IF(Programa!D51&gt;0,1+C69,"")</f>
        <v/>
      </c>
      <c r="D70" s="692">
        <f>IF(C70&lt;&gt;0,Programa!C51," ")</f>
        <v>0</v>
      </c>
      <c r="E70" s="1046">
        <f>IF(PeriodoEntregaAnticipo2=39,ImporteAnticipo2,0)</f>
        <v>0</v>
      </c>
      <c r="F70" s="184">
        <f>ImporteParaFinanciamiento*Programa!N51</f>
        <v>0</v>
      </c>
      <c r="G70" s="184">
        <f t="shared" si="9"/>
        <v>0</v>
      </c>
      <c r="H70" s="184">
        <f t="shared" si="10"/>
        <v>0</v>
      </c>
      <c r="I70" s="184">
        <f t="shared" si="1"/>
        <v>0</v>
      </c>
      <c r="J70" s="184">
        <f t="shared" si="2"/>
        <v>0</v>
      </c>
      <c r="K70" s="184">
        <f t="shared" si="12"/>
        <v>0</v>
      </c>
      <c r="L70" s="890">
        <f t="shared" si="3"/>
        <v>0</v>
      </c>
      <c r="M70" s="184">
        <f t="shared" si="4"/>
        <v>0</v>
      </c>
      <c r="N70" s="452">
        <f t="shared" si="11"/>
        <v>0</v>
      </c>
      <c r="O70" s="452">
        <f t="shared" si="5"/>
        <v>0</v>
      </c>
      <c r="P70" s="535">
        <f t="shared" si="6"/>
        <v>0</v>
      </c>
      <c r="Q70" s="670">
        <f>CostoDirectoMasIndirecto*Programa!N51</f>
        <v>0</v>
      </c>
      <c r="R70" s="646">
        <f>'f)Financ_Horizontal'!AO$28</f>
        <v>0</v>
      </c>
      <c r="S70" s="674">
        <f t="shared" si="0"/>
        <v>0</v>
      </c>
      <c r="T70" s="535">
        <f t="shared" si="7"/>
        <v>0</v>
      </c>
      <c r="U70" s="609">
        <f t="shared" si="8"/>
        <v>0</v>
      </c>
    </row>
    <row r="71" spans="2:21">
      <c r="B71" s="424">
        <v>40</v>
      </c>
      <c r="C71" s="424" t="str">
        <f>IF(Programa!D52&gt;0,1+C70,"")</f>
        <v/>
      </c>
      <c r="D71" s="692">
        <f>IF(C71&lt;&gt;0,Programa!C52," ")</f>
        <v>0</v>
      </c>
      <c r="E71" s="1046">
        <f>IF(PeriodoEntregaAnticipo2=40,ImporteAnticipo2,0)</f>
        <v>0</v>
      </c>
      <c r="F71" s="184">
        <f>ImporteParaFinanciamiento*Programa!N52</f>
        <v>0</v>
      </c>
      <c r="G71" s="184">
        <f t="shared" si="9"/>
        <v>0</v>
      </c>
      <c r="H71" s="184">
        <f t="shared" si="10"/>
        <v>0</v>
      </c>
      <c r="I71" s="184">
        <f t="shared" si="1"/>
        <v>0</v>
      </c>
      <c r="J71" s="184">
        <f t="shared" si="2"/>
        <v>0</v>
      </c>
      <c r="K71" s="184">
        <f t="shared" si="12"/>
        <v>0</v>
      </c>
      <c r="L71" s="890">
        <f t="shared" si="3"/>
        <v>0</v>
      </c>
      <c r="M71" s="184">
        <f t="shared" si="4"/>
        <v>0</v>
      </c>
      <c r="N71" s="452">
        <f t="shared" si="11"/>
        <v>0</v>
      </c>
      <c r="O71" s="452">
        <f t="shared" si="5"/>
        <v>0</v>
      </c>
      <c r="P71" s="535">
        <f t="shared" si="6"/>
        <v>0</v>
      </c>
      <c r="Q71" s="670">
        <f>CostoDirectoMasIndirecto*Programa!N52</f>
        <v>0</v>
      </c>
      <c r="R71" s="646">
        <f>'f)Financ_Horizontal'!AP$28</f>
        <v>0</v>
      </c>
      <c r="S71" s="674">
        <f t="shared" si="0"/>
        <v>0</v>
      </c>
      <c r="T71" s="535">
        <f t="shared" si="7"/>
        <v>0</v>
      </c>
      <c r="U71" s="609">
        <f t="shared" si="8"/>
        <v>0</v>
      </c>
    </row>
    <row r="72" spans="2:21">
      <c r="B72" s="424">
        <v>41</v>
      </c>
      <c r="C72" s="424" t="str">
        <f>IF(Programa!D53&gt;0,1+C71,"")</f>
        <v/>
      </c>
      <c r="D72" s="692">
        <f>IF(C72&lt;&gt;0,Programa!C53," ")</f>
        <v>0</v>
      </c>
      <c r="E72" s="1046">
        <f>IF(PeriodoEntregaAnticipo2=41,ImporteAnticipo2,0)</f>
        <v>0</v>
      </c>
      <c r="F72" s="184">
        <f>ImporteParaFinanciamiento*Programa!N53</f>
        <v>0</v>
      </c>
      <c r="G72" s="184">
        <f t="shared" si="9"/>
        <v>0</v>
      </c>
      <c r="H72" s="184">
        <f t="shared" si="10"/>
        <v>0</v>
      </c>
      <c r="I72" s="184">
        <f t="shared" si="1"/>
        <v>0</v>
      </c>
      <c r="J72" s="184">
        <f t="shared" si="2"/>
        <v>0</v>
      </c>
      <c r="K72" s="184">
        <f t="shared" si="12"/>
        <v>0</v>
      </c>
      <c r="L72" s="890">
        <f t="shared" si="3"/>
        <v>0</v>
      </c>
      <c r="M72" s="184">
        <f t="shared" si="4"/>
        <v>0</v>
      </c>
      <c r="N72" s="452">
        <f t="shared" si="11"/>
        <v>0</v>
      </c>
      <c r="O72" s="452">
        <f t="shared" si="5"/>
        <v>0</v>
      </c>
      <c r="P72" s="535">
        <f t="shared" si="6"/>
        <v>0</v>
      </c>
      <c r="Q72" s="670">
        <f>CostoDirectoMasIndirecto*Programa!N53</f>
        <v>0</v>
      </c>
      <c r="R72" s="646">
        <f>'f)Financ_Horizontal'!AQ$28</f>
        <v>0</v>
      </c>
      <c r="S72" s="674">
        <f t="shared" si="0"/>
        <v>0</v>
      </c>
      <c r="T72" s="535">
        <f t="shared" si="7"/>
        <v>0</v>
      </c>
      <c r="U72" s="609">
        <f t="shared" si="8"/>
        <v>0</v>
      </c>
    </row>
    <row r="73" spans="2:21">
      <c r="B73" s="424">
        <v>42</v>
      </c>
      <c r="C73" s="424" t="str">
        <f>IF(Programa!D54&gt;0,1+C72,"")</f>
        <v/>
      </c>
      <c r="D73" s="692">
        <f>IF(C73&lt;&gt;0,Programa!C54," ")</f>
        <v>0</v>
      </c>
      <c r="E73" s="1046">
        <f>IF(PeriodoEntregaAnticipo2=42,ImporteAnticipo2,0)</f>
        <v>0</v>
      </c>
      <c r="F73" s="184">
        <f>ImporteParaFinanciamiento*Programa!N54</f>
        <v>0</v>
      </c>
      <c r="G73" s="184">
        <f t="shared" si="9"/>
        <v>0</v>
      </c>
      <c r="H73" s="184">
        <f t="shared" si="10"/>
        <v>0</v>
      </c>
      <c r="I73" s="184">
        <f t="shared" si="1"/>
        <v>0</v>
      </c>
      <c r="J73" s="184">
        <f t="shared" si="2"/>
        <v>0</v>
      </c>
      <c r="K73" s="184">
        <f t="shared" si="12"/>
        <v>0</v>
      </c>
      <c r="L73" s="890">
        <f t="shared" si="3"/>
        <v>0</v>
      </c>
      <c r="M73" s="184">
        <f t="shared" si="4"/>
        <v>0</v>
      </c>
      <c r="N73" s="452">
        <f t="shared" si="11"/>
        <v>0</v>
      </c>
      <c r="O73" s="452">
        <f t="shared" si="5"/>
        <v>0</v>
      </c>
      <c r="P73" s="535">
        <f t="shared" si="6"/>
        <v>0</v>
      </c>
      <c r="Q73" s="670">
        <f>CostoDirectoMasIndirecto*Programa!N54</f>
        <v>0</v>
      </c>
      <c r="R73" s="646">
        <f>'f)Financ_Horizontal'!AR$28</f>
        <v>0</v>
      </c>
      <c r="S73" s="674">
        <f t="shared" si="0"/>
        <v>0</v>
      </c>
      <c r="T73" s="535">
        <f t="shared" si="7"/>
        <v>0</v>
      </c>
      <c r="U73" s="609">
        <f t="shared" si="8"/>
        <v>0</v>
      </c>
    </row>
    <row r="74" spans="2:21">
      <c r="B74" s="424">
        <v>43</v>
      </c>
      <c r="C74" s="424" t="str">
        <f>IF(Programa!D55&gt;0,1+C73,"")</f>
        <v/>
      </c>
      <c r="D74" s="692">
        <f>IF(C74&lt;&gt;0,Programa!C55," ")</f>
        <v>0</v>
      </c>
      <c r="E74" s="1046">
        <f>IF(PeriodoEntregaAnticipo2=43,ImporteAnticipo2,0)</f>
        <v>0</v>
      </c>
      <c r="F74" s="184">
        <f>ImporteParaFinanciamiento*Programa!N55</f>
        <v>0</v>
      </c>
      <c r="G74" s="184">
        <f t="shared" si="9"/>
        <v>0</v>
      </c>
      <c r="H74" s="184">
        <f t="shared" si="10"/>
        <v>0</v>
      </c>
      <c r="I74" s="184">
        <f t="shared" si="1"/>
        <v>0</v>
      </c>
      <c r="J74" s="184">
        <f t="shared" si="2"/>
        <v>0</v>
      </c>
      <c r="K74" s="184">
        <f t="shared" si="12"/>
        <v>0</v>
      </c>
      <c r="L74" s="890">
        <f t="shared" si="3"/>
        <v>0</v>
      </c>
      <c r="M74" s="184">
        <f t="shared" si="4"/>
        <v>0</v>
      </c>
      <c r="N74" s="452">
        <f t="shared" si="11"/>
        <v>0</v>
      </c>
      <c r="O74" s="452">
        <f t="shared" si="5"/>
        <v>0</v>
      </c>
      <c r="P74" s="535">
        <f t="shared" si="6"/>
        <v>0</v>
      </c>
      <c r="Q74" s="670">
        <f>CostoDirectoMasIndirecto*Programa!N55</f>
        <v>0</v>
      </c>
      <c r="R74" s="646">
        <f>'f)Financ_Horizontal'!AS$28</f>
        <v>0</v>
      </c>
      <c r="S74" s="674">
        <f t="shared" si="0"/>
        <v>0</v>
      </c>
      <c r="T74" s="535">
        <f t="shared" si="7"/>
        <v>0</v>
      </c>
      <c r="U74" s="609">
        <f t="shared" si="8"/>
        <v>0</v>
      </c>
    </row>
    <row r="75" spans="2:21">
      <c r="B75" s="424">
        <v>44</v>
      </c>
      <c r="C75" s="424" t="str">
        <f>IF(Programa!D56&gt;0,1+C74,"")</f>
        <v/>
      </c>
      <c r="D75" s="692">
        <f>IF(C75&lt;&gt;0,Programa!C56," ")</f>
        <v>0</v>
      </c>
      <c r="E75" s="1046">
        <f>IF(PeriodoEntregaAnticipo2=44,ImporteAnticipo2,0)</f>
        <v>0</v>
      </c>
      <c r="F75" s="184">
        <f>ImporteParaFinanciamiento*Programa!N56</f>
        <v>0</v>
      </c>
      <c r="G75" s="184">
        <f t="shared" si="9"/>
        <v>0</v>
      </c>
      <c r="H75" s="184">
        <f t="shared" si="10"/>
        <v>0</v>
      </c>
      <c r="I75" s="184">
        <f t="shared" si="1"/>
        <v>0</v>
      </c>
      <c r="J75" s="184">
        <f t="shared" si="2"/>
        <v>0</v>
      </c>
      <c r="K75" s="184">
        <f t="shared" si="12"/>
        <v>0</v>
      </c>
      <c r="L75" s="890">
        <f t="shared" si="3"/>
        <v>0</v>
      </c>
      <c r="M75" s="184">
        <f t="shared" si="4"/>
        <v>0</v>
      </c>
      <c r="N75" s="452">
        <f t="shared" si="11"/>
        <v>0</v>
      </c>
      <c r="O75" s="452">
        <f t="shared" si="5"/>
        <v>0</v>
      </c>
      <c r="P75" s="535">
        <f t="shared" si="6"/>
        <v>0</v>
      </c>
      <c r="Q75" s="670">
        <f>CostoDirectoMasIndirecto*Programa!N56</f>
        <v>0</v>
      </c>
      <c r="R75" s="646">
        <f>'f)Financ_Horizontal'!AT$28</f>
        <v>0</v>
      </c>
      <c r="S75" s="674">
        <f t="shared" si="0"/>
        <v>0</v>
      </c>
      <c r="T75" s="535">
        <f t="shared" si="7"/>
        <v>0</v>
      </c>
      <c r="U75" s="609">
        <f t="shared" si="8"/>
        <v>0</v>
      </c>
    </row>
    <row r="76" spans="2:21">
      <c r="B76" s="424">
        <v>45</v>
      </c>
      <c r="C76" s="424" t="str">
        <f>IF(Programa!D57&gt;0,1+C75,"")</f>
        <v/>
      </c>
      <c r="D76" s="692">
        <f>IF(C76&lt;&gt;0,Programa!C57," ")</f>
        <v>0</v>
      </c>
      <c r="E76" s="1046">
        <f>IF(PeriodoEntregaAnticipo2=45,ImporteAnticipo2,0)</f>
        <v>0</v>
      </c>
      <c r="F76" s="184">
        <f>ImporteParaFinanciamiento*Programa!N57</f>
        <v>0</v>
      </c>
      <c r="G76" s="184">
        <f t="shared" si="9"/>
        <v>0</v>
      </c>
      <c r="H76" s="184">
        <f t="shared" si="10"/>
        <v>0</v>
      </c>
      <c r="I76" s="184">
        <f t="shared" si="1"/>
        <v>0</v>
      </c>
      <c r="J76" s="184">
        <f t="shared" si="2"/>
        <v>0</v>
      </c>
      <c r="K76" s="184">
        <f t="shared" si="12"/>
        <v>0</v>
      </c>
      <c r="L76" s="890">
        <f t="shared" si="3"/>
        <v>0</v>
      </c>
      <c r="M76" s="184">
        <f t="shared" si="4"/>
        <v>0</v>
      </c>
      <c r="N76" s="452">
        <f t="shared" si="11"/>
        <v>0</v>
      </c>
      <c r="O76" s="452">
        <f t="shared" si="5"/>
        <v>0</v>
      </c>
      <c r="P76" s="535">
        <f t="shared" si="6"/>
        <v>0</v>
      </c>
      <c r="Q76" s="670">
        <f>CostoDirectoMasIndirecto*Programa!N57</f>
        <v>0</v>
      </c>
      <c r="R76" s="646">
        <f>'f)Financ_Horizontal'!AU$28</f>
        <v>0</v>
      </c>
      <c r="S76" s="674">
        <f t="shared" si="0"/>
        <v>0</v>
      </c>
      <c r="T76" s="535">
        <f t="shared" si="7"/>
        <v>0</v>
      </c>
      <c r="U76" s="609">
        <f t="shared" si="8"/>
        <v>0</v>
      </c>
    </row>
    <row r="77" spans="2:21">
      <c r="B77" s="424">
        <v>46</v>
      </c>
      <c r="C77" s="424" t="str">
        <f>IF(Programa!D58&gt;0,1+C76,"")</f>
        <v/>
      </c>
      <c r="D77" s="692">
        <f>IF(C77&lt;&gt;0,Programa!C58," ")</f>
        <v>0</v>
      </c>
      <c r="E77" s="1046">
        <f>IF(PeriodoEntregaAnticipo2=46,ImporteAnticipo2,0)</f>
        <v>0</v>
      </c>
      <c r="F77" s="184">
        <f>ImporteParaFinanciamiento*Programa!N58</f>
        <v>0</v>
      </c>
      <c r="G77" s="184">
        <f t="shared" si="9"/>
        <v>0</v>
      </c>
      <c r="H77" s="184">
        <f t="shared" si="10"/>
        <v>0</v>
      </c>
      <c r="I77" s="184">
        <f t="shared" si="1"/>
        <v>0</v>
      </c>
      <c r="J77" s="184">
        <f t="shared" si="2"/>
        <v>0</v>
      </c>
      <c r="K77" s="184">
        <f t="shared" si="12"/>
        <v>0</v>
      </c>
      <c r="L77" s="890">
        <f t="shared" si="3"/>
        <v>0</v>
      </c>
      <c r="M77" s="184">
        <f t="shared" si="4"/>
        <v>0</v>
      </c>
      <c r="N77" s="452">
        <f t="shared" si="11"/>
        <v>0</v>
      </c>
      <c r="O77" s="452">
        <f t="shared" si="5"/>
        <v>0</v>
      </c>
      <c r="P77" s="535">
        <f t="shared" si="6"/>
        <v>0</v>
      </c>
      <c r="Q77" s="670">
        <f>CostoDirectoMasIndirecto*Programa!N58</f>
        <v>0</v>
      </c>
      <c r="R77" s="646">
        <f>'f)Financ_Horizontal'!AV$28</f>
        <v>0</v>
      </c>
      <c r="S77" s="674">
        <f t="shared" si="0"/>
        <v>0</v>
      </c>
      <c r="T77" s="535">
        <f t="shared" si="7"/>
        <v>0</v>
      </c>
      <c r="U77" s="609">
        <f t="shared" si="8"/>
        <v>0</v>
      </c>
    </row>
    <row r="78" spans="2:21">
      <c r="B78" s="424">
        <v>47</v>
      </c>
      <c r="C78" s="424" t="str">
        <f>IF(Programa!D59&gt;0,1+C77,"")</f>
        <v/>
      </c>
      <c r="D78" s="692">
        <f>IF(C78&lt;&gt;0,Programa!C59," ")</f>
        <v>0</v>
      </c>
      <c r="E78" s="1046">
        <f>IF(PeriodoEntregaAnticipo2=47,ImporteAnticipo2,0)</f>
        <v>0</v>
      </c>
      <c r="F78" s="184">
        <f>ImporteParaFinanciamiento*Programa!N59</f>
        <v>0</v>
      </c>
      <c r="G78" s="184">
        <f t="shared" si="9"/>
        <v>0</v>
      </c>
      <c r="H78" s="184">
        <f t="shared" si="10"/>
        <v>0</v>
      </c>
      <c r="I78" s="184">
        <f t="shared" si="1"/>
        <v>0</v>
      </c>
      <c r="J78" s="184">
        <f t="shared" si="2"/>
        <v>0</v>
      </c>
      <c r="K78" s="184">
        <f t="shared" si="12"/>
        <v>0</v>
      </c>
      <c r="L78" s="890">
        <f t="shared" si="3"/>
        <v>0</v>
      </c>
      <c r="M78" s="184">
        <f t="shared" si="4"/>
        <v>0</v>
      </c>
      <c r="N78" s="452">
        <f t="shared" si="11"/>
        <v>0</v>
      </c>
      <c r="O78" s="452">
        <f t="shared" si="5"/>
        <v>0</v>
      </c>
      <c r="P78" s="535">
        <f t="shared" si="6"/>
        <v>0</v>
      </c>
      <c r="Q78" s="670">
        <f>CostoDirectoMasIndirecto*Programa!N59</f>
        <v>0</v>
      </c>
      <c r="R78" s="646">
        <f>'f)Financ_Horizontal'!AW$28</f>
        <v>0</v>
      </c>
      <c r="S78" s="674">
        <f t="shared" si="0"/>
        <v>0</v>
      </c>
      <c r="T78" s="535">
        <f t="shared" si="7"/>
        <v>0</v>
      </c>
      <c r="U78" s="609">
        <f t="shared" si="8"/>
        <v>0</v>
      </c>
    </row>
    <row r="79" spans="2:21">
      <c r="B79" s="424">
        <v>48</v>
      </c>
      <c r="C79" s="424" t="str">
        <f>IF(Programa!D60&gt;0,1+C78,"")</f>
        <v/>
      </c>
      <c r="D79" s="692">
        <f>IF(C79&lt;&gt;0,Programa!C60," ")</f>
        <v>0</v>
      </c>
      <c r="E79" s="1046">
        <f>IF(PeriodoEntregaAnticipo2=48,ImporteAnticipo2,0)</f>
        <v>0</v>
      </c>
      <c r="F79" s="184">
        <f>ImporteParaFinanciamiento*Programa!N60</f>
        <v>0</v>
      </c>
      <c r="G79" s="184">
        <f t="shared" si="9"/>
        <v>0</v>
      </c>
      <c r="H79" s="184">
        <f t="shared" si="10"/>
        <v>0</v>
      </c>
      <c r="I79" s="184">
        <f t="shared" si="1"/>
        <v>0</v>
      </c>
      <c r="J79" s="184">
        <f t="shared" si="2"/>
        <v>0</v>
      </c>
      <c r="K79" s="184">
        <f t="shared" si="12"/>
        <v>0</v>
      </c>
      <c r="L79" s="890">
        <f t="shared" si="3"/>
        <v>0</v>
      </c>
      <c r="M79" s="184">
        <f t="shared" si="4"/>
        <v>0</v>
      </c>
      <c r="N79" s="452">
        <f t="shared" si="11"/>
        <v>0</v>
      </c>
      <c r="O79" s="452">
        <f t="shared" si="5"/>
        <v>0</v>
      </c>
      <c r="P79" s="535">
        <f t="shared" si="6"/>
        <v>0</v>
      </c>
      <c r="Q79" s="670">
        <f>CostoDirectoMasIndirecto*Programa!N60</f>
        <v>0</v>
      </c>
      <c r="R79" s="646">
        <f>'f)Financ_Horizontal'!AX$28</f>
        <v>0</v>
      </c>
      <c r="S79" s="674">
        <f t="shared" si="0"/>
        <v>0</v>
      </c>
      <c r="T79" s="535">
        <f t="shared" si="7"/>
        <v>0</v>
      </c>
      <c r="U79" s="609">
        <f t="shared" si="8"/>
        <v>0</v>
      </c>
    </row>
    <row r="80" spans="2:21">
      <c r="B80" s="424">
        <v>49</v>
      </c>
      <c r="C80" s="424" t="str">
        <f>IF(Programa!D61&gt;0,1+C79,"")</f>
        <v/>
      </c>
      <c r="D80" s="692">
        <f>IF(C80&lt;&gt;0,Programa!C61," ")</f>
        <v>0</v>
      </c>
      <c r="E80" s="1046">
        <f>IF(PeriodoEntregaAnticipo2=49,ImporteAnticipo2,0)</f>
        <v>0</v>
      </c>
      <c r="F80" s="184">
        <f>ImporteParaFinanciamiento*Programa!N61</f>
        <v>0</v>
      </c>
      <c r="G80" s="184">
        <f t="shared" si="9"/>
        <v>0</v>
      </c>
      <c r="H80" s="184">
        <f t="shared" si="10"/>
        <v>0</v>
      </c>
      <c r="I80" s="184">
        <f t="shared" si="1"/>
        <v>0</v>
      </c>
      <c r="J80" s="184">
        <f t="shared" si="2"/>
        <v>0</v>
      </c>
      <c r="K80" s="184">
        <f t="shared" si="12"/>
        <v>0</v>
      </c>
      <c r="L80" s="890">
        <f t="shared" si="3"/>
        <v>0</v>
      </c>
      <c r="M80" s="184">
        <f t="shared" si="4"/>
        <v>0</v>
      </c>
      <c r="N80" s="452">
        <f t="shared" si="11"/>
        <v>0</v>
      </c>
      <c r="O80" s="452">
        <f t="shared" si="5"/>
        <v>0</v>
      </c>
      <c r="P80" s="535">
        <f t="shared" si="6"/>
        <v>0</v>
      </c>
      <c r="Q80" s="670">
        <f>CostoDirectoMasIndirecto*Programa!N61</f>
        <v>0</v>
      </c>
      <c r="R80" s="646">
        <f>'f)Financ_Horizontal'!AY$28</f>
        <v>0</v>
      </c>
      <c r="S80" s="674">
        <f t="shared" si="0"/>
        <v>0</v>
      </c>
      <c r="T80" s="535">
        <f t="shared" si="7"/>
        <v>0</v>
      </c>
      <c r="U80" s="609">
        <f t="shared" si="8"/>
        <v>0</v>
      </c>
    </row>
    <row r="81" spans="2:21">
      <c r="B81" s="424">
        <v>50</v>
      </c>
      <c r="C81" s="424" t="str">
        <f>IF(Programa!D62&gt;0,1+C80,"")</f>
        <v/>
      </c>
      <c r="D81" s="692">
        <f>IF(C81&lt;&gt;0,Programa!C62," ")</f>
        <v>0</v>
      </c>
      <c r="E81" s="1046">
        <f>IF(PeriodoEntregaAnticipo2=50,ImporteAnticipo2,0)</f>
        <v>0</v>
      </c>
      <c r="F81" s="184">
        <f>ImporteParaFinanciamiento*Programa!N62</f>
        <v>0</v>
      </c>
      <c r="G81" s="184">
        <f t="shared" si="9"/>
        <v>0</v>
      </c>
      <c r="H81" s="184">
        <f t="shared" si="10"/>
        <v>0</v>
      </c>
      <c r="I81" s="184">
        <f t="shared" si="1"/>
        <v>0</v>
      </c>
      <c r="J81" s="184">
        <f t="shared" si="2"/>
        <v>0</v>
      </c>
      <c r="K81" s="184">
        <f t="shared" si="12"/>
        <v>0</v>
      </c>
      <c r="L81" s="890">
        <f t="shared" si="3"/>
        <v>0</v>
      </c>
      <c r="M81" s="184">
        <f t="shared" si="4"/>
        <v>0</v>
      </c>
      <c r="N81" s="452">
        <f t="shared" si="11"/>
        <v>0</v>
      </c>
      <c r="O81" s="452">
        <f t="shared" si="5"/>
        <v>0</v>
      </c>
      <c r="P81" s="535">
        <f t="shared" si="6"/>
        <v>0</v>
      </c>
      <c r="Q81" s="670">
        <f>CostoDirectoMasIndirecto*Programa!N62</f>
        <v>0</v>
      </c>
      <c r="R81" s="646">
        <f>'f)Financ_Horizontal'!AZ28</f>
        <v>0</v>
      </c>
      <c r="S81" s="674">
        <f t="shared" si="0"/>
        <v>0</v>
      </c>
      <c r="T81" s="535">
        <f t="shared" si="7"/>
        <v>0</v>
      </c>
      <c r="U81" s="609">
        <f t="shared" si="8"/>
        <v>0</v>
      </c>
    </row>
    <row r="82" spans="2:21">
      <c r="B82" s="424">
        <v>51</v>
      </c>
      <c r="C82" s="424" t="str">
        <f>IF(Programa!D63&gt;0,1+C81,"")</f>
        <v/>
      </c>
      <c r="D82" s="692">
        <f>IF(C82&lt;&gt;0,Programa!C63," ")</f>
        <v>0</v>
      </c>
      <c r="E82" s="1046">
        <f>IF(PeriodoEntregaAnticipo2=51,ImporteAnticipo2,0)</f>
        <v>0</v>
      </c>
      <c r="F82" s="184">
        <f>ImporteParaFinanciamiento*Programa!N63</f>
        <v>0</v>
      </c>
      <c r="G82" s="184">
        <f t="shared" si="9"/>
        <v>0</v>
      </c>
      <c r="H82" s="184">
        <f t="shared" si="10"/>
        <v>0</v>
      </c>
      <c r="I82" s="184">
        <f t="shared" si="1"/>
        <v>0</v>
      </c>
      <c r="J82" s="184">
        <f t="shared" si="2"/>
        <v>0</v>
      </c>
      <c r="K82" s="184">
        <f t="shared" si="12"/>
        <v>0</v>
      </c>
      <c r="L82" s="890">
        <f t="shared" si="3"/>
        <v>0</v>
      </c>
      <c r="M82" s="184">
        <f t="shared" si="4"/>
        <v>0</v>
      </c>
      <c r="N82" s="452">
        <f t="shared" si="11"/>
        <v>0</v>
      </c>
      <c r="O82" s="452">
        <f t="shared" si="5"/>
        <v>0</v>
      </c>
      <c r="P82" s="535">
        <f t="shared" si="6"/>
        <v>0</v>
      </c>
      <c r="Q82" s="670">
        <f>CostoDirectoMasIndirecto*Programa!N63</f>
        <v>0</v>
      </c>
      <c r="R82" s="646">
        <f>'f)Financ_Horizontal'!BA$28</f>
        <v>0</v>
      </c>
      <c r="S82" s="674">
        <f t="shared" si="0"/>
        <v>0</v>
      </c>
      <c r="T82" s="535">
        <f t="shared" si="7"/>
        <v>0</v>
      </c>
      <c r="U82" s="609">
        <f t="shared" si="8"/>
        <v>0</v>
      </c>
    </row>
    <row r="83" spans="2:21">
      <c r="B83" s="424">
        <v>52</v>
      </c>
      <c r="C83" s="424" t="str">
        <f>IF(Programa!D64&gt;0,1+C82,"")</f>
        <v/>
      </c>
      <c r="D83" s="692">
        <f>IF(C83&lt;&gt;0,Programa!C64," ")</f>
        <v>0</v>
      </c>
      <c r="E83" s="1046">
        <f>IF(PeriodoEntregaAnticipo2=52,ImporteAnticipo2,0)</f>
        <v>0</v>
      </c>
      <c r="F83" s="184">
        <f>ImporteParaFinanciamiento*Programa!N64</f>
        <v>0</v>
      </c>
      <c r="G83" s="184">
        <f t="shared" si="9"/>
        <v>0</v>
      </c>
      <c r="H83" s="184">
        <f t="shared" si="10"/>
        <v>0</v>
      </c>
      <c r="I83" s="184">
        <f t="shared" si="1"/>
        <v>0</v>
      </c>
      <c r="J83" s="184">
        <f t="shared" si="2"/>
        <v>0</v>
      </c>
      <c r="K83" s="184">
        <f t="shared" si="12"/>
        <v>0</v>
      </c>
      <c r="L83" s="890">
        <f t="shared" si="3"/>
        <v>0</v>
      </c>
      <c r="M83" s="184">
        <f t="shared" si="4"/>
        <v>0</v>
      </c>
      <c r="N83" s="452">
        <f t="shared" si="11"/>
        <v>0</v>
      </c>
      <c r="O83" s="452">
        <f t="shared" si="5"/>
        <v>0</v>
      </c>
      <c r="P83" s="535">
        <f t="shared" si="6"/>
        <v>0</v>
      </c>
      <c r="Q83" s="670">
        <f>CostoDirectoMasIndirecto*Programa!N64</f>
        <v>0</v>
      </c>
      <c r="R83" s="646">
        <f>'f)Financ_Horizontal'!BB$28</f>
        <v>0</v>
      </c>
      <c r="S83" s="674">
        <f t="shared" si="0"/>
        <v>0</v>
      </c>
      <c r="T83" s="535">
        <f t="shared" si="7"/>
        <v>0</v>
      </c>
      <c r="U83" s="609">
        <f t="shared" si="8"/>
        <v>0</v>
      </c>
    </row>
    <row r="84" spans="2:21">
      <c r="B84" s="424">
        <v>53</v>
      </c>
      <c r="C84" s="424" t="str">
        <f>IF(Programa!D65&gt;0,1+C83,"")</f>
        <v/>
      </c>
      <c r="D84" s="692">
        <f>IF(C84&lt;&gt;0,Programa!C65," ")</f>
        <v>0</v>
      </c>
      <c r="E84" s="1046">
        <f>IF(PeriodoEntregaAnticipo2=53,ImporteAnticipo2,0)</f>
        <v>0</v>
      </c>
      <c r="F84" s="184">
        <f>ImporteParaFinanciamiento*Programa!N65</f>
        <v>0</v>
      </c>
      <c r="G84" s="184">
        <f t="shared" si="9"/>
        <v>0</v>
      </c>
      <c r="H84" s="184">
        <f t="shared" si="10"/>
        <v>0</v>
      </c>
      <c r="I84" s="184">
        <f t="shared" si="1"/>
        <v>0</v>
      </c>
      <c r="J84" s="184">
        <f t="shared" si="2"/>
        <v>0</v>
      </c>
      <c r="K84" s="184">
        <f t="shared" si="12"/>
        <v>0</v>
      </c>
      <c r="L84" s="890">
        <f t="shared" si="3"/>
        <v>0</v>
      </c>
      <c r="M84" s="184">
        <f t="shared" si="4"/>
        <v>0</v>
      </c>
      <c r="N84" s="452">
        <f t="shared" si="11"/>
        <v>0</v>
      </c>
      <c r="O84" s="452">
        <f t="shared" si="5"/>
        <v>0</v>
      </c>
      <c r="P84" s="535">
        <f t="shared" si="6"/>
        <v>0</v>
      </c>
      <c r="Q84" s="670">
        <f>CostoDirectoMasIndirecto*Programa!N65</f>
        <v>0</v>
      </c>
      <c r="R84" s="646">
        <f>'f)Financ_Horizontal'!BC$28</f>
        <v>0</v>
      </c>
      <c r="S84" s="674">
        <f t="shared" si="0"/>
        <v>0</v>
      </c>
      <c r="T84" s="535">
        <f t="shared" si="7"/>
        <v>0</v>
      </c>
      <c r="U84" s="609">
        <f t="shared" si="8"/>
        <v>0</v>
      </c>
    </row>
    <row r="85" spans="2:21">
      <c r="B85" s="424">
        <v>54</v>
      </c>
      <c r="C85" s="424" t="str">
        <f>IF(Programa!D66&gt;0,1+C84,"")</f>
        <v/>
      </c>
      <c r="D85" s="692">
        <f>IF(C85&lt;&gt;0,Programa!C66," ")</f>
        <v>0</v>
      </c>
      <c r="E85" s="1046">
        <f>IF(PeriodoEntregaAnticipo2=54,ImporteAnticipo2,0)</f>
        <v>0</v>
      </c>
      <c r="F85" s="184">
        <f>ImporteParaFinanciamiento*Programa!N66</f>
        <v>0</v>
      </c>
      <c r="G85" s="184">
        <f t="shared" si="9"/>
        <v>0</v>
      </c>
      <c r="H85" s="184">
        <f t="shared" si="10"/>
        <v>0</v>
      </c>
      <c r="I85" s="184">
        <f t="shared" si="1"/>
        <v>0</v>
      </c>
      <c r="J85" s="184">
        <f t="shared" si="2"/>
        <v>0</v>
      </c>
      <c r="K85" s="184">
        <f t="shared" si="12"/>
        <v>0</v>
      </c>
      <c r="L85" s="890">
        <f t="shared" si="3"/>
        <v>0</v>
      </c>
      <c r="M85" s="184">
        <f t="shared" si="4"/>
        <v>0</v>
      </c>
      <c r="N85" s="452">
        <f t="shared" si="11"/>
        <v>0</v>
      </c>
      <c r="O85" s="452">
        <f t="shared" si="5"/>
        <v>0</v>
      </c>
      <c r="P85" s="535">
        <f t="shared" si="6"/>
        <v>0</v>
      </c>
      <c r="Q85" s="670">
        <f>CostoDirectoMasIndirecto*Programa!N66</f>
        <v>0</v>
      </c>
      <c r="R85" s="646">
        <f>'f)Financ_Horizontal'!BD$28</f>
        <v>0</v>
      </c>
      <c r="S85" s="674">
        <f t="shared" si="0"/>
        <v>0</v>
      </c>
      <c r="T85" s="535">
        <f t="shared" si="7"/>
        <v>0</v>
      </c>
      <c r="U85" s="609">
        <f t="shared" si="8"/>
        <v>0</v>
      </c>
    </row>
    <row r="86" spans="2:21">
      <c r="B86" s="424">
        <v>55</v>
      </c>
      <c r="C86" s="424" t="str">
        <f>IF(Programa!D67&gt;0,1+C85,"")</f>
        <v/>
      </c>
      <c r="D86" s="692">
        <f>IF(C86&lt;&gt;0,Programa!C67," ")</f>
        <v>0</v>
      </c>
      <c r="E86" s="1046">
        <f>IF(PeriodoEntregaAnticipo2=55,ImporteAnticipo2,0)</f>
        <v>0</v>
      </c>
      <c r="F86" s="184">
        <f>ImporteParaFinanciamiento*Programa!N67</f>
        <v>0</v>
      </c>
      <c r="G86" s="184">
        <f t="shared" si="9"/>
        <v>0</v>
      </c>
      <c r="H86" s="184">
        <f t="shared" si="10"/>
        <v>0</v>
      </c>
      <c r="I86" s="184">
        <f t="shared" si="1"/>
        <v>0</v>
      </c>
      <c r="J86" s="184">
        <f t="shared" si="2"/>
        <v>0</v>
      </c>
      <c r="K86" s="184">
        <f t="shared" si="12"/>
        <v>0</v>
      </c>
      <c r="L86" s="890">
        <f t="shared" si="3"/>
        <v>0</v>
      </c>
      <c r="M86" s="184">
        <f t="shared" si="4"/>
        <v>0</v>
      </c>
      <c r="N86" s="452">
        <f t="shared" si="11"/>
        <v>0</v>
      </c>
      <c r="O86" s="452">
        <f t="shared" si="5"/>
        <v>0</v>
      </c>
      <c r="P86" s="535">
        <f t="shared" si="6"/>
        <v>0</v>
      </c>
      <c r="Q86" s="670">
        <f>CostoDirectoMasIndirecto*Programa!N67</f>
        <v>0</v>
      </c>
      <c r="R86" s="646">
        <f>'f)Financ_Horizontal'!BE$28</f>
        <v>0</v>
      </c>
      <c r="S86" s="674">
        <f t="shared" si="0"/>
        <v>0</v>
      </c>
      <c r="T86" s="535">
        <f t="shared" si="7"/>
        <v>0</v>
      </c>
      <c r="U86" s="609">
        <f t="shared" si="8"/>
        <v>0</v>
      </c>
    </row>
    <row r="87" spans="2:21">
      <c r="B87" s="424">
        <v>56</v>
      </c>
      <c r="C87" s="424" t="str">
        <f>IF(Programa!D68&gt;0,1+C86,"")</f>
        <v/>
      </c>
      <c r="D87" s="692">
        <f>IF(C87&lt;&gt;0,Programa!C68," ")</f>
        <v>0</v>
      </c>
      <c r="E87" s="1046">
        <f>IF(PeriodoEntregaAnticipo2=56,ImporteAnticipo2,0)</f>
        <v>0</v>
      </c>
      <c r="F87" s="184">
        <f>ImporteParaFinanciamiento*Programa!N68</f>
        <v>0</v>
      </c>
      <c r="G87" s="184">
        <f t="shared" si="9"/>
        <v>0</v>
      </c>
      <c r="H87" s="184">
        <f t="shared" si="10"/>
        <v>0</v>
      </c>
      <c r="I87" s="184">
        <f t="shared" si="1"/>
        <v>0</v>
      </c>
      <c r="J87" s="184">
        <f t="shared" si="2"/>
        <v>0</v>
      </c>
      <c r="K87" s="184">
        <f t="shared" si="12"/>
        <v>0</v>
      </c>
      <c r="L87" s="890">
        <f t="shared" si="3"/>
        <v>0</v>
      </c>
      <c r="M87" s="184">
        <f t="shared" si="4"/>
        <v>0</v>
      </c>
      <c r="N87" s="452">
        <f t="shared" si="11"/>
        <v>0</v>
      </c>
      <c r="O87" s="452">
        <f t="shared" si="5"/>
        <v>0</v>
      </c>
      <c r="P87" s="535">
        <f t="shared" si="6"/>
        <v>0</v>
      </c>
      <c r="Q87" s="670">
        <f>CostoDirectoMasIndirecto*Programa!N68</f>
        <v>0</v>
      </c>
      <c r="R87" s="646">
        <f>'f)Financ_Horizontal'!BF$28</f>
        <v>0</v>
      </c>
      <c r="S87" s="674">
        <f t="shared" si="0"/>
        <v>0</v>
      </c>
      <c r="T87" s="535">
        <f t="shared" si="7"/>
        <v>0</v>
      </c>
      <c r="U87" s="609">
        <f t="shared" si="8"/>
        <v>0</v>
      </c>
    </row>
    <row r="88" spans="2:21">
      <c r="B88" s="424">
        <v>57</v>
      </c>
      <c r="C88" s="424" t="str">
        <f>IF(Programa!D69&gt;0,1+C87,"")</f>
        <v/>
      </c>
      <c r="D88" s="692">
        <f>IF(C88&lt;&gt;0,Programa!C69," ")</f>
        <v>0</v>
      </c>
      <c r="E88" s="1046">
        <f>IF(PeriodoEntregaAnticipo2=57,ImporteAnticipo2,0)</f>
        <v>0</v>
      </c>
      <c r="F88" s="184">
        <f>ImporteParaFinanciamiento*Programa!N69</f>
        <v>0</v>
      </c>
      <c r="G88" s="184">
        <f t="shared" si="9"/>
        <v>0</v>
      </c>
      <c r="H88" s="184">
        <f t="shared" si="10"/>
        <v>0</v>
      </c>
      <c r="I88" s="184">
        <f t="shared" si="1"/>
        <v>0</v>
      </c>
      <c r="J88" s="184">
        <f t="shared" si="2"/>
        <v>0</v>
      </c>
      <c r="K88" s="184">
        <f t="shared" si="12"/>
        <v>0</v>
      </c>
      <c r="L88" s="890">
        <f t="shared" si="3"/>
        <v>0</v>
      </c>
      <c r="M88" s="184">
        <f t="shared" si="4"/>
        <v>0</v>
      </c>
      <c r="N88" s="452">
        <f t="shared" si="11"/>
        <v>0</v>
      </c>
      <c r="O88" s="452">
        <f t="shared" si="5"/>
        <v>0</v>
      </c>
      <c r="P88" s="535">
        <f t="shared" si="6"/>
        <v>0</v>
      </c>
      <c r="Q88" s="670">
        <f>CostoDirectoMasIndirecto*Programa!N69</f>
        <v>0</v>
      </c>
      <c r="R88" s="646">
        <f>'f)Financ_Horizontal'!BG$28</f>
        <v>0</v>
      </c>
      <c r="S88" s="674">
        <f t="shared" si="0"/>
        <v>0</v>
      </c>
      <c r="T88" s="535">
        <f t="shared" si="7"/>
        <v>0</v>
      </c>
      <c r="U88" s="609">
        <f t="shared" si="8"/>
        <v>0</v>
      </c>
    </row>
    <row r="89" spans="2:21">
      <c r="B89" s="424">
        <v>58</v>
      </c>
      <c r="C89" s="424" t="str">
        <f>IF(Programa!D70&gt;0,1+C88,"")</f>
        <v/>
      </c>
      <c r="D89" s="692">
        <f>IF(C89&lt;&gt;0,Programa!C70," ")</f>
        <v>0</v>
      </c>
      <c r="E89" s="1046">
        <f>IF(PeriodoEntregaAnticipo2=58,ImporteAnticipo2,0)</f>
        <v>0</v>
      </c>
      <c r="F89" s="184">
        <f>ImporteParaFinanciamiento*Programa!N70</f>
        <v>0</v>
      </c>
      <c r="G89" s="184">
        <f t="shared" si="9"/>
        <v>0</v>
      </c>
      <c r="H89" s="184">
        <f t="shared" si="10"/>
        <v>0</v>
      </c>
      <c r="I89" s="184">
        <f t="shared" si="1"/>
        <v>0</v>
      </c>
      <c r="J89" s="184">
        <f t="shared" si="2"/>
        <v>0</v>
      </c>
      <c r="K89" s="184">
        <f t="shared" si="12"/>
        <v>0</v>
      </c>
      <c r="L89" s="890">
        <f t="shared" si="3"/>
        <v>0</v>
      </c>
      <c r="M89" s="184">
        <f t="shared" si="4"/>
        <v>0</v>
      </c>
      <c r="N89" s="452">
        <f t="shared" si="11"/>
        <v>0</v>
      </c>
      <c r="O89" s="452">
        <f t="shared" si="5"/>
        <v>0</v>
      </c>
      <c r="P89" s="535">
        <f t="shared" si="6"/>
        <v>0</v>
      </c>
      <c r="Q89" s="670">
        <f>CostoDirectoMasIndirecto*Programa!N70</f>
        <v>0</v>
      </c>
      <c r="R89" s="646">
        <f>'f)Financ_Horizontal'!BH$28</f>
        <v>0</v>
      </c>
      <c r="S89" s="674">
        <f t="shared" si="0"/>
        <v>0</v>
      </c>
      <c r="T89" s="535">
        <f t="shared" si="7"/>
        <v>0</v>
      </c>
      <c r="U89" s="609">
        <f t="shared" si="8"/>
        <v>0</v>
      </c>
    </row>
    <row r="90" spans="2:21">
      <c r="B90" s="424">
        <v>59</v>
      </c>
      <c r="C90" s="424" t="str">
        <f>IF(Programa!D71&gt;0,1+C89,"")</f>
        <v/>
      </c>
      <c r="D90" s="692">
        <f>IF(C90&lt;&gt;0,Programa!C71," ")</f>
        <v>0</v>
      </c>
      <c r="E90" s="1046">
        <f>IF(PeriodoEntregaAnticipo2=59,ImporteAnticipo2,0)</f>
        <v>0</v>
      </c>
      <c r="F90" s="184">
        <f>ImporteParaFinanciamiento*Programa!N71</f>
        <v>0</v>
      </c>
      <c r="G90" s="184">
        <f t="shared" si="9"/>
        <v>0</v>
      </c>
      <c r="H90" s="184">
        <f t="shared" si="10"/>
        <v>0</v>
      </c>
      <c r="I90" s="184">
        <f t="shared" si="1"/>
        <v>0</v>
      </c>
      <c r="J90" s="184">
        <f t="shared" si="2"/>
        <v>0</v>
      </c>
      <c r="K90" s="184">
        <f t="shared" si="12"/>
        <v>0</v>
      </c>
      <c r="L90" s="890">
        <f t="shared" si="3"/>
        <v>0</v>
      </c>
      <c r="M90" s="184">
        <f t="shared" si="4"/>
        <v>0</v>
      </c>
      <c r="N90" s="452">
        <f t="shared" si="11"/>
        <v>0</v>
      </c>
      <c r="O90" s="452">
        <f t="shared" si="5"/>
        <v>0</v>
      </c>
      <c r="P90" s="535">
        <f t="shared" si="6"/>
        <v>0</v>
      </c>
      <c r="Q90" s="670">
        <f>CostoDirectoMasIndirecto*Programa!N71</f>
        <v>0</v>
      </c>
      <c r="R90" s="646">
        <f>'f)Financ_Horizontal'!BI$28</f>
        <v>0</v>
      </c>
      <c r="S90" s="674">
        <f t="shared" si="0"/>
        <v>0</v>
      </c>
      <c r="T90" s="535">
        <f t="shared" si="7"/>
        <v>0</v>
      </c>
      <c r="U90" s="609">
        <f t="shared" si="8"/>
        <v>0</v>
      </c>
    </row>
    <row r="91" spans="2:21">
      <c r="B91" s="424">
        <v>60</v>
      </c>
      <c r="C91" s="424" t="str">
        <f>IF(Programa!D72&gt;0,1+C90,"")</f>
        <v/>
      </c>
      <c r="D91" s="692">
        <f>IF(C91&lt;&gt;0,Programa!C72," ")</f>
        <v>0</v>
      </c>
      <c r="E91" s="1046">
        <f>IF(PeriodoEntregaAnticipo2=60,ImporteAnticipo2,0)</f>
        <v>0</v>
      </c>
      <c r="F91" s="184">
        <f>ImporteParaFinanciamiento*Programa!N72</f>
        <v>0</v>
      </c>
      <c r="G91" s="184">
        <f t="shared" si="9"/>
        <v>0</v>
      </c>
      <c r="H91" s="184">
        <f t="shared" si="10"/>
        <v>0</v>
      </c>
      <c r="I91" s="184">
        <f t="shared" si="1"/>
        <v>0</v>
      </c>
      <c r="J91" s="184">
        <f t="shared" si="2"/>
        <v>0</v>
      </c>
      <c r="K91" s="184">
        <f t="shared" si="12"/>
        <v>0</v>
      </c>
      <c r="L91" s="890">
        <f t="shared" si="3"/>
        <v>0</v>
      </c>
      <c r="M91" s="184">
        <f t="shared" si="4"/>
        <v>0</v>
      </c>
      <c r="N91" s="452">
        <f t="shared" si="11"/>
        <v>0</v>
      </c>
      <c r="O91" s="452">
        <f t="shared" si="5"/>
        <v>0</v>
      </c>
      <c r="P91" s="535">
        <f t="shared" si="6"/>
        <v>0</v>
      </c>
      <c r="Q91" s="670">
        <f>CostoDirectoMasIndirecto*Programa!N72</f>
        <v>0</v>
      </c>
      <c r="R91" s="646"/>
      <c r="S91" s="674">
        <f t="shared" si="0"/>
        <v>0</v>
      </c>
      <c r="T91" s="535">
        <f t="shared" si="7"/>
        <v>0</v>
      </c>
      <c r="U91" s="609">
        <f t="shared" si="8"/>
        <v>0</v>
      </c>
    </row>
    <row r="92" spans="2:21">
      <c r="B92" s="424">
        <v>61</v>
      </c>
      <c r="C92" s="424" t="str">
        <f>IF(Programa!D73&gt;0,1+C91,"")</f>
        <v/>
      </c>
      <c r="D92" s="692">
        <f>IF(C92&lt;&gt;0,Programa!C73," ")</f>
        <v>0</v>
      </c>
      <c r="E92" s="1046">
        <f>IF(PeriodoEntregaAnticipo2=61,ImporteAnticipo2,0)</f>
        <v>0</v>
      </c>
      <c r="F92" s="184">
        <f>ImporteParaFinanciamiento*Programa!N73</f>
        <v>0</v>
      </c>
      <c r="G92" s="184">
        <f t="shared" si="9"/>
        <v>0</v>
      </c>
      <c r="H92" s="184">
        <f t="shared" si="10"/>
        <v>0</v>
      </c>
      <c r="I92" s="184">
        <f t="shared" si="1"/>
        <v>0</v>
      </c>
      <c r="J92" s="184">
        <f t="shared" si="2"/>
        <v>0</v>
      </c>
      <c r="K92" s="184">
        <f t="shared" si="12"/>
        <v>0</v>
      </c>
      <c r="L92" s="890">
        <f t="shared" si="3"/>
        <v>0</v>
      </c>
      <c r="M92" s="184">
        <f t="shared" si="4"/>
        <v>0</v>
      </c>
      <c r="N92" s="452">
        <f t="shared" si="11"/>
        <v>0</v>
      </c>
      <c r="O92" s="452">
        <f t="shared" si="5"/>
        <v>0</v>
      </c>
      <c r="P92" s="535">
        <f t="shared" si="6"/>
        <v>0</v>
      </c>
      <c r="Q92" s="670">
        <f>CostoDirectoMasIndirecto*Programa!N73</f>
        <v>0</v>
      </c>
      <c r="R92" s="646"/>
      <c r="S92" s="674">
        <f t="shared" si="0"/>
        <v>0</v>
      </c>
      <c r="T92" s="535">
        <f t="shared" si="7"/>
        <v>0</v>
      </c>
      <c r="U92" s="609">
        <f t="shared" si="8"/>
        <v>0</v>
      </c>
    </row>
    <row r="93" spans="2:21">
      <c r="B93" s="424">
        <v>62</v>
      </c>
      <c r="C93" s="424" t="str">
        <f>IF(Programa!D74&gt;0,1+C92,"")</f>
        <v/>
      </c>
      <c r="D93" s="692">
        <f>IF(C93&lt;&gt;0,Programa!C74," ")</f>
        <v>0</v>
      </c>
      <c r="E93" s="1046">
        <f>IF(PeriodoEntregaAnticipo2=62,ImporteAnticipo2,0)</f>
        <v>0</v>
      </c>
      <c r="F93" s="184">
        <f>ImporteParaFinanciamiento*Programa!N74</f>
        <v>0</v>
      </c>
      <c r="G93" s="184">
        <f t="shared" si="9"/>
        <v>0</v>
      </c>
      <c r="H93" s="184">
        <f t="shared" si="10"/>
        <v>0</v>
      </c>
      <c r="I93" s="184">
        <f t="shared" si="1"/>
        <v>0</v>
      </c>
      <c r="J93" s="184">
        <f t="shared" si="2"/>
        <v>0</v>
      </c>
      <c r="K93" s="184">
        <f t="shared" si="12"/>
        <v>0</v>
      </c>
      <c r="L93" s="890">
        <f t="shared" si="3"/>
        <v>0</v>
      </c>
      <c r="M93" s="184">
        <f t="shared" si="4"/>
        <v>0</v>
      </c>
      <c r="N93" s="452">
        <f t="shared" si="11"/>
        <v>0</v>
      </c>
      <c r="O93" s="452">
        <f t="shared" si="5"/>
        <v>0</v>
      </c>
      <c r="P93" s="535">
        <f t="shared" si="6"/>
        <v>0</v>
      </c>
      <c r="Q93" s="670">
        <f>CostoDirectoMasIndirecto*Programa!N74</f>
        <v>0</v>
      </c>
      <c r="R93" s="646"/>
      <c r="S93" s="674">
        <f t="shared" si="0"/>
        <v>0</v>
      </c>
      <c r="T93" s="535">
        <f t="shared" si="7"/>
        <v>0</v>
      </c>
      <c r="U93" s="609">
        <f t="shared" si="8"/>
        <v>0</v>
      </c>
    </row>
    <row r="94" spans="2:21">
      <c r="B94" s="424">
        <v>63</v>
      </c>
      <c r="C94" s="424" t="str">
        <f>IF(Programa!D75&gt;0,1+C93,"")</f>
        <v/>
      </c>
      <c r="D94" s="692">
        <f>IF(C94&lt;&gt;0,Programa!C75," ")</f>
        <v>0</v>
      </c>
      <c r="E94" s="1046">
        <f>IF(PeriodoEntregaAnticipo2=63,ImporteAnticipo2,0)</f>
        <v>0</v>
      </c>
      <c r="F94" s="184">
        <f>ImporteParaFinanciamiento*Programa!N75</f>
        <v>0</v>
      </c>
      <c r="G94" s="184">
        <f t="shared" si="9"/>
        <v>0</v>
      </c>
      <c r="H94" s="184">
        <f t="shared" si="10"/>
        <v>0</v>
      </c>
      <c r="I94" s="184">
        <f t="shared" si="1"/>
        <v>0</v>
      </c>
      <c r="J94" s="184">
        <f t="shared" si="2"/>
        <v>0</v>
      </c>
      <c r="K94" s="184">
        <f t="shared" si="12"/>
        <v>0</v>
      </c>
      <c r="L94" s="890">
        <f t="shared" si="3"/>
        <v>0</v>
      </c>
      <c r="M94" s="184">
        <f t="shared" si="4"/>
        <v>0</v>
      </c>
      <c r="N94" s="452">
        <f t="shared" si="11"/>
        <v>0</v>
      </c>
      <c r="O94" s="452">
        <f t="shared" si="5"/>
        <v>0</v>
      </c>
      <c r="P94" s="535">
        <f t="shared" si="6"/>
        <v>0</v>
      </c>
      <c r="Q94" s="670">
        <f>CostoDirectoMasIndirecto*Programa!N75</f>
        <v>0</v>
      </c>
      <c r="R94" s="646"/>
      <c r="S94" s="674">
        <f t="shared" si="0"/>
        <v>0</v>
      </c>
      <c r="T94" s="535">
        <f t="shared" si="7"/>
        <v>0</v>
      </c>
      <c r="U94" s="609">
        <f t="shared" si="8"/>
        <v>0</v>
      </c>
    </row>
    <row r="95" spans="2:21">
      <c r="B95" s="424">
        <v>64</v>
      </c>
      <c r="C95" s="424" t="str">
        <f>IF(Programa!D76&gt;0,1+C94,"")</f>
        <v/>
      </c>
      <c r="D95" s="692">
        <f>IF(C95&lt;&gt;0,Programa!C76," ")</f>
        <v>0</v>
      </c>
      <c r="E95" s="1046">
        <f>IF(PeriodoEntregaAnticipo2=64,ImporteAnticipo2,0)</f>
        <v>0</v>
      </c>
      <c r="F95" s="184">
        <f>ImporteParaFinanciamiento*Programa!N76</f>
        <v>0</v>
      </c>
      <c r="G95" s="184">
        <f t="shared" si="9"/>
        <v>0</v>
      </c>
      <c r="H95" s="184">
        <f t="shared" si="10"/>
        <v>0</v>
      </c>
      <c r="I95" s="184">
        <f t="shared" si="1"/>
        <v>0</v>
      </c>
      <c r="J95" s="184">
        <f t="shared" si="2"/>
        <v>0</v>
      </c>
      <c r="K95" s="184">
        <f t="shared" si="12"/>
        <v>0</v>
      </c>
      <c r="L95" s="890">
        <f t="shared" si="3"/>
        <v>0</v>
      </c>
      <c r="M95" s="184">
        <f t="shared" si="4"/>
        <v>0</v>
      </c>
      <c r="N95" s="452">
        <f t="shared" si="11"/>
        <v>0</v>
      </c>
      <c r="O95" s="452">
        <f t="shared" si="5"/>
        <v>0</v>
      </c>
      <c r="P95" s="535">
        <f t="shared" si="6"/>
        <v>0</v>
      </c>
      <c r="Q95" s="670">
        <f>CostoDirectoMasIndirecto*Programa!N76</f>
        <v>0</v>
      </c>
      <c r="R95" s="646"/>
      <c r="S95" s="674">
        <f t="shared" si="0"/>
        <v>0</v>
      </c>
      <c r="T95" s="535">
        <f t="shared" si="7"/>
        <v>0</v>
      </c>
      <c r="U95" s="609">
        <f t="shared" si="8"/>
        <v>0</v>
      </c>
    </row>
    <row r="96" spans="2:21">
      <c r="B96" s="424">
        <v>65</v>
      </c>
      <c r="C96" s="424" t="str">
        <f>IF(Programa!D77&gt;0,1+C95,"")</f>
        <v/>
      </c>
      <c r="D96" s="692">
        <f>IF(C96&lt;&gt;0,Programa!C77," ")</f>
        <v>0</v>
      </c>
      <c r="E96" s="1046">
        <f>IF(PeriodoEntregaAnticipo2=65,ImporteAnticipo2,0)</f>
        <v>0</v>
      </c>
      <c r="F96" s="184">
        <f>ImporteParaFinanciamiento*Programa!N77</f>
        <v>0</v>
      </c>
      <c r="G96" s="184">
        <f t="shared" si="9"/>
        <v>0</v>
      </c>
      <c r="H96" s="184">
        <f t="shared" si="10"/>
        <v>0</v>
      </c>
      <c r="I96" s="184">
        <f t="shared" si="1"/>
        <v>0</v>
      </c>
      <c r="J96" s="184">
        <f t="shared" si="2"/>
        <v>0</v>
      </c>
      <c r="K96" s="184">
        <f t="shared" si="12"/>
        <v>0</v>
      </c>
      <c r="L96" s="890">
        <f t="shared" si="3"/>
        <v>0</v>
      </c>
      <c r="M96" s="184">
        <f t="shared" si="4"/>
        <v>0</v>
      </c>
      <c r="N96" s="452">
        <f t="shared" si="11"/>
        <v>0</v>
      </c>
      <c r="O96" s="452">
        <f t="shared" si="5"/>
        <v>0</v>
      </c>
      <c r="P96" s="535">
        <f t="shared" si="6"/>
        <v>0</v>
      </c>
      <c r="Q96" s="670">
        <f>CostoDirectoMasIndirecto*Programa!N77</f>
        <v>0</v>
      </c>
      <c r="R96" s="646"/>
      <c r="S96" s="674">
        <f t="shared" si="0"/>
        <v>0</v>
      </c>
      <c r="T96" s="535">
        <f t="shared" si="7"/>
        <v>0</v>
      </c>
      <c r="U96" s="609">
        <f t="shared" si="8"/>
        <v>0</v>
      </c>
    </row>
    <row r="97" spans="2:22">
      <c r="B97" s="424">
        <v>66</v>
      </c>
      <c r="C97" s="424" t="str">
        <f>IF(Programa!D78&gt;0,1+C96,"")</f>
        <v/>
      </c>
      <c r="D97" s="692">
        <f>IF(C97&lt;&gt;0,Programa!C78," ")</f>
        <v>0</v>
      </c>
      <c r="E97" s="1046">
        <f>IF(PeriodoEntregaAnticipo2=66,ImporteAnticipo2,0)</f>
        <v>0</v>
      </c>
      <c r="F97" s="184">
        <f>ImporteParaFinanciamiento*Programa!N78</f>
        <v>0</v>
      </c>
      <c r="G97" s="184">
        <f t="shared" si="9"/>
        <v>0</v>
      </c>
      <c r="H97" s="184">
        <f t="shared" si="10"/>
        <v>0</v>
      </c>
      <c r="I97" s="184">
        <f t="shared" si="1"/>
        <v>0</v>
      </c>
      <c r="J97" s="184">
        <f t="shared" si="2"/>
        <v>0</v>
      </c>
      <c r="K97" s="184">
        <f t="shared" si="12"/>
        <v>0</v>
      </c>
      <c r="L97" s="890">
        <f t="shared" si="3"/>
        <v>0</v>
      </c>
      <c r="M97" s="184">
        <f t="shared" si="4"/>
        <v>0</v>
      </c>
      <c r="N97" s="452">
        <f t="shared" si="11"/>
        <v>0</v>
      </c>
      <c r="O97" s="452">
        <f t="shared" si="5"/>
        <v>0</v>
      </c>
      <c r="P97" s="535">
        <f t="shared" si="6"/>
        <v>0</v>
      </c>
      <c r="Q97" s="670">
        <f>CostoDirectoMasIndirecto*Programa!N78</f>
        <v>0</v>
      </c>
      <c r="R97" s="646"/>
      <c r="S97" s="674">
        <f t="shared" si="0"/>
        <v>0</v>
      </c>
      <c r="T97" s="535">
        <f t="shared" si="7"/>
        <v>0</v>
      </c>
      <c r="U97" s="609">
        <f t="shared" si="8"/>
        <v>0</v>
      </c>
    </row>
    <row r="98" spans="2:22">
      <c r="B98" s="424">
        <v>67</v>
      </c>
      <c r="C98" s="424" t="str">
        <f>IF(Programa!D79&gt;0,1+C97,"")</f>
        <v/>
      </c>
      <c r="D98" s="692">
        <f>IF(C98&lt;&gt;0,Programa!C79," ")</f>
        <v>0</v>
      </c>
      <c r="E98" s="1046">
        <f>IF(PeriodoEntregaAnticipo2=67,ImporteAnticipo2,0)</f>
        <v>0</v>
      </c>
      <c r="F98" s="184">
        <f>ImporteParaFinanciamiento*Programa!N79</f>
        <v>0</v>
      </c>
      <c r="G98" s="184">
        <f t="shared" si="9"/>
        <v>0</v>
      </c>
      <c r="H98" s="184">
        <f t="shared" si="10"/>
        <v>0</v>
      </c>
      <c r="I98" s="184">
        <f t="shared" si="1"/>
        <v>0</v>
      </c>
      <c r="J98" s="184">
        <f t="shared" si="2"/>
        <v>0</v>
      </c>
      <c r="K98" s="184">
        <f t="shared" si="12"/>
        <v>0</v>
      </c>
      <c r="L98" s="890">
        <f t="shared" si="3"/>
        <v>0</v>
      </c>
      <c r="M98" s="184">
        <f t="shared" si="4"/>
        <v>0</v>
      </c>
      <c r="N98" s="452">
        <f t="shared" si="11"/>
        <v>0</v>
      </c>
      <c r="O98" s="452">
        <f t="shared" si="5"/>
        <v>0</v>
      </c>
      <c r="P98" s="535">
        <f t="shared" si="6"/>
        <v>0</v>
      </c>
      <c r="Q98" s="670">
        <f>CostoDirectoMasIndirecto*Programa!N79</f>
        <v>0</v>
      </c>
      <c r="R98" s="646"/>
      <c r="S98" s="674">
        <f t="shared" si="0"/>
        <v>0</v>
      </c>
      <c r="T98" s="535">
        <f t="shared" si="7"/>
        <v>0</v>
      </c>
      <c r="U98" s="609">
        <f t="shared" si="8"/>
        <v>0</v>
      </c>
    </row>
    <row r="99" spans="2:22">
      <c r="B99" s="424">
        <v>68</v>
      </c>
      <c r="C99" s="424" t="str">
        <f>IF(Programa!D80&gt;0,1+C98,"")</f>
        <v/>
      </c>
      <c r="D99" s="692">
        <f>IF(C99&lt;&gt;0,Programa!C80," ")</f>
        <v>0</v>
      </c>
      <c r="E99" s="1046">
        <f>IF(PeriodoEntregaAnticipo2=68,ImporteAnticipo2,0)</f>
        <v>0</v>
      </c>
      <c r="F99" s="184">
        <f>ImporteParaFinanciamiento*Programa!N80</f>
        <v>0</v>
      </c>
      <c r="G99" s="184">
        <f t="shared" si="9"/>
        <v>0</v>
      </c>
      <c r="H99" s="184">
        <f t="shared" si="10"/>
        <v>0</v>
      </c>
      <c r="I99" s="184">
        <f t="shared" si="1"/>
        <v>0</v>
      </c>
      <c r="J99" s="184">
        <f t="shared" si="2"/>
        <v>0</v>
      </c>
      <c r="K99" s="184">
        <f t="shared" si="12"/>
        <v>0</v>
      </c>
      <c r="L99" s="890">
        <f t="shared" si="3"/>
        <v>0</v>
      </c>
      <c r="M99" s="184">
        <f t="shared" si="4"/>
        <v>0</v>
      </c>
      <c r="N99" s="452">
        <f t="shared" si="11"/>
        <v>0</v>
      </c>
      <c r="O99" s="452">
        <f t="shared" si="5"/>
        <v>0</v>
      </c>
      <c r="P99" s="535">
        <f t="shared" si="6"/>
        <v>0</v>
      </c>
      <c r="Q99" s="670">
        <f>CostoDirectoMasIndirecto*Programa!N80</f>
        <v>0</v>
      </c>
      <c r="R99" s="646"/>
      <c r="S99" s="674">
        <f t="shared" si="0"/>
        <v>0</v>
      </c>
      <c r="T99" s="535">
        <f t="shared" si="7"/>
        <v>0</v>
      </c>
      <c r="U99" s="609">
        <f t="shared" si="8"/>
        <v>0</v>
      </c>
    </row>
    <row r="100" spans="2:22" ht="13.5" thickBot="1">
      <c r="B100" s="476"/>
      <c r="C100" s="476"/>
      <c r="D100" s="448"/>
      <c r="E100" s="1046"/>
      <c r="F100" s="184"/>
      <c r="G100" s="184"/>
      <c r="H100" s="184"/>
      <c r="I100" s="184"/>
      <c r="J100" s="184"/>
      <c r="K100" s="184"/>
      <c r="L100" s="890"/>
      <c r="M100" s="184"/>
      <c r="N100" s="452"/>
      <c r="O100" s="452"/>
      <c r="P100" s="535"/>
      <c r="Q100" s="670"/>
      <c r="R100" s="646"/>
      <c r="S100" s="674"/>
      <c r="T100" s="535"/>
      <c r="U100" s="633"/>
      <c r="V100" s="207"/>
    </row>
    <row r="101" spans="2:22" ht="14.25" thickTop="1" thickBot="1">
      <c r="B101" s="960"/>
      <c r="C101" s="763"/>
      <c r="D101" s="656" t="s">
        <v>12</v>
      </c>
      <c r="E101" s="548">
        <f>SUM(E31:E100)</f>
        <v>173603.9</v>
      </c>
      <c r="F101" s="153">
        <f>SUM(F31:F100)</f>
        <v>408492.68</v>
      </c>
      <c r="G101" s="153"/>
      <c r="H101" s="153"/>
      <c r="I101" s="153"/>
      <c r="J101" s="153"/>
      <c r="K101" s="153"/>
      <c r="L101" s="153"/>
      <c r="M101" s="153">
        <f>SUM(M32:M100)</f>
        <v>122547.8</v>
      </c>
      <c r="N101" s="415"/>
      <c r="O101" s="415"/>
      <c r="P101" s="400">
        <f>SUM(P31:P100)</f>
        <v>459548.78</v>
      </c>
      <c r="Q101" s="548">
        <f>SUM(Q31:Q100)</f>
        <v>408492.68</v>
      </c>
      <c r="R101" s="400">
        <f>SUM(R31:R100)</f>
        <v>0</v>
      </c>
      <c r="S101" s="1036"/>
      <c r="T101" s="826"/>
      <c r="U101" s="570">
        <f>SUM(U31:U100)</f>
        <v>-6315.17</v>
      </c>
      <c r="V101" s="207"/>
    </row>
    <row r="102" spans="2:22" ht="13.5" thickTop="1">
      <c r="B102" s="448"/>
      <c r="C102" s="678"/>
      <c r="D102" s="464"/>
      <c r="E102" s="464"/>
      <c r="F102" s="114" t="s">
        <v>168</v>
      </c>
      <c r="G102" s="114"/>
      <c r="H102" s="114"/>
      <c r="I102" s="114"/>
      <c r="J102" s="114"/>
      <c r="K102" s="114">
        <f>SUM(K32:K41)</f>
        <v>408492.68</v>
      </c>
      <c r="L102" s="114" t="s">
        <v>168</v>
      </c>
      <c r="M102" s="114"/>
      <c r="N102" s="114">
        <f>M102-E101</f>
        <v>-173603.9</v>
      </c>
      <c r="O102" s="114"/>
      <c r="P102" s="803">
        <f>IF(ModeloCalculoFinanciamiento=1,P101-F101,0)</f>
        <v>0</v>
      </c>
      <c r="Q102" s="114" t="s">
        <v>168</v>
      </c>
      <c r="R102" s="114"/>
      <c r="S102" s="820" t="s">
        <v>168</v>
      </c>
      <c r="T102" s="558"/>
      <c r="U102" s="767"/>
    </row>
    <row r="103" spans="2:22">
      <c r="B103" s="597"/>
      <c r="C103" s="133"/>
      <c r="D103" s="92"/>
      <c r="E103" s="92"/>
      <c r="F103" s="167" t="s">
        <v>249</v>
      </c>
      <c r="G103" s="167"/>
      <c r="H103" s="489"/>
      <c r="I103" s="489"/>
      <c r="J103" s="167"/>
      <c r="K103" s="167"/>
      <c r="L103" s="167"/>
      <c r="M103" s="317"/>
      <c r="N103" s="317"/>
      <c r="O103" s="317"/>
      <c r="P103" s="901" t="s">
        <v>25</v>
      </c>
      <c r="Q103" s="1063"/>
      <c r="R103" s="856"/>
      <c r="S103" s="1032">
        <f>IF(Suma_Financiamiento&lt;0,-Suma_Financiamiento,0)</f>
        <v>6315.17</v>
      </c>
      <c r="T103" s="691" t="s">
        <v>524</v>
      </c>
      <c r="U103" s="801">
        <f>S103/S104</f>
        <v>1.091307E-2</v>
      </c>
      <c r="V103" s="690"/>
    </row>
    <row r="104" spans="2:22" ht="13.5" customHeight="1">
      <c r="B104" s="597"/>
      <c r="C104" s="133"/>
      <c r="D104" s="92"/>
      <c r="E104" s="92"/>
      <c r="F104" s="92"/>
      <c r="G104" s="92"/>
      <c r="H104" s="348"/>
      <c r="I104" s="348"/>
      <c r="J104" s="92"/>
      <c r="K104" s="92"/>
      <c r="L104" s="92"/>
      <c r="M104" s="92"/>
      <c r="N104" s="92"/>
      <c r="O104" s="92"/>
      <c r="P104" s="314"/>
      <c r="Q104" s="167" t="s">
        <v>336</v>
      </c>
      <c r="R104" s="167"/>
      <c r="S104" s="817">
        <f>CostoDirectoMasIndirecto</f>
        <v>578679.65</v>
      </c>
      <c r="T104" s="348" t="s">
        <v>168</v>
      </c>
      <c r="U104" s="1042"/>
    </row>
    <row r="105" spans="2:22">
      <c r="B105" s="889"/>
      <c r="C105" s="133"/>
      <c r="D105" s="758" t="s">
        <v>461</v>
      </c>
      <c r="E105" s="649"/>
      <c r="F105" s="132"/>
      <c r="G105" s="132" t="s">
        <v>168</v>
      </c>
      <c r="H105" s="132" t="s">
        <v>168</v>
      </c>
      <c r="I105" s="132"/>
      <c r="J105" s="132"/>
      <c r="K105" s="132"/>
      <c r="L105" s="132"/>
      <c r="M105" s="132"/>
      <c r="N105" s="132"/>
      <c r="O105" s="132"/>
      <c r="P105" s="92"/>
      <c r="Q105" s="92"/>
      <c r="R105" s="92"/>
      <c r="S105" s="575"/>
      <c r="T105" s="92"/>
      <c r="U105" s="140"/>
    </row>
    <row r="106" spans="2:22" ht="13.5" thickBot="1">
      <c r="B106" s="664"/>
      <c r="C106" s="250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124"/>
    </row>
    <row r="107" spans="2:22" ht="13.5" thickTop="1"/>
  </sheetData>
  <mergeCells count="12">
    <mergeCell ref="C1:F3"/>
    <mergeCell ref="P3:Q3"/>
    <mergeCell ref="P4:T6"/>
    <mergeCell ref="T21:U22"/>
    <mergeCell ref="E24:F24"/>
    <mergeCell ref="S24:T24"/>
    <mergeCell ref="E25:F25"/>
    <mergeCell ref="S25:T25"/>
    <mergeCell ref="S26:T26"/>
    <mergeCell ref="E29:P29"/>
    <mergeCell ref="Q29:R29"/>
    <mergeCell ref="S29:T29"/>
  </mergeCells>
  <pageMargins left="0.39370078740157483" right="0.5" top="0.31496062992125984" bottom="0.35433070866141736" header="0.15748031496062992" footer="0"/>
  <pageSetup scale="87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44"/>
  <sheetViews>
    <sheetView showGridLines="0" showZeros="0" topLeftCell="A23" zoomScale="140" zoomScaleNormal="140" workbookViewId="0">
      <selection activeCell="E37" sqref="E37"/>
    </sheetView>
  </sheetViews>
  <sheetFormatPr baseColWidth="10" defaultColWidth="9.140625" defaultRowHeight="12.75"/>
  <cols>
    <col min="1" max="1" width="6.42578125" customWidth="1"/>
    <col min="2" max="2" width="46.7109375" customWidth="1"/>
    <col min="3" max="3" width="46.140625" customWidth="1"/>
    <col min="4" max="4" width="14.7109375" customWidth="1"/>
    <col min="5" max="5" width="11.42578125" customWidth="1"/>
    <col min="6" max="6" width="26.140625" customWidth="1"/>
  </cols>
  <sheetData>
    <row r="1" spans="1:5" ht="12.75" customHeight="1" thickTop="1">
      <c r="A1" s="752" t="str">
        <f>razonsocial</f>
        <v>COMDIFIER S. R. L. DE C.V.</v>
      </c>
      <c r="B1" s="137"/>
      <c r="C1" s="137"/>
      <c r="D1" s="137"/>
      <c r="E1" s="349"/>
    </row>
    <row r="2" spans="1:5" ht="12.75" customHeight="1">
      <c r="A2" s="67" t="s">
        <v>46</v>
      </c>
      <c r="B2" s="1139" t="str">
        <f>nombrecliente</f>
        <v>AYUNTAMIENTO DE CUERNAVACA_x000D_
SECRETARÍA DE DESARROLLO URBANO Y OBRAS PÚBLICAS</v>
      </c>
      <c r="C2" s="1139"/>
      <c r="D2" s="1139"/>
      <c r="E2" s="140"/>
    </row>
    <row r="3" spans="1:5" ht="12.75" customHeight="1">
      <c r="A3" s="67"/>
      <c r="B3" s="1139"/>
      <c r="C3" s="1139"/>
      <c r="D3" s="1139"/>
      <c r="E3" s="140"/>
    </row>
    <row r="4" spans="1:5" ht="12.75" customHeight="1">
      <c r="A4" s="67"/>
      <c r="B4" s="1139"/>
      <c r="C4" s="1139"/>
      <c r="D4" s="1139"/>
      <c r="E4" s="140"/>
    </row>
    <row r="5" spans="1:5" ht="12.75" customHeight="1">
      <c r="A5" s="133"/>
      <c r="B5" s="177" t="str">
        <f>"Concurso No. " &amp;numerodeconcurso</f>
        <v>Concurso No. A.D.03/R33/DLyCOP/OP444/2022</v>
      </c>
      <c r="C5" s="376">
        <f>fechadeconcurso</f>
        <v>44778</v>
      </c>
      <c r="D5" s="58"/>
      <c r="E5" s="140"/>
    </row>
    <row r="6" spans="1:5" ht="12.75" customHeight="1">
      <c r="A6" s="67" t="s">
        <v>45</v>
      </c>
      <c r="B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C6" s="1139"/>
      <c r="D6" s="193" t="s">
        <v>545</v>
      </c>
      <c r="E6" s="140"/>
    </row>
    <row r="7" spans="1:5" ht="12.75" customHeight="1">
      <c r="A7" s="133"/>
      <c r="B7" s="1139"/>
      <c r="C7" s="1139"/>
      <c r="D7" s="261" t="s">
        <v>546</v>
      </c>
      <c r="E7" s="140"/>
    </row>
    <row r="8" spans="1:5" ht="12.75" customHeight="1">
      <c r="A8" s="133"/>
      <c r="B8" s="1139"/>
      <c r="C8" s="1139"/>
      <c r="D8" s="193"/>
      <c r="E8" s="140"/>
    </row>
    <row r="9" spans="1:5" ht="12.75" customHeight="1" thickBot="1">
      <c r="A9" s="161" t="s">
        <v>466</v>
      </c>
      <c r="B9" s="122" t="str">
        <f>direcciondelaobra&amp;", "&amp;ciudaddelaobra&amp;", "&amp;estadodelaobra</f>
        <v xml:space="preserve"> CALLE MAGNOLIA, ESQ. CON CALLE GERANIO, COL SATÉLITE, CUERNAVACA, Morelos</v>
      </c>
      <c r="C9" s="302"/>
      <c r="D9" s="134"/>
      <c r="E9" s="124"/>
    </row>
    <row r="10" spans="1:5" ht="6.75" customHeight="1" thickTop="1">
      <c r="A10" s="58"/>
      <c r="B10" s="177"/>
      <c r="C10" s="160"/>
      <c r="D10" s="58"/>
      <c r="E10" s="58"/>
    </row>
    <row r="11" spans="1:5" ht="12.75" customHeight="1">
      <c r="A11" s="653" t="s">
        <v>196</v>
      </c>
      <c r="B11" s="131"/>
      <c r="C11" s="131"/>
      <c r="D11" s="131"/>
      <c r="E11" s="436"/>
    </row>
    <row r="12" spans="1:5" ht="6.75" customHeight="1" thickBot="1">
      <c r="A12" s="423"/>
      <c r="B12" s="131"/>
      <c r="C12" s="131"/>
      <c r="D12" s="131"/>
      <c r="E12" s="436"/>
    </row>
    <row r="13" spans="1:5" ht="15" customHeight="1" thickTop="1" thickBot="1">
      <c r="A13" s="311" t="s">
        <v>220</v>
      </c>
      <c r="B13" s="191" t="s">
        <v>195</v>
      </c>
      <c r="C13" s="191" t="s">
        <v>202</v>
      </c>
      <c r="D13" s="191" t="s">
        <v>78</v>
      </c>
      <c r="E13" s="388" t="s">
        <v>333</v>
      </c>
    </row>
    <row r="14" spans="1:5" ht="12.75" customHeight="1" thickTop="1">
      <c r="A14" s="367"/>
      <c r="B14" s="135"/>
      <c r="C14" s="135"/>
      <c r="D14" s="135"/>
      <c r="E14" s="337"/>
    </row>
    <row r="15" spans="1:5" ht="15" customHeight="1">
      <c r="A15" s="100" t="s">
        <v>310</v>
      </c>
      <c r="B15" s="21" t="s">
        <v>535</v>
      </c>
      <c r="C15" s="21"/>
      <c r="D15" s="299">
        <f>Costo_directo</f>
        <v>512199.43</v>
      </c>
      <c r="E15" s="57"/>
    </row>
    <row r="16" spans="1:5" ht="11.25" customHeight="1">
      <c r="A16" s="67"/>
      <c r="B16" s="4"/>
      <c r="C16" s="4"/>
      <c r="D16" s="266"/>
      <c r="E16" s="72"/>
    </row>
    <row r="17" spans="1:5" ht="15" customHeight="1">
      <c r="A17" s="100" t="s">
        <v>432</v>
      </c>
      <c r="B17" s="21" t="s">
        <v>198</v>
      </c>
      <c r="C17" s="21"/>
      <c r="D17" s="299">
        <f>Importe_Indirecto</f>
        <v>66480.22</v>
      </c>
      <c r="E17" s="57">
        <f>Porcentaje_Indirecto</f>
        <v>0.12979399999999999</v>
      </c>
    </row>
    <row r="18" spans="1:5" ht="11.25" customHeight="1">
      <c r="A18" s="67"/>
      <c r="B18" s="4"/>
      <c r="C18" s="4"/>
      <c r="D18" s="244"/>
      <c r="E18" s="72"/>
    </row>
    <row r="19" spans="1:5" ht="15" customHeight="1">
      <c r="A19" s="100" t="s">
        <v>54</v>
      </c>
      <c r="B19" s="21" t="s">
        <v>449</v>
      </c>
      <c r="C19" s="21"/>
      <c r="D19" s="299">
        <f>Importe_Financiamiento</f>
        <v>6315.17</v>
      </c>
      <c r="E19" s="57">
        <f>PorcentajeFinanciamiento</f>
        <v>1.0913000000000001E-2</v>
      </c>
    </row>
    <row r="20" spans="1:5" ht="12.75" customHeight="1">
      <c r="A20" s="67"/>
      <c r="B20" s="4"/>
      <c r="C20" s="4"/>
      <c r="D20" s="4"/>
      <c r="E20" s="72"/>
    </row>
    <row r="21" spans="1:5" ht="15" customHeight="1">
      <c r="A21" s="100" t="s">
        <v>355</v>
      </c>
      <c r="B21" s="111" t="s">
        <v>193</v>
      </c>
      <c r="C21" s="21"/>
      <c r="D21" s="299"/>
      <c r="E21" s="986">
        <f>Porcentaje_Utilidad_Propuesta/100</f>
        <v>7.1999999999999995E-2</v>
      </c>
    </row>
    <row r="22" spans="1:5" ht="15" customHeight="1">
      <c r="A22" s="100"/>
      <c r="B22" s="21" t="s">
        <v>416</v>
      </c>
      <c r="C22" s="21"/>
      <c r="D22" s="957">
        <f>PTU/100</f>
        <v>0.1</v>
      </c>
      <c r="E22" s="57"/>
    </row>
    <row r="23" spans="1:5" ht="15" customHeight="1">
      <c r="A23" s="100"/>
      <c r="B23" s="21" t="s">
        <v>342</v>
      </c>
      <c r="C23" s="21"/>
      <c r="D23" s="957">
        <f>ISR/100</f>
        <v>0.3</v>
      </c>
      <c r="E23" s="57"/>
    </row>
    <row r="24" spans="1:5" ht="15" customHeight="1">
      <c r="A24" s="100" t="s">
        <v>103</v>
      </c>
      <c r="B24" s="21" t="s">
        <v>385</v>
      </c>
      <c r="C24" s="21" t="str">
        <f>"%U ="&amp;Porcentaje_Utilidad_Propuesta&amp;" % / [ 1- ("&amp;PTU&amp;"%+ "&amp;ISR&amp;"% ) ]"</f>
        <v>%U =7.2 % / [ 1- (10%+ 30% ) ]</v>
      </c>
      <c r="D24" s="957" t="s">
        <v>168</v>
      </c>
      <c r="E24" s="57">
        <f>(Porcentaje_Utilidad_Propuesta/100)/(1-(PTU+ISR)/100)</f>
        <v>0.12</v>
      </c>
    </row>
    <row r="25" spans="1:5" ht="11.25" customHeight="1">
      <c r="A25" s="67"/>
      <c r="B25" s="4"/>
      <c r="C25" s="4"/>
      <c r="D25" s="4"/>
      <c r="E25" s="72"/>
    </row>
    <row r="26" spans="1:5" ht="15" customHeight="1">
      <c r="A26" s="100" t="s">
        <v>521</v>
      </c>
      <c r="B26" s="651" t="s">
        <v>51</v>
      </c>
      <c r="C26" s="212"/>
      <c r="D26" s="212"/>
      <c r="E26" s="57" t="s">
        <v>168</v>
      </c>
    </row>
    <row r="27" spans="1:5" ht="15" customHeight="1">
      <c r="A27" s="100"/>
      <c r="B27" s="251"/>
      <c r="C27" s="595" t="str">
        <f xml:space="preserve"> "(" &amp; TEXT(ROUND(Costo_directo,2), "$ #,##0.00") &amp;" + "&amp; TEXT(ROUND(Importe_Indirecto,2), "$ #,##0.00") &amp;" + "&amp; TEXT(ROUND(Importe_Financiamiento,2),"$ #,##0.00")&amp;") x " &amp; ROUND(Utilidad_Neta*100,4) &amp; "% ="</f>
        <v>($ 512,199.43 + $ 66,480.22 + $ 6,315.17) x 12% =</v>
      </c>
      <c r="D27" s="540">
        <f>ROUND((Costo_directo+Importe_Indirecto+Importe_Financiamiento)*Utilidad_Neta,2)</f>
        <v>70199.38</v>
      </c>
      <c r="E27" s="57"/>
    </row>
    <row r="28" spans="1:5" ht="11.25" customHeight="1">
      <c r="A28" s="67"/>
      <c r="B28" s="4"/>
      <c r="C28" s="878"/>
      <c r="D28" s="174">
        <v>0</v>
      </c>
      <c r="E28" s="989"/>
    </row>
    <row r="29" spans="1:5" ht="11.25" customHeight="1">
      <c r="A29" s="67"/>
      <c r="B29" s="4"/>
      <c r="C29" s="878"/>
      <c r="D29" s="174"/>
      <c r="E29" s="989"/>
    </row>
    <row r="30" spans="1:5" ht="11.25" customHeight="1">
      <c r="A30" s="67"/>
      <c r="B30" s="980"/>
      <c r="C30" s="4"/>
      <c r="D30" s="93"/>
      <c r="E30" s="72"/>
    </row>
    <row r="31" spans="1:5" ht="11.25" customHeight="1">
      <c r="A31" s="67"/>
      <c r="B31" s="4"/>
      <c r="C31" s="93" t="s">
        <v>168</v>
      </c>
      <c r="D31" s="93"/>
      <c r="E31" s="72"/>
    </row>
    <row r="32" spans="1:5" ht="11.25" customHeight="1">
      <c r="A32" s="67"/>
      <c r="B32" s="4"/>
      <c r="C32" s="4"/>
      <c r="D32" s="174"/>
      <c r="E32" s="72"/>
    </row>
    <row r="33" spans="1:5">
      <c r="A33" s="67"/>
      <c r="B33" s="483"/>
      <c r="C33" s="787"/>
      <c r="D33" s="514"/>
      <c r="E33" s="470"/>
    </row>
    <row r="34" spans="1:5" ht="11.25" customHeight="1">
      <c r="A34" s="67"/>
      <c r="B34" s="4"/>
      <c r="C34" s="4"/>
      <c r="D34" s="93"/>
      <c r="E34" s="72"/>
    </row>
    <row r="35" spans="1:5" ht="15" customHeight="1">
      <c r="A35" s="100"/>
      <c r="B35" s="126" t="s">
        <v>531</v>
      </c>
      <c r="C35" s="21" t="s">
        <v>168</v>
      </c>
      <c r="D35" s="540">
        <f>D27</f>
        <v>70199.38</v>
      </c>
      <c r="E35" s="57"/>
    </row>
    <row r="36" spans="1:5" ht="15" customHeight="1">
      <c r="A36" s="100"/>
      <c r="B36" s="21" t="s">
        <v>525</v>
      </c>
      <c r="C36" s="21"/>
      <c r="D36" s="21"/>
      <c r="E36" s="57"/>
    </row>
    <row r="37" spans="1:5" ht="15" customHeight="1">
      <c r="A37" s="100"/>
      <c r="B37" s="409"/>
      <c r="C37" s="251" t="str">
        <f xml:space="preserve">  "[" &amp; TEXT(ROUND(Importe_Utilidad,2),"$ #,##0.00") &amp; " /  ("  &amp; TEXT(ROUND(Costo_directo,2),"$ #,##0.00") &amp; " + " &amp; TEXT(ROUND(Importe_Indirecto,2),"$ #,##0.00") &amp; " + " &amp; TEXT(ROUND(Importe_Financiamiento,2),"$ #,##0.00")  &amp; ")] * 100%"</f>
        <v>[$ 70,199.38 /  ($ 512,199.43 + $ 66,480.22 + $ 6,315.17)] * 100%</v>
      </c>
      <c r="D37" s="212"/>
      <c r="E37" s="574">
        <f>Importe_Utilidad/(Costo_directo+Importe_Indirecto+Importe_Financiamiento)</f>
        <v>0.12</v>
      </c>
    </row>
    <row r="38" spans="1:5" ht="11.25" customHeight="1">
      <c r="A38" s="67"/>
      <c r="B38" s="4"/>
      <c r="C38" s="4"/>
      <c r="D38" s="4"/>
      <c r="E38" s="69"/>
    </row>
    <row r="39" spans="1:5" ht="11.25" customHeight="1" thickBot="1">
      <c r="A39" s="250"/>
      <c r="B39" s="134"/>
      <c r="C39" s="134"/>
      <c r="D39" s="134"/>
      <c r="E39" s="124"/>
    </row>
    <row r="40" spans="1:5" ht="11.25" customHeight="1" thickTop="1">
      <c r="A40" s="133"/>
      <c r="B40" s="304" t="s">
        <v>168</v>
      </c>
      <c r="C40" s="58"/>
      <c r="D40" s="58"/>
      <c r="E40" s="140"/>
    </row>
    <row r="41" spans="1:5" ht="11.25" customHeight="1">
      <c r="A41" s="133"/>
      <c r="B41" s="304" t="str">
        <f>responsable</f>
        <v>ARQ. JORGE PULIDO GUZMÁNN</v>
      </c>
      <c r="C41" s="58"/>
      <c r="D41" s="58"/>
      <c r="E41" s="140"/>
    </row>
    <row r="42" spans="1:5" ht="11.25" customHeight="1" thickBot="1">
      <c r="A42" s="250"/>
      <c r="B42" s="417" t="str">
        <f>cargo</f>
        <v>REPRESENTANTE LEGAL</v>
      </c>
      <c r="C42" s="134"/>
      <c r="D42" s="134"/>
      <c r="E42" s="124"/>
    </row>
    <row r="43" spans="1:5" ht="13.5" thickTop="1"/>
    <row r="44" spans="1:5">
      <c r="C44" s="221" t="s">
        <v>168</v>
      </c>
    </row>
  </sheetData>
  <mergeCells count="2">
    <mergeCell ref="B2:D4"/>
    <mergeCell ref="B6:C8"/>
  </mergeCells>
  <printOptions horizontalCentered="1" verticalCentered="1"/>
  <pageMargins left="0.23622047244094491" right="0.19685039370078741" top="0.31496062992125984" bottom="0.39370078740157483" header="0" footer="0"/>
  <pageSetup orientation="landscape" horizontalDpi="300" verticalDpi="300" r:id="rId1"/>
  <headerFooter alignWithMargins="0">
    <oddHeader>&amp;RPágina &amp;P de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O41"/>
  <sheetViews>
    <sheetView showGridLines="0" showZeros="0" topLeftCell="A14" workbookViewId="0">
      <selection activeCell="E36" sqref="E36"/>
    </sheetView>
  </sheetViews>
  <sheetFormatPr baseColWidth="10" defaultColWidth="9.140625" defaultRowHeight="12.75"/>
  <cols>
    <col min="1" max="1" width="7.5703125" customWidth="1"/>
    <col min="2" max="2" width="52.28515625" customWidth="1"/>
    <col min="3" max="3" width="41.85546875" customWidth="1"/>
    <col min="4" max="4" width="16.85546875" customWidth="1"/>
    <col min="5" max="5" width="11.42578125" customWidth="1"/>
    <col min="6" max="232" width="9.140625" customWidth="1"/>
  </cols>
  <sheetData>
    <row r="1" spans="1:5" ht="12.75" customHeight="1" thickTop="1">
      <c r="A1" s="444" t="str">
        <f>razonsocial</f>
        <v>COMDIFIER S. R. L. DE C.V.</v>
      </c>
      <c r="B1" s="137"/>
      <c r="C1" s="137"/>
      <c r="D1" s="137"/>
      <c r="E1" s="349"/>
    </row>
    <row r="2" spans="1:5" ht="12.75" customHeight="1">
      <c r="A2" s="67" t="s">
        <v>528</v>
      </c>
      <c r="B2" s="1139" t="str">
        <f>nombrecliente</f>
        <v>AYUNTAMIENTO DE CUERNAVACA_x000D_
SECRETARÍA DE DESARROLLO URBANO Y OBRAS PÚBLICAS</v>
      </c>
      <c r="C2" s="1139"/>
      <c r="D2" s="1139"/>
      <c r="E2" s="140"/>
    </row>
    <row r="3" spans="1:5" ht="12.75" customHeight="1">
      <c r="A3" s="67"/>
      <c r="B3" s="1139"/>
      <c r="C3" s="1139"/>
      <c r="D3" s="1139"/>
      <c r="E3" s="140"/>
    </row>
    <row r="4" spans="1:5" ht="12.75" customHeight="1">
      <c r="A4" s="67"/>
      <c r="B4" s="1139"/>
      <c r="C4" s="1139"/>
      <c r="D4" s="1139"/>
      <c r="E4" s="140"/>
    </row>
    <row r="5" spans="1:5" ht="12.75" customHeight="1">
      <c r="A5" s="67"/>
      <c r="B5" s="177" t="str">
        <f>"Concurso No. " &amp;numerodeconcurso</f>
        <v>Concurso No. A.D.03/R33/DLyCOP/OP444/2022</v>
      </c>
      <c r="C5" s="376">
        <f>fechadeconcurso</f>
        <v>44778</v>
      </c>
      <c r="D5" s="58"/>
      <c r="E5" s="140"/>
    </row>
    <row r="6" spans="1:5" ht="12.75" customHeight="1">
      <c r="A6" s="67" t="s">
        <v>45</v>
      </c>
      <c r="B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C6" s="1139"/>
      <c r="D6" s="193" t="s">
        <v>232</v>
      </c>
      <c r="E6" s="140"/>
    </row>
    <row r="7" spans="1:5" ht="12.75" customHeight="1">
      <c r="A7" s="67"/>
      <c r="B7" s="1139"/>
      <c r="C7" s="1139"/>
      <c r="D7" s="261"/>
      <c r="E7" s="140"/>
    </row>
    <row r="8" spans="1:5" ht="12.75" customHeight="1">
      <c r="A8" s="67"/>
      <c r="B8" s="1139"/>
      <c r="C8" s="1139"/>
      <c r="D8" s="261"/>
      <c r="E8" s="140"/>
    </row>
    <row r="9" spans="1:5" ht="12.75" customHeight="1" thickBot="1">
      <c r="A9" s="161" t="s">
        <v>466</v>
      </c>
      <c r="B9" s="122" t="str">
        <f>direcciondelaobra&amp;", "&amp;ciudaddelaobra&amp;", "&amp;estadodelaobra</f>
        <v xml:space="preserve"> CALLE MAGNOLIA, ESQ. CON CALLE GERANIO, COL SATÉLITE, CUERNAVACA, Morelos</v>
      </c>
      <c r="C9" s="302"/>
      <c r="D9" s="134"/>
      <c r="E9" s="124"/>
    </row>
    <row r="10" spans="1:5" ht="7.5" customHeight="1" thickTop="1" thickBot="1">
      <c r="A10" s="58"/>
      <c r="B10" s="177"/>
      <c r="C10" s="160"/>
      <c r="D10" s="58"/>
      <c r="E10" s="58"/>
    </row>
    <row r="11" spans="1:5" ht="15" customHeight="1" thickTop="1" thickBot="1">
      <c r="A11" s="1176" t="s">
        <v>533</v>
      </c>
      <c r="B11" s="1177"/>
      <c r="C11" s="1177"/>
      <c r="D11" s="1177"/>
      <c r="E11" s="1178"/>
    </row>
    <row r="12" spans="1:5" ht="6.75" customHeight="1" thickTop="1" thickBot="1">
      <c r="A12" s="423"/>
      <c r="B12" s="131"/>
      <c r="C12" s="131"/>
      <c r="D12" s="131"/>
      <c r="E12" s="436"/>
    </row>
    <row r="13" spans="1:5" ht="14.25" thickTop="1" thickBot="1">
      <c r="A13" s="311" t="s">
        <v>220</v>
      </c>
      <c r="B13" s="191" t="s">
        <v>195</v>
      </c>
      <c r="C13" s="191" t="s">
        <v>202</v>
      </c>
      <c r="D13" s="191" t="s">
        <v>78</v>
      </c>
      <c r="E13" s="388" t="s">
        <v>333</v>
      </c>
    </row>
    <row r="14" spans="1:5" ht="12.75" customHeight="1" thickTop="1">
      <c r="A14" s="367"/>
      <c r="B14" s="135"/>
      <c r="C14" s="135"/>
      <c r="D14" s="135"/>
      <c r="E14" s="337"/>
    </row>
    <row r="15" spans="1:5" ht="15" customHeight="1">
      <c r="A15" s="90" t="s">
        <v>310</v>
      </c>
      <c r="B15" s="21" t="s">
        <v>535</v>
      </c>
      <c r="C15" s="21"/>
      <c r="D15" s="99">
        <f>Costo_directo</f>
        <v>512199.43</v>
      </c>
      <c r="E15" s="57"/>
    </row>
    <row r="16" spans="1:5" ht="11.25" customHeight="1">
      <c r="A16" s="91"/>
      <c r="B16" s="4"/>
      <c r="C16" s="4"/>
      <c r="D16" s="174"/>
      <c r="E16" s="72"/>
    </row>
    <row r="17" spans="1:7" ht="15" customHeight="1">
      <c r="A17" s="90" t="s">
        <v>432</v>
      </c>
      <c r="B17" s="21" t="s">
        <v>198</v>
      </c>
      <c r="C17" s="21"/>
      <c r="D17" s="99">
        <f>Importe_Indirecto</f>
        <v>66480.22</v>
      </c>
      <c r="E17" s="57">
        <f>Porcentaje_Indirecto</f>
        <v>0.12979399999999999</v>
      </c>
    </row>
    <row r="18" spans="1:7" ht="11.25" customHeight="1">
      <c r="A18" s="91"/>
      <c r="B18" s="4"/>
      <c r="C18" s="4"/>
      <c r="D18" s="93"/>
      <c r="E18" s="72"/>
    </row>
    <row r="19" spans="1:7" s="606" customFormat="1" ht="15" customHeight="1">
      <c r="A19" s="496" t="s">
        <v>54</v>
      </c>
      <c r="B19" s="342" t="s">
        <v>449</v>
      </c>
      <c r="C19" s="342"/>
      <c r="D19" s="455">
        <f>Importe_Financiamiento</f>
        <v>6315.17</v>
      </c>
      <c r="E19" s="397">
        <f>PorcentajeFinanciamiento</f>
        <v>1.0913000000000001E-2</v>
      </c>
    </row>
    <row r="20" spans="1:7" ht="12.75" customHeight="1">
      <c r="A20" s="91"/>
      <c r="B20" s="4"/>
      <c r="C20" s="4"/>
      <c r="D20" s="93"/>
      <c r="E20" s="72"/>
    </row>
    <row r="21" spans="1:7" ht="15" customHeight="1">
      <c r="A21" s="90" t="s">
        <v>231</v>
      </c>
      <c r="B21" s="21" t="s">
        <v>390</v>
      </c>
      <c r="C21" s="21"/>
      <c r="D21" s="99">
        <f>Importe_Utilidad</f>
        <v>70199.38</v>
      </c>
      <c r="E21" s="57">
        <f>Porcentaje_Utilidad</f>
        <v>0.12</v>
      </c>
    </row>
    <row r="22" spans="1:7" ht="15" customHeight="1">
      <c r="A22" s="91"/>
      <c r="B22" s="4"/>
      <c r="C22" s="434" t="s">
        <v>152</v>
      </c>
      <c r="D22" s="920">
        <f>D15+D17+D19+D21</f>
        <v>655194.19999999995</v>
      </c>
      <c r="E22" s="72"/>
    </row>
    <row r="23" spans="1:7" ht="15" customHeight="1">
      <c r="A23" s="90"/>
      <c r="B23" s="111" t="s">
        <v>337</v>
      </c>
      <c r="C23" s="21"/>
      <c r="D23" s="99"/>
      <c r="E23" s="57"/>
    </row>
    <row r="24" spans="1:7" ht="45">
      <c r="A24" s="496" t="s">
        <v>276</v>
      </c>
      <c r="B24" s="942" t="str">
        <f>IF(Factor_SFP=0,"","IMPORTE DE LAS APORTACIONES POR CONCEPTO DE INSPECCION Y SUPERVISION QUE LAS LEYES DE LA MATERIA ENCOMIENDAN A LA SECRETARIA DE LA FUNCION PUBLICA. ARTICULO No. 191 LEY FEDERAL DE DERECHOS.")</f>
        <v>IMPORTE DE LAS APORTACIONES POR CONCEPTO DE INSPECCION Y SUPERVISION QUE LAS LEYES DE LA MATERIA ENCOMIENDAN A LA SECRETARIA DE LA FUNCION PUBLICA. ARTICULO No. 191 LEY FEDERAL DE DERECHOS.</v>
      </c>
      <c r="C24" s="342"/>
      <c r="D24" s="455"/>
      <c r="E24" s="397"/>
    </row>
    <row r="25" spans="1:7" ht="11.25" customHeight="1">
      <c r="A25" s="90"/>
      <c r="B25" s="21"/>
      <c r="C25" s="21"/>
      <c r="D25" s="99">
        <v>0</v>
      </c>
      <c r="E25" s="57"/>
    </row>
    <row r="26" spans="1:7" ht="15" customHeight="1">
      <c r="A26" s="90"/>
      <c r="B26" s="21" t="str">
        <f>IF(CalculoDelCargoAdicional=1,"( CSFP  = Subtotal / (1-.005) - Subtotal) )"," ( CSFP  = 0.5% Costo Directo )")</f>
        <v>( CSFP  = Subtotal / (1-.005) - Subtotal) )</v>
      </c>
      <c r="C26" s="251" t="str">
        <f>IF(CalculoDelCargoAdicional=1,IF(Factor_SFP=0,0,TEXT(ROUND(Hasta_Utilidad,2),"$ #,##0.00")&amp;" / (1- 0 .005 ) - ")&amp;TEXT(ROUND(Hasta_Utilidad,2),"$ #,##0.00"),IF(Factor_SFP=0,0,"0.5% x "&amp;TEXT(ROUND(Costo_directo,2),"$ #,##0.00")))</f>
        <v>$ 655,194.20 / (1- 0 .005 ) - $ 655,194.20</v>
      </c>
      <c r="D26" s="99">
        <f>IF(CalculoDelCargoAdicional=1,IF(Factor_SFP=0,0,Hasta_Utilidad/(1-Factor_SFP)-Hasta_Utilidad),IF(Factor_SFP=0,0,0.5%*Costo_directo))</f>
        <v>3292.43</v>
      </c>
      <c r="E26" s="220">
        <f>IF(CalculoDelCargoAdicional=1,D26/Hasta_Utilidad,D26/Costo_directo)</f>
        <v>5.0251200000000001E-3</v>
      </c>
      <c r="G26" s="221"/>
    </row>
    <row r="27" spans="1:7" ht="11.25" customHeight="1">
      <c r="A27" s="91"/>
      <c r="B27" s="4"/>
      <c r="C27" s="4"/>
      <c r="D27" s="174"/>
      <c r="E27" s="72"/>
      <c r="G27" s="221"/>
    </row>
    <row r="28" spans="1:7" ht="15" customHeight="1">
      <c r="A28" s="90"/>
      <c r="B28" s="1153"/>
      <c r="C28" s="251"/>
      <c r="D28" s="99"/>
      <c r="E28" s="57"/>
    </row>
    <row r="29" spans="1:7" ht="15" customHeight="1">
      <c r="A29" s="90"/>
      <c r="B29" s="1153"/>
      <c r="C29" s="251"/>
      <c r="D29" s="99"/>
      <c r="E29" s="57"/>
    </row>
    <row r="30" spans="1:7">
      <c r="A30" s="91"/>
      <c r="B30" s="1102"/>
      <c r="C30" s="251"/>
      <c r="D30" s="174"/>
      <c r="E30" s="72"/>
    </row>
    <row r="31" spans="1:7" ht="15" customHeight="1">
      <c r="A31" s="90"/>
      <c r="B31" s="21" t="str">
        <f>IF(PorcentajeNomina&gt;0,"* MANO DE OBRA GRAVABLE ENTIENDASE COMO SALARIO BASE DE COTIZACION (IMSS)","")</f>
        <v/>
      </c>
      <c r="C31" s="21"/>
      <c r="D31" s="99"/>
      <c r="E31" s="57"/>
    </row>
    <row r="32" spans="1:7" ht="15" customHeight="1">
      <c r="A32" s="90"/>
      <c r="B32" s="21" t="str">
        <f>IF(PorcentajeNomina&gt;0,"ESTE FACTOR ES EL QUE RESULTA DE LA MANO DE OBRA GRAVABLE GLOBAL DEL PRESUPUESTO","")</f>
        <v/>
      </c>
      <c r="C32" s="21"/>
      <c r="D32" s="99"/>
      <c r="E32" s="57"/>
    </row>
    <row r="33" spans="1:15" ht="15" customHeight="1">
      <c r="A33" s="90"/>
      <c r="B33" s="21" t="str">
        <f>IF(PorcentajeNomina&gt;0,"EN CADA PRECION UNITARIO UNICAMENTE TOMA EL IMPORTE DE LA MANO DE OBRA GRAVABLE CORRESPONDIENTE","")</f>
        <v/>
      </c>
      <c r="C33" s="21"/>
      <c r="D33" s="99"/>
      <c r="E33" s="57"/>
    </row>
    <row r="34" spans="1:15" ht="15" customHeight="1">
      <c r="A34" s="90"/>
      <c r="B34" s="21" t="str">
        <f>IF(PorcentajeNomina&gt;0,"**RLOPSRM: Reglamento de la ley de obras públicas y servicios relacionados con las mismas","")</f>
        <v/>
      </c>
      <c r="C34" s="21"/>
      <c r="D34" s="99"/>
      <c r="E34" s="57"/>
    </row>
    <row r="35" spans="1:15" ht="11.25" customHeight="1">
      <c r="A35" s="91"/>
      <c r="B35" s="4" t="s">
        <v>168</v>
      </c>
      <c r="C35" s="4"/>
      <c r="D35" s="93"/>
      <c r="E35" s="72"/>
    </row>
    <row r="36" spans="1:15" ht="15" customHeight="1">
      <c r="A36" s="90"/>
      <c r="B36" s="21"/>
      <c r="C36" s="111" t="s">
        <v>344</v>
      </c>
      <c r="D36" s="529">
        <f>SUM(D26:D30)</f>
        <v>3292.43</v>
      </c>
      <c r="E36" s="1103">
        <f>E28+E26+E30</f>
        <v>5.0251200000000001E-3</v>
      </c>
    </row>
    <row r="37" spans="1:15" ht="11.25" customHeight="1" thickBot="1">
      <c r="A37" s="972"/>
      <c r="B37" s="29"/>
      <c r="C37" s="29"/>
      <c r="D37" s="29"/>
      <c r="E37" s="238"/>
      <c r="I37" s="58"/>
      <c r="J37" s="58"/>
      <c r="K37" s="58"/>
    </row>
    <row r="38" spans="1:15" ht="11.25" customHeight="1" thickTop="1">
      <c r="A38" s="332"/>
      <c r="B38" s="319"/>
      <c r="C38" s="33"/>
      <c r="D38" s="181"/>
      <c r="E38" s="793"/>
      <c r="F38" s="393"/>
      <c r="G38" s="290"/>
      <c r="H38" s="290"/>
      <c r="I38" s="616"/>
      <c r="J38" s="58"/>
      <c r="K38" s="58"/>
    </row>
    <row r="39" spans="1:15" ht="11.25" customHeight="1">
      <c r="A39" s="237"/>
      <c r="B39" s="304" t="str">
        <f>responsable</f>
        <v>ARQ. JORGE PULIDO GUZMÁNN</v>
      </c>
      <c r="C39" s="4"/>
      <c r="D39" s="31"/>
      <c r="E39" s="1068"/>
      <c r="F39" s="610"/>
      <c r="G39" s="290"/>
      <c r="H39" s="290"/>
      <c r="I39" s="616"/>
      <c r="J39" s="58"/>
      <c r="K39" s="58"/>
      <c r="L39" s="58"/>
      <c r="M39" s="58"/>
      <c r="N39" s="58"/>
      <c r="O39" s="58"/>
    </row>
    <row r="40" spans="1:15" ht="13.5" thickBot="1">
      <c r="A40" s="550"/>
      <c r="B40" s="417" t="str">
        <f>cargo</f>
        <v>REPRESENTANTE LEGAL</v>
      </c>
      <c r="C40" s="29"/>
      <c r="D40" s="29" t="s">
        <v>168</v>
      </c>
      <c r="E40" s="238"/>
      <c r="F40" s="4"/>
      <c r="G40" s="4"/>
      <c r="H40" s="4"/>
      <c r="I40" s="4"/>
      <c r="J40" s="58"/>
      <c r="K40" s="58"/>
      <c r="L40" s="58"/>
      <c r="M40" s="58"/>
      <c r="N40" s="58"/>
      <c r="O40" s="58"/>
    </row>
    <row r="41" spans="1:15" ht="13.5" thickTop="1">
      <c r="F41" s="58"/>
      <c r="G41" s="58"/>
      <c r="H41" s="58"/>
      <c r="I41" s="58"/>
      <c r="J41" s="58"/>
      <c r="K41" s="58"/>
      <c r="L41" s="58"/>
      <c r="M41" s="58"/>
      <c r="N41" s="58"/>
      <c r="O41" s="58"/>
    </row>
  </sheetData>
  <mergeCells count="4">
    <mergeCell ref="B2:D4"/>
    <mergeCell ref="B6:C8"/>
    <mergeCell ref="A11:E11"/>
    <mergeCell ref="B28:B29"/>
  </mergeCells>
  <printOptions horizontalCentered="1" verticalCentered="1"/>
  <pageMargins left="0.23622047244094491" right="0.19685039370078741" top="0.31496062992125984" bottom="0.4" header="0" footer="0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showGridLines="0" showZeros="0" zoomScaleNormal="100" workbookViewId="0">
      <selection activeCell="C43" sqref="C43"/>
    </sheetView>
  </sheetViews>
  <sheetFormatPr baseColWidth="10" defaultColWidth="9.140625" defaultRowHeight="12.75"/>
  <cols>
    <col min="1" max="1" width="2.5703125" customWidth="1"/>
    <col min="2" max="2" width="7.5703125" customWidth="1"/>
    <col min="3" max="3" width="48.28515625" customWidth="1"/>
    <col min="4" max="4" width="14.5703125" customWidth="1"/>
    <col min="5" max="5" width="16.85546875" customWidth="1"/>
    <col min="6" max="6" width="11.42578125" customWidth="1"/>
    <col min="7" max="7" width="9.140625" customWidth="1"/>
    <col min="8" max="8" width="11.7109375" bestFit="1" customWidth="1"/>
    <col min="9" max="9" width="12.85546875" bestFit="1" customWidth="1"/>
    <col min="10" max="10" width="10.140625" bestFit="1" customWidth="1"/>
    <col min="11" max="245" width="9.140625" customWidth="1"/>
  </cols>
  <sheetData>
    <row r="1" spans="2:6" ht="12.75" customHeight="1" thickTop="1">
      <c r="B1" s="444" t="str">
        <f>razonsocial</f>
        <v>COMDIFIER S. R. L. DE C.V.</v>
      </c>
      <c r="C1" s="137"/>
      <c r="D1" s="137"/>
      <c r="E1" s="137"/>
      <c r="F1" s="349"/>
    </row>
    <row r="2" spans="2:6" ht="12.75" customHeight="1">
      <c r="B2" s="67" t="s">
        <v>46</v>
      </c>
      <c r="C2" s="1139" t="str">
        <f>nombrecliente</f>
        <v>AYUNTAMIENTO DE CUERNAVACA_x000D_
SECRETARÍA DE DESARROLLO URBANO Y OBRAS PÚBLICAS</v>
      </c>
      <c r="D2" s="1139"/>
      <c r="E2" s="1139"/>
      <c r="F2" s="140"/>
    </row>
    <row r="3" spans="2:6" ht="12.75" customHeight="1">
      <c r="B3" s="67"/>
      <c r="C3" s="1139"/>
      <c r="D3" s="1139"/>
      <c r="E3" s="1139"/>
      <c r="F3" s="140"/>
    </row>
    <row r="4" spans="2:6" ht="12.75" customHeight="1">
      <c r="B4" s="67"/>
      <c r="C4" s="1139"/>
      <c r="D4" s="1139"/>
      <c r="E4" s="1139"/>
      <c r="F4" s="140"/>
    </row>
    <row r="5" spans="2:6" ht="12.75" customHeight="1">
      <c r="B5" s="67"/>
      <c r="C5" s="177" t="str">
        <f>"Concurso No. " &amp;numerodeconcurso</f>
        <v>Concurso No. A.D.03/R33/DLyCOP/OP444/2022</v>
      </c>
      <c r="D5" s="376">
        <f>fechadeconcurso</f>
        <v>44778</v>
      </c>
      <c r="E5" s="58"/>
      <c r="F5" s="140"/>
    </row>
    <row r="6" spans="2:6" ht="17.25" customHeight="1">
      <c r="B6" s="67" t="s">
        <v>45</v>
      </c>
      <c r="C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D6" s="1139"/>
      <c r="E6" s="193" t="s">
        <v>232</v>
      </c>
      <c r="F6" s="140"/>
    </row>
    <row r="7" spans="2:6" ht="17.25" customHeight="1">
      <c r="B7" s="67"/>
      <c r="C7" s="1139"/>
      <c r="D7" s="1139"/>
      <c r="E7" s="261"/>
      <c r="F7" s="140"/>
    </row>
    <row r="8" spans="2:6" ht="23.25" customHeight="1">
      <c r="B8" s="67"/>
      <c r="C8" s="1139"/>
      <c r="D8" s="1139"/>
      <c r="E8" s="261"/>
      <c r="F8" s="140"/>
    </row>
    <row r="9" spans="2:6" ht="12.75" customHeight="1" thickBot="1">
      <c r="B9" s="161" t="s">
        <v>440</v>
      </c>
      <c r="C9" s="122" t="str">
        <f>direcciondelaobra&amp;", "&amp;ciudaddelaobra&amp;", "&amp;estadodelaobra</f>
        <v xml:space="preserve"> CALLE MAGNOLIA, ESQ. CON CALLE GERANIO, COL SATÉLITE, CUERNAVACA, Morelos</v>
      </c>
      <c r="D9" s="302"/>
      <c r="E9" s="134"/>
      <c r="F9" s="124"/>
    </row>
    <row r="10" spans="2:6" ht="6" customHeight="1" thickTop="1">
      <c r="B10" s="303"/>
      <c r="C10" s="177"/>
      <c r="D10" s="160"/>
      <c r="E10" s="58"/>
      <c r="F10" s="303"/>
    </row>
    <row r="11" spans="2:6" ht="12.75" customHeight="1">
      <c r="B11" s="497" t="s">
        <v>168</v>
      </c>
      <c r="C11" s="497" t="s">
        <v>258</v>
      </c>
      <c r="D11" s="131"/>
      <c r="E11" s="131"/>
      <c r="F11" s="131"/>
    </row>
    <row r="12" spans="2:6" ht="6" customHeight="1" thickBot="1">
      <c r="B12" s="134"/>
      <c r="C12" s="131"/>
      <c r="D12" s="131"/>
      <c r="E12" s="131"/>
      <c r="F12" s="1045"/>
    </row>
    <row r="13" spans="2:6" ht="14.25" thickTop="1" thickBot="1">
      <c r="B13" s="311" t="s">
        <v>220</v>
      </c>
      <c r="C13" s="795" t="s">
        <v>195</v>
      </c>
      <c r="D13" s="1051" t="s">
        <v>168</v>
      </c>
      <c r="E13" s="1086" t="s">
        <v>78</v>
      </c>
      <c r="F13" s="388" t="s">
        <v>333</v>
      </c>
    </row>
    <row r="14" spans="2:6" ht="12.75" customHeight="1" thickTop="1">
      <c r="B14" s="367"/>
      <c r="C14" s="135"/>
      <c r="D14" s="135"/>
      <c r="E14" s="135"/>
      <c r="F14" s="337"/>
    </row>
    <row r="15" spans="2:6" ht="12.75" customHeight="1">
      <c r="B15" s="100"/>
      <c r="C15" s="21" t="s">
        <v>535</v>
      </c>
      <c r="D15" s="21"/>
      <c r="E15" s="529">
        <f>Costo_directo</f>
        <v>512199.43</v>
      </c>
      <c r="F15" s="57"/>
    </row>
    <row r="16" spans="2:6" ht="12.75" customHeight="1">
      <c r="B16" s="644"/>
      <c r="C16" s="508"/>
      <c r="D16" s="508"/>
      <c r="E16" s="950"/>
      <c r="F16" s="1003"/>
    </row>
    <row r="17" spans="2:7" ht="11.25" customHeight="1">
      <c r="B17" s="100">
        <v>1</v>
      </c>
      <c r="C17" s="21" t="s">
        <v>349</v>
      </c>
      <c r="D17" s="21"/>
      <c r="E17" s="99" t="s">
        <v>168</v>
      </c>
      <c r="F17" s="57"/>
    </row>
    <row r="18" spans="2:7" ht="11.25" customHeight="1">
      <c r="B18" s="67"/>
      <c r="C18" s="4"/>
      <c r="D18" s="4"/>
      <c r="E18" s="174"/>
      <c r="F18" s="72"/>
    </row>
    <row r="19" spans="2:7" ht="11.25" customHeight="1">
      <c r="B19" s="100">
        <v>1.1000000000000001</v>
      </c>
      <c r="C19" s="21" t="s">
        <v>41</v>
      </c>
      <c r="D19" s="21"/>
      <c r="E19" s="99">
        <f>Importe_Central</f>
        <v>34918</v>
      </c>
      <c r="F19" s="57">
        <f>Porcentaje_Central</f>
        <v>6.8172999999999997E-2</v>
      </c>
    </row>
    <row r="20" spans="2:7" ht="11.25" customHeight="1">
      <c r="B20" s="67"/>
      <c r="C20" s="4"/>
      <c r="D20" s="4"/>
      <c r="E20" s="93"/>
      <c r="F20" s="72"/>
    </row>
    <row r="21" spans="2:7" ht="11.25" customHeight="1">
      <c r="B21" s="100">
        <v>1.2</v>
      </c>
      <c r="C21" s="21" t="s">
        <v>394</v>
      </c>
      <c r="D21" s="21"/>
      <c r="E21" s="99">
        <f>Importe_Campo</f>
        <v>31562.22</v>
      </c>
      <c r="F21" s="57">
        <f>Porcentaje_Campo</f>
        <v>6.1621000000000002E-2</v>
      </c>
    </row>
    <row r="22" spans="2:7" ht="12.75" customHeight="1">
      <c r="B22" s="67"/>
      <c r="C22" s="4"/>
      <c r="D22" s="4"/>
      <c r="E22" s="93"/>
      <c r="F22" s="72"/>
    </row>
    <row r="23" spans="2:7" ht="11.25" customHeight="1">
      <c r="B23" s="100" t="s">
        <v>168</v>
      </c>
      <c r="C23" s="21" t="s">
        <v>189</v>
      </c>
      <c r="D23" s="21"/>
      <c r="E23" s="99">
        <f>Importe_Indirecto</f>
        <v>66480.22</v>
      </c>
      <c r="F23" s="57">
        <f>Porcentaje_Indirecto</f>
        <v>0.12979399999999999</v>
      </c>
      <c r="G23" t="s">
        <v>168</v>
      </c>
    </row>
    <row r="24" spans="2:7" ht="11.25" customHeight="1">
      <c r="B24" s="67"/>
      <c r="C24" s="4"/>
      <c r="D24" s="4"/>
      <c r="E24" s="93"/>
      <c r="F24" s="72"/>
    </row>
    <row r="25" spans="2:7" ht="11.25" customHeight="1">
      <c r="B25" s="67"/>
      <c r="C25" s="4"/>
      <c r="D25" s="4"/>
      <c r="E25" s="93"/>
      <c r="F25" s="72"/>
    </row>
    <row r="26" spans="2:7" ht="11.25" customHeight="1">
      <c r="B26" s="100">
        <v>2</v>
      </c>
      <c r="C26" s="21" t="s">
        <v>409</v>
      </c>
      <c r="D26" s="21" t="s">
        <v>168</v>
      </c>
      <c r="E26" s="99">
        <f>Importe_Financiamiento</f>
        <v>6315.17</v>
      </c>
      <c r="F26" s="57">
        <f>PorcentajeFinanciamiento</f>
        <v>1.0913000000000001E-2</v>
      </c>
    </row>
    <row r="27" spans="2:7" ht="11.25" customHeight="1">
      <c r="B27" s="67"/>
      <c r="C27" s="4"/>
      <c r="D27" s="31"/>
      <c r="E27" s="174"/>
      <c r="F27" s="72"/>
    </row>
    <row r="28" spans="2:7" ht="11.25" customHeight="1">
      <c r="B28" s="67"/>
      <c r="C28" s="4"/>
      <c r="D28" s="4"/>
      <c r="E28" s="93"/>
      <c r="F28" s="72"/>
    </row>
    <row r="29" spans="2:7" ht="11.25" customHeight="1">
      <c r="B29" s="100">
        <v>3</v>
      </c>
      <c r="C29" s="21" t="s">
        <v>219</v>
      </c>
      <c r="D29" s="21"/>
      <c r="E29" s="99">
        <f>Importe_Utilidad</f>
        <v>70199.38</v>
      </c>
      <c r="F29" s="57">
        <f>Porcentaje_Utilidad</f>
        <v>0.12</v>
      </c>
    </row>
    <row r="30" spans="2:7">
      <c r="B30" s="67"/>
      <c r="C30" s="483"/>
      <c r="D30" s="907"/>
      <c r="E30" s="514"/>
      <c r="F30" s="470"/>
    </row>
    <row r="31" spans="2:7" ht="11.25" customHeight="1">
      <c r="B31" s="100">
        <f>IF(Factor_SFP=0,0,4)</f>
        <v>4</v>
      </c>
      <c r="C31" s="21" t="str">
        <f>IF(Factor_SFP=0,0,"CARGOS ADICIONALES")</f>
        <v>CARGOS ADICIONALES</v>
      </c>
      <c r="D31" s="21"/>
      <c r="E31" s="99">
        <f>Importe_CargoAdicional</f>
        <v>3292.43</v>
      </c>
      <c r="F31" s="220">
        <f>Porcentaje_CargoAdicional</f>
        <v>5.0251200000000001E-3</v>
      </c>
    </row>
    <row r="32" spans="2:7" ht="11.25" customHeight="1">
      <c r="B32" s="67"/>
      <c r="C32" s="4"/>
      <c r="D32" s="93"/>
      <c r="E32" s="93"/>
      <c r="F32" s="72"/>
    </row>
    <row r="33" spans="2:11" ht="11.25" customHeight="1">
      <c r="B33" s="67"/>
      <c r="C33" s="4"/>
      <c r="D33" s="4"/>
      <c r="E33" s="266"/>
      <c r="F33" s="72"/>
    </row>
    <row r="34" spans="2:11" ht="11.25" customHeight="1">
      <c r="B34" s="67"/>
      <c r="C34" s="4"/>
      <c r="D34" s="4"/>
      <c r="E34" s="266"/>
      <c r="F34" s="72"/>
    </row>
    <row r="35" spans="2:11" ht="11.25" customHeight="1">
      <c r="B35" s="67"/>
      <c r="C35" s="4"/>
      <c r="D35" s="116"/>
      <c r="E35" s="266"/>
      <c r="F35" s="72"/>
    </row>
    <row r="36" spans="2:11" ht="11.25" customHeight="1">
      <c r="B36" s="67"/>
      <c r="C36" s="4"/>
      <c r="D36" s="4"/>
      <c r="E36" s="266"/>
      <c r="F36" s="72"/>
    </row>
    <row r="37" spans="2:11" ht="11.25" customHeight="1">
      <c r="B37" s="67"/>
      <c r="C37" s="4"/>
      <c r="D37" s="58"/>
      <c r="E37" s="58"/>
      <c r="F37" s="72"/>
    </row>
    <row r="38" spans="2:11" ht="11.25" customHeight="1">
      <c r="B38" s="67"/>
      <c r="C38" s="4"/>
      <c r="D38" s="4"/>
      <c r="E38" s="4"/>
      <c r="F38" s="72"/>
    </row>
    <row r="39" spans="2:11" ht="11.25" customHeight="1">
      <c r="B39" s="67"/>
      <c r="C39" s="4"/>
      <c r="D39" s="4"/>
      <c r="E39" s="4"/>
      <c r="F39" s="72"/>
      <c r="H39" s="93"/>
      <c r="I39" s="93"/>
      <c r="J39" s="93"/>
      <c r="K39" s="899"/>
    </row>
    <row r="40" spans="2:11" ht="11.25" customHeight="1">
      <c r="B40" s="67"/>
      <c r="C40" s="4"/>
      <c r="D40" s="4"/>
      <c r="E40" s="244"/>
      <c r="F40" s="72"/>
      <c r="H40" s="58"/>
      <c r="I40" s="58"/>
      <c r="J40" s="58"/>
      <c r="K40" s="58"/>
    </row>
    <row r="41" spans="2:11" ht="11.25" customHeight="1" thickBot="1">
      <c r="B41" s="161"/>
      <c r="C41" s="29"/>
      <c r="D41" s="29"/>
      <c r="E41" s="29"/>
      <c r="F41" s="776"/>
      <c r="H41" s="58"/>
      <c r="I41" s="58"/>
      <c r="J41" s="58"/>
      <c r="K41" s="58"/>
    </row>
    <row r="42" spans="2:11" ht="13.5" thickTop="1">
      <c r="B42" s="617"/>
      <c r="C42" s="1065"/>
      <c r="D42" s="695"/>
      <c r="E42" s="587" t="s">
        <v>138</v>
      </c>
      <c r="F42" s="1026">
        <f>1*(1+Porcentaje_Indirecto)*(1+PorcentajeFinanciamiento)*(1+Porcentaje_Utilidad)*(1+Porcentaje_CargoAdicional)</f>
        <v>1.285606</v>
      </c>
    </row>
    <row r="43" spans="2:11" ht="13.5" thickBot="1">
      <c r="B43" s="579"/>
      <c r="C43" s="76"/>
      <c r="D43" s="268"/>
      <c r="E43" s="946" t="s">
        <v>251</v>
      </c>
      <c r="F43" s="567">
        <f>(F42-1)</f>
        <v>0.28560600000000003</v>
      </c>
    </row>
    <row r="44" spans="2:11" ht="11.25" customHeight="1" thickTop="1"/>
  </sheetData>
  <mergeCells count="2">
    <mergeCell ref="C2:E4"/>
    <mergeCell ref="C6:D8"/>
  </mergeCells>
  <printOptions horizontalCentered="1"/>
  <pageMargins left="0.23622047244094491" right="0.19685039370078741" top="1.23" bottom="0.39370078740157483" header="0" footer="0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opLeftCell="A19" zoomScaleNormal="100" workbookViewId="0"/>
  </sheetViews>
  <sheetFormatPr baseColWidth="10" defaultColWidth="9.140625" defaultRowHeight="12.75"/>
  <cols>
    <col min="1" max="1" width="3" customWidth="1"/>
    <col min="2" max="2" width="25.85546875" customWidth="1"/>
    <col min="3" max="3" width="23.85546875" customWidth="1"/>
    <col min="4" max="4" width="9.140625" customWidth="1"/>
    <col min="5" max="9" width="11.42578125" customWidth="1"/>
    <col min="10" max="10" width="14.42578125" customWidth="1"/>
    <col min="11" max="11" width="13.7109375" customWidth="1"/>
  </cols>
  <sheetData>
    <row r="2" spans="1:11" ht="13.5" thickBot="1"/>
    <row r="3" spans="1:11" ht="34.5" customHeight="1" thickTop="1" thickBot="1">
      <c r="A3" s="23"/>
      <c r="B3" s="142" t="s">
        <v>318</v>
      </c>
      <c r="C3" s="838" t="s">
        <v>299</v>
      </c>
      <c r="D3" s="142" t="s">
        <v>77</v>
      </c>
      <c r="E3" s="142" t="s">
        <v>305</v>
      </c>
      <c r="F3" s="142" t="s">
        <v>497</v>
      </c>
      <c r="G3" s="142" t="s">
        <v>429</v>
      </c>
      <c r="H3" s="142" t="s">
        <v>260</v>
      </c>
      <c r="I3" s="142" t="s">
        <v>512</v>
      </c>
      <c r="J3" s="142" t="s">
        <v>419</v>
      </c>
      <c r="K3" s="142" t="s">
        <v>485</v>
      </c>
    </row>
    <row r="4" spans="1:11" ht="5.25" customHeight="1" thickTop="1">
      <c r="A4" s="23"/>
      <c r="B4" s="981"/>
      <c r="C4" s="741"/>
      <c r="D4" s="170"/>
      <c r="E4" s="170"/>
      <c r="F4" s="170"/>
      <c r="G4" s="170"/>
      <c r="H4" s="170"/>
      <c r="I4" s="170"/>
      <c r="J4" s="170"/>
      <c r="K4" s="815"/>
    </row>
    <row r="5" spans="1:11" ht="20.100000000000001" customHeight="1">
      <c r="B5" s="951"/>
      <c r="C5" s="390" t="s">
        <v>239</v>
      </c>
      <c r="D5" s="106"/>
      <c r="E5" s="106"/>
      <c r="F5" s="106"/>
      <c r="G5" s="106"/>
      <c r="H5" s="106"/>
      <c r="I5" s="106"/>
      <c r="J5" s="106"/>
      <c r="K5" s="428"/>
    </row>
    <row r="6" spans="1:11" ht="4.5" customHeight="1">
      <c r="B6" s="951"/>
      <c r="C6" s="186"/>
      <c r="D6" s="70"/>
      <c r="E6" s="70"/>
      <c r="F6" s="70"/>
      <c r="G6" s="70"/>
      <c r="H6" s="70"/>
      <c r="I6" s="70"/>
      <c r="J6" s="70"/>
      <c r="K6" s="248"/>
    </row>
    <row r="7" spans="1:11" ht="20.100000000000001" customHeight="1">
      <c r="B7" s="951" t="s">
        <v>16</v>
      </c>
      <c r="C7" s="390" t="s">
        <v>410</v>
      </c>
      <c r="D7" s="106"/>
      <c r="E7" s="106"/>
      <c r="F7" s="94"/>
      <c r="G7" s="94"/>
      <c r="H7" s="94"/>
      <c r="I7" s="94"/>
      <c r="J7" s="94"/>
      <c r="K7" s="394"/>
    </row>
    <row r="8" spans="1:11" ht="5.25" customHeight="1">
      <c r="A8" s="23"/>
      <c r="B8" s="573"/>
      <c r="C8" s="584"/>
      <c r="D8" s="176"/>
      <c r="E8" s="176"/>
      <c r="F8" s="176"/>
      <c r="G8" s="176"/>
      <c r="H8" s="176"/>
      <c r="I8" s="176"/>
      <c r="J8" s="176"/>
      <c r="K8" s="965"/>
    </row>
    <row r="9" spans="1:11" ht="27" customHeight="1" thickBot="1">
      <c r="B9" s="473"/>
      <c r="C9" s="210" t="s">
        <v>412</v>
      </c>
      <c r="D9" s="118"/>
      <c r="E9" s="118"/>
      <c r="F9" s="118"/>
      <c r="G9" s="118"/>
      <c r="H9" s="118"/>
      <c r="I9" s="118"/>
      <c r="J9" s="118"/>
      <c r="K9" s="421"/>
    </row>
    <row r="10" spans="1:11" ht="5.25" customHeight="1" thickTop="1" thickBot="1">
      <c r="A10" s="23"/>
      <c r="B10" s="505"/>
      <c r="C10" s="186"/>
      <c r="D10" s="74"/>
      <c r="E10" s="74"/>
      <c r="F10" s="74"/>
      <c r="G10" s="74"/>
      <c r="H10" s="74"/>
      <c r="I10" s="74"/>
      <c r="J10" s="74"/>
      <c r="K10" s="356"/>
    </row>
    <row r="11" spans="1:11" ht="20.100000000000001" customHeight="1" thickTop="1">
      <c r="B11" s="1179" t="s">
        <v>53</v>
      </c>
      <c r="C11" s="462" t="s">
        <v>228</v>
      </c>
      <c r="D11" s="159"/>
      <c r="E11" s="159"/>
      <c r="F11" s="185"/>
      <c r="G11" s="159"/>
      <c r="H11" s="159"/>
      <c r="I11" s="185"/>
      <c r="J11" s="185"/>
      <c r="K11" s="1001"/>
    </row>
    <row r="12" spans="1:11" s="23" customFormat="1" ht="5.25" customHeight="1">
      <c r="B12" s="1180"/>
      <c r="C12" s="234"/>
      <c r="D12" s="64"/>
      <c r="E12" s="64"/>
      <c r="F12" s="64"/>
      <c r="G12" s="64"/>
      <c r="H12" s="64"/>
      <c r="I12" s="64"/>
      <c r="J12" s="64"/>
      <c r="K12" s="201"/>
    </row>
    <row r="13" spans="1:11" ht="20.100000000000001" customHeight="1" thickBot="1">
      <c r="B13" s="1181"/>
      <c r="C13" s="210" t="s">
        <v>348</v>
      </c>
      <c r="D13" s="73"/>
      <c r="E13" s="73"/>
      <c r="F13" s="118"/>
      <c r="G13" s="73"/>
      <c r="H13" s="73"/>
      <c r="I13" s="118"/>
      <c r="J13" s="118"/>
      <c r="K13" s="387"/>
    </row>
    <row r="14" spans="1:11" s="23" customFormat="1" ht="5.25" customHeight="1" thickTop="1" thickBot="1">
      <c r="B14" s="450"/>
      <c r="C14" s="186"/>
      <c r="D14" s="70"/>
      <c r="E14" s="70"/>
      <c r="F14" s="70"/>
      <c r="G14" s="70"/>
      <c r="H14" s="70"/>
      <c r="I14" s="70"/>
      <c r="J14" s="70"/>
      <c r="K14" s="248"/>
    </row>
    <row r="15" spans="1:11" ht="20.100000000000001" customHeight="1" thickTop="1">
      <c r="B15" s="816"/>
      <c r="C15" s="462" t="s">
        <v>92</v>
      </c>
      <c r="D15" s="159"/>
      <c r="E15" s="185"/>
      <c r="F15" s="185"/>
      <c r="G15" s="185"/>
      <c r="H15" s="159"/>
      <c r="I15" s="159"/>
      <c r="J15" s="159"/>
      <c r="K15" s="887"/>
    </row>
    <row r="16" spans="1:11" s="23" customFormat="1" ht="5.25" customHeight="1">
      <c r="B16" s="662"/>
      <c r="C16" s="234"/>
      <c r="D16" s="64"/>
      <c r="E16" s="64"/>
      <c r="F16" s="64"/>
      <c r="G16" s="64"/>
      <c r="H16" s="64"/>
      <c r="I16" s="64"/>
      <c r="J16" s="64"/>
      <c r="K16" s="201"/>
    </row>
    <row r="17" spans="2:11" ht="20.100000000000001" customHeight="1">
      <c r="B17" s="1180" t="s">
        <v>248</v>
      </c>
      <c r="C17" s="437" t="s">
        <v>315</v>
      </c>
      <c r="D17" s="94"/>
      <c r="E17" s="106"/>
      <c r="F17" s="106"/>
      <c r="G17" s="106"/>
      <c r="H17" s="94"/>
      <c r="I17" s="94"/>
      <c r="J17" s="94"/>
      <c r="K17" s="428"/>
    </row>
    <row r="18" spans="2:11" s="23" customFormat="1" ht="5.25" customHeight="1">
      <c r="B18" s="1180"/>
      <c r="C18" s="1090"/>
      <c r="D18" s="64"/>
      <c r="E18" s="64"/>
      <c r="F18" s="64"/>
      <c r="G18" s="64"/>
      <c r="H18" s="64"/>
      <c r="I18" s="64"/>
      <c r="J18" s="64"/>
      <c r="K18" s="201"/>
    </row>
    <row r="19" spans="2:11" ht="20.100000000000001" customHeight="1">
      <c r="B19" s="1180"/>
      <c r="C19" s="437" t="s">
        <v>86</v>
      </c>
      <c r="D19" s="245"/>
      <c r="E19" s="468"/>
      <c r="F19" s="468"/>
      <c r="G19" s="245"/>
      <c r="H19" s="245"/>
      <c r="I19" s="245"/>
      <c r="J19" s="245"/>
      <c r="K19" s="727"/>
    </row>
    <row r="20" spans="2:11" s="23" customFormat="1" ht="5.25" customHeight="1">
      <c r="B20" s="450"/>
      <c r="C20" s="234"/>
      <c r="D20" s="182"/>
      <c r="E20" s="182"/>
      <c r="F20" s="182"/>
      <c r="G20" s="182"/>
      <c r="H20" s="182"/>
      <c r="I20" s="182"/>
      <c r="J20" s="182"/>
      <c r="K20" s="598"/>
    </row>
    <row r="21" spans="2:11" ht="20.100000000000001" customHeight="1" thickBot="1">
      <c r="B21" s="473"/>
      <c r="C21" s="210" t="s">
        <v>468</v>
      </c>
      <c r="D21" s="73"/>
      <c r="E21" s="73"/>
      <c r="F21" s="73"/>
      <c r="G21" s="118"/>
      <c r="H21" s="73"/>
      <c r="I21" s="73"/>
      <c r="J21" s="73"/>
      <c r="K21" s="421"/>
    </row>
    <row r="22" spans="2:11" s="23" customFormat="1" ht="5.25" customHeight="1" thickTop="1" thickBot="1">
      <c r="B22" s="505"/>
      <c r="C22" s="186"/>
      <c r="D22" s="74"/>
      <c r="E22" s="74"/>
      <c r="F22" s="74"/>
      <c r="G22" s="74"/>
      <c r="H22" s="74"/>
      <c r="I22" s="74"/>
      <c r="J22" s="74"/>
      <c r="K22" s="356"/>
    </row>
    <row r="23" spans="2:11" ht="27" customHeight="1" thickTop="1">
      <c r="B23" s="1179" t="s">
        <v>79</v>
      </c>
      <c r="C23" s="518" t="s">
        <v>477</v>
      </c>
      <c r="D23" s="103"/>
      <c r="E23" s="103"/>
      <c r="F23" s="103"/>
      <c r="G23" s="103"/>
      <c r="H23" s="103"/>
      <c r="I23" s="103"/>
      <c r="J23" s="103"/>
      <c r="K23" s="486"/>
    </row>
    <row r="24" spans="2:11" s="23" customFormat="1" ht="5.25" customHeight="1">
      <c r="B24" s="1180"/>
      <c r="C24" s="234"/>
      <c r="D24" s="64"/>
      <c r="E24" s="64"/>
      <c r="F24" s="64"/>
      <c r="G24" s="64"/>
      <c r="H24" s="64"/>
      <c r="I24" s="64"/>
      <c r="J24" s="64"/>
      <c r="K24" s="201"/>
    </row>
    <row r="25" spans="2:11" ht="27" customHeight="1" thickBot="1">
      <c r="B25" s="1181"/>
      <c r="C25" s="210" t="s">
        <v>529</v>
      </c>
      <c r="D25" s="73"/>
      <c r="E25" s="73"/>
      <c r="F25" s="73"/>
      <c r="G25" s="73"/>
      <c r="H25" s="73"/>
      <c r="I25" s="73"/>
      <c r="J25" s="73"/>
      <c r="K25" s="387"/>
    </row>
    <row r="26" spans="2:11" s="23" customFormat="1" ht="5.25" customHeight="1" thickTop="1" thickBot="1">
      <c r="B26" s="309"/>
      <c r="C26" s="186"/>
      <c r="D26" s="70"/>
      <c r="E26" s="70"/>
      <c r="F26" s="70"/>
      <c r="G26" s="70"/>
      <c r="H26" s="70"/>
      <c r="I26" s="70"/>
      <c r="J26" s="70"/>
      <c r="K26" s="248"/>
    </row>
    <row r="27" spans="2:11" ht="27" customHeight="1" thickTop="1">
      <c r="B27" s="1179" t="s">
        <v>350</v>
      </c>
      <c r="C27" s="844" t="s">
        <v>439</v>
      </c>
      <c r="D27" s="187"/>
      <c r="E27" s="187"/>
      <c r="F27" s="187"/>
      <c r="G27" s="702"/>
      <c r="H27" s="187"/>
      <c r="I27" s="187"/>
      <c r="J27" s="187"/>
      <c r="K27" s="555"/>
    </row>
    <row r="28" spans="2:11" s="23" customFormat="1" ht="5.25" customHeight="1">
      <c r="B28" s="1180"/>
      <c r="C28" s="234"/>
      <c r="D28" s="64"/>
      <c r="E28" s="64"/>
      <c r="F28" s="64"/>
      <c r="G28" s="64"/>
      <c r="H28" s="64"/>
      <c r="I28" s="64"/>
      <c r="J28" s="64"/>
      <c r="K28" s="201"/>
    </row>
    <row r="29" spans="2:11" ht="20.100000000000001" customHeight="1" thickBot="1">
      <c r="B29" s="1181"/>
      <c r="C29" s="390" t="s">
        <v>484</v>
      </c>
      <c r="D29" s="94"/>
      <c r="E29" s="94"/>
      <c r="F29" s="94"/>
      <c r="G29" s="106"/>
      <c r="H29" s="94"/>
      <c r="I29" s="94"/>
      <c r="J29" s="94"/>
      <c r="K29" s="394"/>
    </row>
    <row r="30" spans="2:11" s="23" customFormat="1" ht="5.25" customHeight="1" thickTop="1" thickBot="1">
      <c r="B30" s="309"/>
      <c r="C30" s="186"/>
      <c r="D30" s="74"/>
      <c r="E30" s="74"/>
      <c r="F30" s="74"/>
      <c r="G30" s="74"/>
      <c r="H30" s="74"/>
      <c r="I30" s="74"/>
      <c r="J30" s="74"/>
      <c r="K30" s="356"/>
    </row>
    <row r="31" spans="2:11" ht="20.100000000000001" customHeight="1" thickTop="1">
      <c r="B31" s="1179" t="s">
        <v>216</v>
      </c>
      <c r="C31" s="518" t="s">
        <v>465</v>
      </c>
      <c r="D31" s="103"/>
      <c r="E31" s="103"/>
      <c r="F31" s="103"/>
      <c r="G31" s="103"/>
      <c r="H31" s="103"/>
      <c r="I31" s="103"/>
      <c r="J31" s="762"/>
      <c r="K31" s="486"/>
    </row>
    <row r="32" spans="2:11" s="23" customFormat="1" ht="5.25" customHeight="1">
      <c r="B32" s="1180"/>
      <c r="C32" s="757"/>
      <c r="D32" s="64"/>
      <c r="E32" s="64"/>
      <c r="F32" s="64"/>
      <c r="G32" s="64"/>
      <c r="H32" s="64"/>
      <c r="I32" s="64"/>
      <c r="J32" s="64"/>
      <c r="K32" s="201"/>
    </row>
    <row r="33" spans="2:11" ht="20.100000000000001" customHeight="1" thickBot="1">
      <c r="B33" s="1181"/>
      <c r="C33" s="210" t="s">
        <v>131</v>
      </c>
      <c r="D33" s="73"/>
      <c r="E33" s="73"/>
      <c r="F33" s="73"/>
      <c r="G33" s="73"/>
      <c r="H33" s="73"/>
      <c r="I33" s="73"/>
      <c r="J33" s="118"/>
      <c r="K33" s="387"/>
    </row>
    <row r="34" spans="2:11" ht="5.25" customHeight="1" thickTop="1" thickBot="1">
      <c r="B34" s="309"/>
      <c r="C34" s="932"/>
      <c r="D34" s="70"/>
      <c r="E34" s="70"/>
      <c r="F34" s="70"/>
      <c r="G34" s="70"/>
      <c r="H34" s="70"/>
      <c r="I34" s="70"/>
      <c r="J34" s="70"/>
      <c r="K34" s="248"/>
    </row>
    <row r="35" spans="2:11" ht="27" customHeight="1" thickTop="1" thickBot="1">
      <c r="B35" s="624" t="s">
        <v>238</v>
      </c>
      <c r="C35" s="602"/>
      <c r="D35" s="169">
        <v>41</v>
      </c>
      <c r="E35" s="169">
        <v>41</v>
      </c>
      <c r="F35" s="169">
        <v>41</v>
      </c>
      <c r="G35" s="169">
        <v>30</v>
      </c>
      <c r="H35" s="169">
        <v>41</v>
      </c>
      <c r="I35" s="169">
        <v>41</v>
      </c>
      <c r="J35" s="169">
        <v>22</v>
      </c>
      <c r="K35" s="998">
        <v>41</v>
      </c>
    </row>
    <row r="36" spans="2:11" ht="13.5" thickTop="1"/>
  </sheetData>
  <mergeCells count="5">
    <mergeCell ref="B11:B13"/>
    <mergeCell ref="B17:B19"/>
    <mergeCell ref="B23:B25"/>
    <mergeCell ref="B27:B29"/>
    <mergeCell ref="B31:B33"/>
  </mergeCells>
  <conditionalFormatting sqref="D6:K6 D10:K10 D34:K34">
    <cfRule type="cellIs" dxfId="0" priority="1" stopIfTrue="1" operator="equal">
      <formula>1</formula>
    </cfRule>
  </conditionalFormatting>
  <dataValidations count="1">
    <dataValidation type="whole" allowBlank="1" showInputMessage="1" showErrorMessage="1" sqref="D5:K6">
      <formula1>0</formula1>
      <formula2>1</formula2>
    </dataValidation>
  </dataValidations>
  <pageMargins left="0.7" right="0.7" top="0.75" bottom="0.75" header="0.3" footer="0.3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06"/>
  <sheetViews>
    <sheetView showGridLines="0" topLeftCell="C1" zoomScale="130" zoomScaleNormal="130" workbookViewId="0">
      <selection activeCell="E3" sqref="E3"/>
    </sheetView>
  </sheetViews>
  <sheetFormatPr baseColWidth="10" defaultColWidth="9.140625" defaultRowHeight="12.75"/>
  <cols>
    <col min="1" max="1" width="2" style="221" customWidth="1"/>
    <col min="2" max="2" width="12.5703125" style="221" customWidth="1"/>
    <col min="3" max="3" width="20.42578125" style="221" customWidth="1"/>
    <col min="4" max="4" width="17.140625" style="221" customWidth="1"/>
    <col min="5" max="5" width="22.85546875" style="221" customWidth="1"/>
    <col min="6" max="6" width="21.28515625" style="221" customWidth="1"/>
    <col min="7" max="7" width="22.140625" style="221" customWidth="1"/>
    <col min="8" max="8" width="17.42578125" style="221" customWidth="1"/>
    <col min="9" max="9" width="10.140625" style="221" customWidth="1"/>
    <col min="10" max="10" width="18.7109375" style="221" customWidth="1"/>
    <col min="11" max="11" width="4.140625" style="221" customWidth="1"/>
    <col min="12" max="12" width="13.28515625" style="221" customWidth="1"/>
    <col min="13" max="13" width="10.85546875" style="221" customWidth="1"/>
    <col min="14" max="14" width="12.42578125" style="221" bestFit="1" customWidth="1"/>
    <col min="15" max="15" width="5.42578125" style="221" customWidth="1"/>
    <col min="16" max="16384" width="9.140625" style="221"/>
  </cols>
  <sheetData>
    <row r="1" spans="2:6" ht="13.5" thickBot="1">
      <c r="F1" s="364" t="s">
        <v>343</v>
      </c>
    </row>
    <row r="2" spans="2:6" ht="20.100000000000001" customHeight="1" thickTop="1" thickBot="1">
      <c r="B2" s="1122" t="s">
        <v>391</v>
      </c>
      <c r="C2" s="1123"/>
      <c r="D2" s="1123"/>
      <c r="E2" s="1123"/>
      <c r="F2" s="1124"/>
    </row>
    <row r="3" spans="2:6" ht="13.5" thickTop="1">
      <c r="B3" s="216"/>
      <c r="C3" s="120"/>
      <c r="D3" s="536" t="s">
        <v>324</v>
      </c>
      <c r="E3" s="949">
        <v>512199.43</v>
      </c>
      <c r="F3" s="171"/>
    </row>
    <row r="4" spans="2:6">
      <c r="B4" s="216"/>
      <c r="C4" s="120"/>
      <c r="D4" s="536" t="s">
        <v>397</v>
      </c>
      <c r="E4" s="949">
        <v>215917.85</v>
      </c>
      <c r="F4" s="171"/>
    </row>
    <row r="5" spans="2:6">
      <c r="B5" s="216"/>
      <c r="C5" s="120"/>
      <c r="D5" s="536" t="s">
        <v>194</v>
      </c>
      <c r="E5" s="949">
        <v>2842797.73</v>
      </c>
      <c r="F5" s="171"/>
    </row>
    <row r="6" spans="2:6">
      <c r="B6" s="216"/>
      <c r="C6" s="120"/>
      <c r="D6" s="536" t="s">
        <v>472</v>
      </c>
      <c r="E6" s="983">
        <v>5.0000000000000001E-3</v>
      </c>
      <c r="F6" s="171"/>
    </row>
    <row r="7" spans="2:6">
      <c r="B7" s="216"/>
      <c r="C7" s="120"/>
      <c r="D7" s="536" t="s">
        <v>371</v>
      </c>
      <c r="E7" s="542">
        <v>7.2</v>
      </c>
      <c r="F7" s="171" t="s">
        <v>333</v>
      </c>
    </row>
    <row r="8" spans="2:6">
      <c r="B8" s="216"/>
      <c r="C8" s="120"/>
      <c r="D8" s="536" t="s">
        <v>506</v>
      </c>
      <c r="E8" s="542">
        <v>8.0500000000000007</v>
      </c>
      <c r="F8" s="171" t="s">
        <v>333</v>
      </c>
    </row>
    <row r="9" spans="2:6">
      <c r="B9" s="216"/>
      <c r="C9" s="120"/>
      <c r="D9" s="536" t="s">
        <v>483</v>
      </c>
      <c r="E9" s="542">
        <v>8</v>
      </c>
      <c r="F9" s="171" t="s">
        <v>333</v>
      </c>
    </row>
    <row r="10" spans="2:6">
      <c r="B10" s="216"/>
      <c r="C10" s="120"/>
      <c r="D10" s="536" t="s">
        <v>359</v>
      </c>
      <c r="E10" s="1061" t="s">
        <v>108</v>
      </c>
      <c r="F10" s="171"/>
    </row>
    <row r="11" spans="2:6">
      <c r="B11" s="216"/>
      <c r="C11" s="120"/>
      <c r="D11" s="536" t="s">
        <v>369</v>
      </c>
      <c r="E11" s="798">
        <v>30</v>
      </c>
      <c r="F11" s="171" t="s">
        <v>333</v>
      </c>
    </row>
    <row r="12" spans="2:6">
      <c r="B12" s="216"/>
      <c r="C12" s="120"/>
      <c r="D12" s="536" t="s">
        <v>300</v>
      </c>
      <c r="E12" s="542">
        <v>10</v>
      </c>
      <c r="F12" s="171" t="s">
        <v>333</v>
      </c>
    </row>
    <row r="13" spans="2:6">
      <c r="B13" s="216"/>
      <c r="C13" s="120"/>
      <c r="D13" s="750"/>
      <c r="E13" s="689"/>
      <c r="F13" s="171"/>
    </row>
    <row r="14" spans="2:6" ht="13.5" thickBot="1">
      <c r="B14" s="275"/>
      <c r="C14" s="259"/>
      <c r="D14" s="265"/>
      <c r="E14" s="265"/>
      <c r="F14" s="379"/>
    </row>
    <row r="15" spans="2:6" ht="14.25" thickTop="1" thickBot="1"/>
    <row r="16" spans="2:6" ht="20.100000000000001" customHeight="1" thickTop="1" thickBot="1">
      <c r="B16" s="904" t="s">
        <v>146</v>
      </c>
      <c r="C16" s="958"/>
      <c r="D16" s="511"/>
      <c r="E16" s="511"/>
      <c r="F16" s="805"/>
    </row>
    <row r="17" spans="2:7" ht="13.5" thickTop="1">
      <c r="B17" s="216"/>
      <c r="C17" s="120"/>
      <c r="D17" s="120"/>
      <c r="E17" s="120"/>
      <c r="F17" s="171"/>
    </row>
    <row r="18" spans="2:7">
      <c r="B18" s="216"/>
      <c r="C18" s="120"/>
      <c r="D18" s="286" t="s">
        <v>16</v>
      </c>
      <c r="E18" s="120"/>
      <c r="F18" s="171"/>
    </row>
    <row r="19" spans="2:7" ht="18">
      <c r="B19" s="293">
        <v>1</v>
      </c>
      <c r="C19" s="120"/>
      <c r="D19" s="120"/>
      <c r="E19" s="120"/>
      <c r="F19" s="171"/>
    </row>
    <row r="20" spans="2:7" ht="18">
      <c r="B20" s="369"/>
      <c r="C20" s="120"/>
      <c r="D20" s="120"/>
      <c r="E20" s="120"/>
      <c r="F20" s="171"/>
    </row>
    <row r="21" spans="2:7" ht="18" hidden="1">
      <c r="B21" s="369"/>
      <c r="C21" s="120"/>
      <c r="D21" s="164" t="s">
        <v>239</v>
      </c>
      <c r="E21" s="318">
        <v>1</v>
      </c>
      <c r="F21" s="171"/>
    </row>
    <row r="22" spans="2:7" ht="18" hidden="1">
      <c r="B22" s="369"/>
      <c r="C22" s="120"/>
      <c r="D22" s="164" t="s">
        <v>410</v>
      </c>
      <c r="E22" s="318"/>
      <c r="F22" s="171"/>
    </row>
    <row r="23" spans="2:7" ht="18" hidden="1">
      <c r="B23" s="369"/>
      <c r="C23" s="120"/>
      <c r="D23" s="164" t="s">
        <v>412</v>
      </c>
      <c r="E23" s="318"/>
      <c r="F23" s="171"/>
    </row>
    <row r="24" spans="2:7" ht="18" hidden="1">
      <c r="B24" s="369"/>
      <c r="C24" s="120"/>
      <c r="D24" s="120"/>
      <c r="E24" s="318"/>
      <c r="F24" s="171"/>
    </row>
    <row r="25" spans="2:7" ht="18">
      <c r="B25" s="369"/>
      <c r="C25" s="120"/>
      <c r="D25" s="286" t="s">
        <v>53</v>
      </c>
      <c r="E25" s="318"/>
      <c r="F25" s="171"/>
    </row>
    <row r="26" spans="2:7" ht="22.5" customHeight="1">
      <c r="B26" s="293">
        <v>2</v>
      </c>
      <c r="C26" s="120"/>
      <c r="D26" s="164"/>
      <c r="E26" s="318"/>
      <c r="F26" s="171"/>
    </row>
    <row r="27" spans="2:7" ht="15" customHeight="1">
      <c r="B27" s="369"/>
      <c r="C27" s="120"/>
      <c r="D27" s="164"/>
      <c r="E27" s="318"/>
      <c r="F27" s="171"/>
    </row>
    <row r="28" spans="2:7" ht="18" hidden="1">
      <c r="B28" s="369"/>
      <c r="C28" s="120"/>
      <c r="D28" s="71" t="s">
        <v>228</v>
      </c>
      <c r="E28" s="318">
        <v>2</v>
      </c>
      <c r="F28" s="171"/>
    </row>
    <row r="29" spans="2:7" ht="18" hidden="1">
      <c r="B29" s="369"/>
      <c r="C29" s="120"/>
      <c r="D29" s="71" t="s">
        <v>348</v>
      </c>
      <c r="E29" s="318"/>
      <c r="F29" s="171"/>
    </row>
    <row r="30" spans="2:7" ht="11.25" hidden="1" customHeight="1">
      <c r="B30" s="369"/>
      <c r="C30" s="120"/>
      <c r="D30" s="164"/>
      <c r="E30" s="318"/>
      <c r="F30" s="171"/>
    </row>
    <row r="31" spans="2:7" ht="18">
      <c r="B31" s="369"/>
      <c r="C31" s="120"/>
      <c r="D31" s="286" t="s">
        <v>248</v>
      </c>
      <c r="E31" s="318"/>
      <c r="F31" s="438" t="str">
        <f>IF(Intereses_a_considerar=2,"IMPORTE POSITIVO APLICAR ","")</f>
        <v xml:space="preserve">IMPORTE POSITIVO APLICAR </v>
      </c>
    </row>
    <row r="32" spans="2:7" ht="22.5" customHeight="1">
      <c r="B32" s="293">
        <v>3</v>
      </c>
      <c r="C32" s="120"/>
      <c r="D32" s="164"/>
      <c r="E32" s="318"/>
      <c r="F32" s="171"/>
      <c r="G32" s="648"/>
    </row>
    <row r="33" spans="2:10" ht="18" customHeight="1">
      <c r="B33" s="369"/>
      <c r="C33" s="120"/>
      <c r="D33" s="164"/>
      <c r="E33" s="318"/>
      <c r="F33" s="171"/>
      <c r="G33" s="842"/>
      <c r="H33" s="315"/>
      <c r="I33" s="315"/>
      <c r="J33" s="315"/>
    </row>
    <row r="34" spans="2:10" ht="18" hidden="1">
      <c r="B34" s="369"/>
      <c r="C34" s="307" t="s">
        <v>92</v>
      </c>
      <c r="D34" s="491">
        <v>2</v>
      </c>
      <c r="E34" s="592" t="str">
        <f>"Tasa Activa = "&amp;TasaInteres+PuntosBanco&amp;" %"</f>
        <v>Tasa Activa = 16.05 %</v>
      </c>
      <c r="F34" s="472">
        <v>3</v>
      </c>
      <c r="G34" s="652"/>
      <c r="H34" s="315"/>
      <c r="I34" s="315"/>
      <c r="J34" s="315"/>
    </row>
    <row r="35" spans="2:10" ht="18" hidden="1">
      <c r="B35" s="369"/>
      <c r="C35" s="307" t="s">
        <v>315</v>
      </c>
      <c r="E35" s="603" t="str">
        <f>"Tasa Pasiva = "&amp;TasaInteres&amp;" %"</f>
        <v>Tasa Pasiva = 8.05 %</v>
      </c>
      <c r="F35" s="990"/>
    </row>
    <row r="36" spans="2:10" ht="13.5" hidden="1" customHeight="1">
      <c r="B36" s="369"/>
      <c r="C36" s="120"/>
      <c r="D36" s="164"/>
      <c r="E36" s="940"/>
      <c r="F36" s="171"/>
    </row>
    <row r="37" spans="2:10" ht="18">
      <c r="B37" s="369"/>
      <c r="C37" s="120"/>
      <c r="D37" s="286" t="s">
        <v>79</v>
      </c>
      <c r="E37" s="318"/>
      <c r="F37" s="438" t="s">
        <v>350</v>
      </c>
    </row>
    <row r="38" spans="2:10" ht="22.5" customHeight="1">
      <c r="B38" s="293">
        <v>4</v>
      </c>
      <c r="C38" s="120"/>
      <c r="D38" s="164"/>
      <c r="E38" s="318"/>
      <c r="F38" s="438"/>
    </row>
    <row r="39" spans="2:10">
      <c r="B39" s="638"/>
      <c r="C39" s="120"/>
      <c r="D39" s="164"/>
      <c r="E39" s="318"/>
      <c r="F39" s="171"/>
    </row>
    <row r="40" spans="2:10" hidden="1">
      <c r="B40" s="1083"/>
      <c r="C40" s="307" t="s">
        <v>477</v>
      </c>
      <c r="D40" s="491">
        <v>1</v>
      </c>
      <c r="E40" s="307" t="s">
        <v>439</v>
      </c>
      <c r="F40" s="472">
        <v>1</v>
      </c>
    </row>
    <row r="41" spans="2:10" hidden="1">
      <c r="B41" s="216"/>
      <c r="C41" s="307" t="s">
        <v>529</v>
      </c>
      <c r="E41" s="307" t="s">
        <v>484</v>
      </c>
      <c r="F41" s="868"/>
    </row>
    <row r="42" spans="2:10" ht="13.5" thickBot="1">
      <c r="B42" s="275"/>
      <c r="C42" s="259"/>
      <c r="D42" s="933"/>
      <c r="E42" s="265"/>
      <c r="F42" s="790"/>
      <c r="H42" s="1028"/>
    </row>
    <row r="43" spans="2:10" ht="14.25" thickTop="1" thickBot="1">
      <c r="D43" s="291"/>
      <c r="E43" s="1027"/>
      <c r="H43" s="1028"/>
    </row>
    <row r="44" spans="2:10" ht="20.100000000000001" customHeight="1" thickTop="1">
      <c r="B44" s="1125" t="s">
        <v>331</v>
      </c>
      <c r="C44" s="1126"/>
      <c r="D44" s="1126"/>
      <c r="E44" s="1126"/>
      <c r="F44" s="1127"/>
    </row>
    <row r="45" spans="2:10">
      <c r="B45" s="216"/>
      <c r="C45" s="120"/>
      <c r="D45" s="738"/>
      <c r="E45" s="952"/>
      <c r="F45" s="171"/>
    </row>
    <row r="46" spans="2:10">
      <c r="B46" s="216"/>
      <c r="C46" s="120"/>
      <c r="D46" s="516" t="s">
        <v>37</v>
      </c>
      <c r="E46" s="593">
        <v>0</v>
      </c>
      <c r="F46" s="171"/>
    </row>
    <row r="47" spans="2:10">
      <c r="B47" s="216"/>
      <c r="C47" s="120"/>
      <c r="D47" s="516" t="s">
        <v>443</v>
      </c>
      <c r="E47" s="519">
        <v>0</v>
      </c>
      <c r="F47" s="171"/>
    </row>
    <row r="48" spans="2:10">
      <c r="B48" s="216"/>
      <c r="C48" s="120"/>
      <c r="D48" s="516"/>
      <c r="E48" s="519"/>
      <c r="F48" s="171"/>
    </row>
    <row r="49" spans="2:6">
      <c r="B49" s="216"/>
      <c r="C49" s="120"/>
      <c r="D49" s="706" t="s">
        <v>246</v>
      </c>
      <c r="E49" s="120"/>
      <c r="F49" s="171"/>
    </row>
    <row r="50" spans="2:6">
      <c r="B50" s="216"/>
      <c r="C50" s="120"/>
      <c r="D50" s="536" t="s">
        <v>384</v>
      </c>
      <c r="E50" s="836">
        <v>6</v>
      </c>
      <c r="F50" s="171"/>
    </row>
    <row r="51" spans="2:6">
      <c r="B51" s="216"/>
      <c r="C51" s="120"/>
      <c r="D51" s="536" t="s">
        <v>480</v>
      </c>
      <c r="E51" s="836">
        <v>15</v>
      </c>
      <c r="F51" s="171"/>
    </row>
    <row r="52" spans="2:6">
      <c r="B52" s="216"/>
      <c r="C52" s="120"/>
      <c r="D52" s="536" t="s">
        <v>392</v>
      </c>
      <c r="E52" s="780">
        <v>20</v>
      </c>
      <c r="F52" s="171"/>
    </row>
    <row r="53" spans="2:6">
      <c r="B53" s="216"/>
      <c r="C53" s="120"/>
      <c r="D53" s="536" t="s">
        <v>139</v>
      </c>
      <c r="E53" s="643">
        <f>SUM(E50:E52)</f>
        <v>41</v>
      </c>
      <c r="F53" s="171"/>
    </row>
    <row r="54" spans="2:6" ht="6.75" customHeight="1">
      <c r="B54" s="216"/>
      <c r="C54" s="120"/>
      <c r="D54" s="1082"/>
      <c r="E54" s="643"/>
      <c r="F54" s="171"/>
    </row>
    <row r="55" spans="2:6" ht="5.25" customHeight="1">
      <c r="B55" s="216"/>
      <c r="C55" s="120"/>
      <c r="D55" s="1082"/>
      <c r="E55" s="519"/>
      <c r="F55" s="171"/>
    </row>
    <row r="56" spans="2:6">
      <c r="B56" s="216"/>
      <c r="C56" s="120"/>
      <c r="D56" s="516" t="s">
        <v>110</v>
      </c>
      <c r="E56" s="751">
        <v>3</v>
      </c>
      <c r="F56" s="171"/>
    </row>
    <row r="57" spans="2:6">
      <c r="B57" s="216"/>
      <c r="C57" s="120"/>
      <c r="D57" s="516"/>
      <c r="E57" s="728"/>
      <c r="F57" s="171"/>
    </row>
    <row r="58" spans="2:6">
      <c r="B58" s="216"/>
      <c r="C58" s="120"/>
      <c r="D58" s="516" t="s">
        <v>504</v>
      </c>
      <c r="E58" s="921">
        <v>0</v>
      </c>
      <c r="F58" s="171"/>
    </row>
    <row r="59" spans="2:6">
      <c r="B59" s="216"/>
      <c r="C59" s="120"/>
      <c r="D59" s="516"/>
      <c r="E59" s="487"/>
      <c r="F59" s="171"/>
    </row>
    <row r="60" spans="2:6">
      <c r="B60" s="216"/>
      <c r="C60" s="120"/>
      <c r="D60" s="164" t="s">
        <v>127</v>
      </c>
      <c r="E60" s="923">
        <v>4</v>
      </c>
      <c r="F60" s="171"/>
    </row>
    <row r="61" spans="2:6" ht="8.25" customHeight="1">
      <c r="B61" s="216"/>
      <c r="C61" s="120"/>
      <c r="D61" s="164"/>
      <c r="E61" s="923"/>
      <c r="F61" s="171"/>
    </row>
    <row r="62" spans="2:6">
      <c r="B62" s="216"/>
      <c r="C62" s="120"/>
      <c r="D62" s="364" t="s">
        <v>89</v>
      </c>
      <c r="E62" s="487"/>
      <c r="F62" s="171"/>
    </row>
    <row r="63" spans="2:6">
      <c r="B63" s="216"/>
      <c r="C63" s="120"/>
      <c r="D63" s="364"/>
      <c r="E63" s="487"/>
      <c r="F63" s="171"/>
    </row>
    <row r="64" spans="2:6" hidden="1">
      <c r="B64" s="216"/>
      <c r="C64" s="120"/>
      <c r="D64" s="704" t="s">
        <v>509</v>
      </c>
      <c r="E64" s="847">
        <v>3</v>
      </c>
      <c r="F64" s="171"/>
    </row>
    <row r="65" spans="2:7" hidden="1">
      <c r="B65" s="216"/>
      <c r="C65" s="120"/>
      <c r="D65" s="788" t="s">
        <v>285</v>
      </c>
      <c r="E65" s="812" t="s">
        <v>168</v>
      </c>
      <c r="F65" s="171"/>
    </row>
    <row r="66" spans="2:7" hidden="1">
      <c r="B66" s="216"/>
      <c r="C66" s="120"/>
      <c r="D66" s="915" t="s">
        <v>479</v>
      </c>
      <c r="E66" s="812" t="s">
        <v>168</v>
      </c>
      <c r="F66" s="171"/>
    </row>
    <row r="67" spans="2:7" ht="13.5" thickBot="1">
      <c r="B67" s="275"/>
      <c r="C67" s="259"/>
      <c r="D67" s="265" t="s">
        <v>182</v>
      </c>
      <c r="E67" s="596">
        <v>8</v>
      </c>
      <c r="F67" s="379"/>
    </row>
    <row r="68" spans="2:7" ht="13.5" thickTop="1">
      <c r="D68" s="364"/>
      <c r="E68" s="976"/>
    </row>
    <row r="70" spans="2:7">
      <c r="B70" s="383" t="s">
        <v>325</v>
      </c>
    </row>
    <row r="71" spans="2:7" ht="13.5" thickBot="1">
      <c r="B71" s="104" t="s">
        <v>460</v>
      </c>
      <c r="C71" s="104" t="s">
        <v>271</v>
      </c>
      <c r="D71" s="104" t="s">
        <v>251</v>
      </c>
    </row>
    <row r="72" spans="2:7">
      <c r="B72" s="326">
        <v>1</v>
      </c>
      <c r="C72" s="545" t="s">
        <v>372</v>
      </c>
      <c r="D72" s="1087">
        <v>0.3</v>
      </c>
    </row>
    <row r="73" spans="2:7">
      <c r="D73" s="1079"/>
      <c r="E73" s="467"/>
      <c r="F73" s="467"/>
    </row>
    <row r="75" spans="2:7">
      <c r="B75" s="383" t="s">
        <v>27</v>
      </c>
    </row>
    <row r="76" spans="2:7" ht="13.5" thickBot="1">
      <c r="B76" s="104" t="s">
        <v>460</v>
      </c>
      <c r="C76" s="104" t="s">
        <v>271</v>
      </c>
      <c r="D76" s="104" t="s">
        <v>251</v>
      </c>
      <c r="E76" s="104" t="s">
        <v>40</v>
      </c>
    </row>
    <row r="77" spans="2:7">
      <c r="B77" s="326">
        <v>1</v>
      </c>
      <c r="C77" s="545" t="s">
        <v>156</v>
      </c>
      <c r="D77" s="900">
        <v>0</v>
      </c>
      <c r="E77" s="326" t="s">
        <v>486</v>
      </c>
    </row>
    <row r="78" spans="2:7">
      <c r="B78" s="500">
        <v>2</v>
      </c>
      <c r="C78" s="930" t="s">
        <v>277</v>
      </c>
      <c r="D78" s="631">
        <v>0</v>
      </c>
      <c r="E78" s="500">
        <f>IF(TipoDeAnticipo=1,0,IF(TipoDeAnticipo=2,PeriodoEntregaAnticipo2,IF(TipoDeAnticipo=3,0,0)))</f>
        <v>0</v>
      </c>
    </row>
    <row r="79" spans="2:7">
      <c r="B79" s="229"/>
      <c r="C79" s="229"/>
      <c r="D79" s="721"/>
      <c r="E79" s="229"/>
      <c r="F79" s="229"/>
      <c r="G79" s="229"/>
    </row>
    <row r="80" spans="2:7">
      <c r="B80" s="229"/>
      <c r="C80" s="229"/>
      <c r="D80" s="721"/>
      <c r="E80" s="229"/>
      <c r="F80" s="229"/>
      <c r="G80" s="229"/>
    </row>
    <row r="81" spans="2:7">
      <c r="B81" s="383" t="s">
        <v>459</v>
      </c>
    </row>
    <row r="82" spans="2:7" ht="13.5" thickBot="1">
      <c r="B82" s="104" t="s">
        <v>460</v>
      </c>
      <c r="C82" s="104" t="s">
        <v>271</v>
      </c>
      <c r="D82" s="104" t="s">
        <v>251</v>
      </c>
      <c r="E82" s="104" t="s">
        <v>426</v>
      </c>
      <c r="F82" s="104" t="s">
        <v>166</v>
      </c>
      <c r="G82" s="104" t="s">
        <v>40</v>
      </c>
    </row>
    <row r="83" spans="2:7">
      <c r="B83" s="810">
        <v>1</v>
      </c>
      <c r="C83" s="552" t="s">
        <v>72</v>
      </c>
      <c r="D83" s="699">
        <v>0</v>
      </c>
      <c r="E83" s="852">
        <v>0</v>
      </c>
      <c r="F83" s="566">
        <f>D83*E83</f>
        <v>0</v>
      </c>
      <c r="G83" s="552" t="s">
        <v>486</v>
      </c>
    </row>
    <row r="84" spans="2:7">
      <c r="B84" s="509">
        <v>2</v>
      </c>
      <c r="C84" s="1039" t="s">
        <v>171</v>
      </c>
      <c r="D84" s="879">
        <v>0</v>
      </c>
      <c r="E84" s="553"/>
      <c r="F84" s="625"/>
      <c r="G84" s="509">
        <f>IF(TipoDeAnticipo=1,0,IF(TipoDeAnticipo=2,0,IF(TipoDeAnticipo=3,PeriodoEntregaAnticipo2,0)))</f>
        <v>0</v>
      </c>
    </row>
    <row r="86" spans="2:7" ht="13.5" thickBot="1"/>
    <row r="87" spans="2:7" ht="20.100000000000001" customHeight="1" thickTop="1">
      <c r="B87" s="1128" t="s">
        <v>8</v>
      </c>
      <c r="C87" s="1128"/>
      <c r="D87" s="1128"/>
      <c r="E87" s="1128"/>
      <c r="F87" s="1128"/>
    </row>
    <row r="88" spans="2:7" ht="13.5" thickTop="1">
      <c r="B88" s="216"/>
      <c r="C88" s="120"/>
      <c r="D88" s="120"/>
      <c r="E88" s="120"/>
      <c r="F88" s="171"/>
    </row>
    <row r="89" spans="2:7">
      <c r="B89" s="216"/>
      <c r="C89" s="916" t="s">
        <v>35</v>
      </c>
      <c r="D89" s="541">
        <f>Costo_directo</f>
        <v>512199.43</v>
      </c>
      <c r="E89" s="120"/>
      <c r="F89" s="171"/>
    </row>
    <row r="90" spans="2:7">
      <c r="B90" s="216"/>
      <c r="C90" s="916" t="s">
        <v>496</v>
      </c>
      <c r="D90" s="661">
        <f>Porcentaje_Indirecto</f>
        <v>0.12979399999999999</v>
      </c>
      <c r="E90" s="120"/>
      <c r="F90" s="171"/>
    </row>
    <row r="91" spans="2:7">
      <c r="B91" s="216"/>
      <c r="C91" s="916" t="s">
        <v>438</v>
      </c>
      <c r="D91" s="541">
        <f>Costo_directo*(1+Porcentaje_Indirecto)</f>
        <v>578679.65</v>
      </c>
      <c r="E91" s="120"/>
      <c r="F91" s="171"/>
    </row>
    <row r="92" spans="2:7">
      <c r="B92" s="216"/>
      <c r="C92" s="916" t="s">
        <v>437</v>
      </c>
      <c r="D92" s="824">
        <f>Importe_TotalObra</f>
        <v>2842797.73</v>
      </c>
      <c r="E92" s="120"/>
      <c r="F92" s="171"/>
    </row>
    <row r="93" spans="2:7">
      <c r="B93" s="216"/>
      <c r="C93" s="916" t="s">
        <v>471</v>
      </c>
      <c r="D93" s="824">
        <f>IF(ModeloCalculoFinanciamiento=1,Importe_TotalObra,CostoDirectoMasIndirecto)</f>
        <v>578679.65</v>
      </c>
      <c r="E93" s="120"/>
      <c r="F93" s="171"/>
    </row>
    <row r="94" spans="2:7">
      <c r="B94" s="216"/>
      <c r="C94" s="916" t="s">
        <v>5</v>
      </c>
      <c r="D94" s="824">
        <f>E83</f>
        <v>0</v>
      </c>
      <c r="E94" s="120"/>
      <c r="F94" s="171"/>
    </row>
    <row r="95" spans="2:7">
      <c r="B95" s="216"/>
      <c r="C95" s="916" t="s">
        <v>435</v>
      </c>
      <c r="D95" s="824">
        <f>ImporteParaFinanciamiento-D94</f>
        <v>578679.65</v>
      </c>
      <c r="E95" s="120"/>
      <c r="F95" s="171"/>
    </row>
    <row r="96" spans="2:7" ht="13.5" thickBot="1">
      <c r="B96" s="275"/>
      <c r="C96" s="634"/>
      <c r="D96" s="962"/>
      <c r="E96" s="259"/>
      <c r="F96" s="379"/>
    </row>
    <row r="97" spans="2:8" ht="14.25" thickTop="1" thickBot="1">
      <c r="C97" s="677"/>
      <c r="D97" s="997"/>
    </row>
    <row r="98" spans="2:8" ht="20.100000000000001" customHeight="1" thickTop="1" thickBot="1">
      <c r="B98" s="1128" t="s">
        <v>187</v>
      </c>
      <c r="C98" s="1128"/>
      <c r="D98" s="1128"/>
      <c r="E98" s="1128"/>
      <c r="F98" s="1128"/>
    </row>
    <row r="99" spans="2:8" ht="13.5" thickTop="1">
      <c r="B99" s="968"/>
      <c r="C99" s="740" t="s">
        <v>74</v>
      </c>
      <c r="D99" s="863">
        <f>COUNT('f)Financiamiento'!C32:C99)</f>
        <v>3</v>
      </c>
      <c r="E99" s="709"/>
      <c r="F99" s="811"/>
    </row>
    <row r="100" spans="2:8">
      <c r="B100" s="968"/>
      <c r="C100" s="740" t="s">
        <v>415</v>
      </c>
      <c r="D100" s="863">
        <f>D99+(DatosObra!E56-1)</f>
        <v>5</v>
      </c>
      <c r="E100" s="709"/>
      <c r="F100" s="811"/>
    </row>
    <row r="101" spans="2:8">
      <c r="B101" s="968"/>
      <c r="C101" s="740" t="s">
        <v>356</v>
      </c>
      <c r="D101" s="863">
        <f>PeriodoEntregaAnticipo2+PeriodoInicialCobro-1</f>
        <v>2</v>
      </c>
      <c r="E101" s="709"/>
      <c r="F101" s="811"/>
    </row>
    <row r="102" spans="2:8" ht="13.5" thickBot="1">
      <c r="B102" s="858"/>
      <c r="C102" s="531"/>
      <c r="D102" s="531"/>
      <c r="E102" s="979"/>
      <c r="F102" s="708"/>
    </row>
    <row r="103" spans="2:8" ht="13.5" thickTop="1"/>
    <row r="104" spans="2:8">
      <c r="B104" s="530" t="s">
        <v>271</v>
      </c>
      <c r="C104" s="351"/>
      <c r="D104" s="775" t="s">
        <v>20</v>
      </c>
      <c r="E104" s="351"/>
      <c r="F104" s="530" t="s">
        <v>340</v>
      </c>
      <c r="G104" s="351"/>
      <c r="H104" s="1000" t="s">
        <v>40</v>
      </c>
    </row>
    <row r="105" spans="2:8">
      <c r="B105" s="480" t="str">
        <f>IF(TipoDeAnticipo=1,"EJERCICIO",IF(TipoDeAnticipo=2,"EXHIBICION1",IF(TipoDeAnticipo=3,"EJERCICIO1",0)))</f>
        <v>EJERCICIO</v>
      </c>
      <c r="C105" s="329" t="str">
        <f>IF(TipoDeAnticipo=1,"",IF(TipoDeAnticipo=2,"EXHIBICION2",IF(TipoDeAnticipo=3,"EJERCICIO2",0)))</f>
        <v/>
      </c>
      <c r="D105" s="927" t="str">
        <f>IF(TipoDeAnticipo=1,"EJERCICIO",IF(TipoDeAnticipo=2,"EJERCICIO",IF(TipoDeAnticipo=3,"EJERCICIO1",0)))</f>
        <v>EJERCICIO</v>
      </c>
      <c r="E105" s="329" t="str">
        <f>IF(TipoDeAnticipo=1,"",IF(TipoDeAnticipo=2,"EJERCICIO",IF(TipoDeAnticipo=3,"EJERCICIO2",0)))</f>
        <v/>
      </c>
      <c r="F105" s="480" t="str">
        <f>IF(TipoDeAnticipo=1,"EJERCICIO",IF(TipoDeAnticipo=2,"EXHIBICION1",IF(TipoDeAnticipo=3,"EJERCICIO1",0)))</f>
        <v>EJERCICIO</v>
      </c>
      <c r="G105" s="329" t="str">
        <f>IF(TipoDeAnticipo=1,"",IF(TipoDeAnticipo=2,"EXHIBICION2",IF(TipoDeAnticipo=3,"EJERCICIO2",0)))</f>
        <v/>
      </c>
      <c r="H105" s="479" t="str">
        <f>IF(TipoDeAnticipo=1,"",IF(TipoDeAnticipo=2,"EXHIBICION2",IF(TipoDeAnticipo=3,"EJERCICIO2",0)))</f>
        <v/>
      </c>
    </row>
    <row r="106" spans="2:8">
      <c r="B106" s="525">
        <f t="array" ref="B106">IF(TipoDeAnticipo=1,DatosObra!$D$72:$D$72,IF(TipoDeAnticipo=2,EXHIBICION1,IF(TipoDeAnticipo=3,EJERCICIO1,0)))</f>
        <v>0.3</v>
      </c>
      <c r="C106" s="525">
        <f>IF(TipoDeAnticipo=1,0,IF(TipoDeAnticipo=2,EXHIBICION2,IF(TipoDeAnticipo=3,EJERCICIO2,0)))</f>
        <v>0</v>
      </c>
      <c r="D106" s="993">
        <f>IF(TipoDeAnticipo=1,ImporteParaFinanciamiento,IF(TipoDeAnticipo=2,ImporteParaFinanciamiento,IF(TipoDeAnticipo=3,ImporteEjercer1,0)))</f>
        <v>578679.65</v>
      </c>
      <c r="E106" s="544">
        <f>IF(TipoDeAnticipo=1,0,IF(TipoDeAnticipo=2,0,IF(TipoDeAnticipo=3,ImporteEjercer2,0)))</f>
        <v>0</v>
      </c>
      <c r="F106" s="572">
        <f>IF(TipoDeAnticipo=1,PorcentajeAnticipo1*MontoEjercer1,IF(TipoDeAnticipo=2,PorcentajeAnticipo1*MontoEjercer1,IF(TipoDeAnticipo=3,MontoEjercer1*PorcentajeAnticipo1,0)))</f>
        <v>173603.9</v>
      </c>
      <c r="G106" s="544">
        <f>IF(TipoDeAnticipo=1,0,IF(TipoDeAnticipo=2,PorcentajeAnticipo2*MontoEjercer1,IF(TipoDeAnticipo=3,MontoEjercer2*PorcentajeAnticipo2,0)))</f>
        <v>0</v>
      </c>
      <c r="H106" s="479">
        <f>IF(TipoDeAnticipo=1,0,IF(TipoDeAnticipo=2,PeriodoEntrega2,IF(TipoDeAnticipo=3,PeriodoEntrega3,0)))</f>
        <v>0</v>
      </c>
    </row>
  </sheetData>
  <mergeCells count="4">
    <mergeCell ref="B2:F2"/>
    <mergeCell ref="B44:F44"/>
    <mergeCell ref="B87:F87"/>
    <mergeCell ref="B98:F98"/>
  </mergeCells>
  <dataValidations count="2">
    <dataValidation type="whole" allowBlank="1" showInputMessage="1" showErrorMessage="1" errorTitle="ERROR DE CAPTURA" error="Máximo Valor permitido =Ultimo Periodo del Programa" sqref="E58:E59 E62:E63">
      <formula1>0</formula1>
      <formula2>PeriodosProgramados-PeriodoInicialCobro</formula2>
    </dataValidation>
    <dataValidation type="whole" allowBlank="1" showInputMessage="1" showErrorMessage="1" error="valor Mínimo 1 y Máximo 8" sqref="E56">
      <formula1>1</formula1>
      <formula2>8</formula2>
    </dataValidation>
  </dataValidations>
  <pageMargins left="0.7" right="0.7" top="0.75" bottom="0.75" header="0.3" footer="0.3"/>
  <pageSetup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Fill="0" autoLine="0" autoPict="0">
                <anchor moveWithCells="1">
                  <from>
                    <xdr:col>2</xdr:col>
                    <xdr:colOff>809625</xdr:colOff>
                    <xdr:row>18</xdr:row>
                    <xdr:rowOff>66675</xdr:rowOff>
                  </from>
                  <to>
                    <xdr:col>4</xdr:col>
                    <xdr:colOff>180975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Fill="0" autoLine="0" autoPict="0">
                <anchor moveWithCells="1">
                  <from>
                    <xdr:col>2</xdr:col>
                    <xdr:colOff>800100</xdr:colOff>
                    <xdr:row>25</xdr:row>
                    <xdr:rowOff>114300</xdr:rowOff>
                  </from>
                  <to>
                    <xdr:col>4</xdr:col>
                    <xdr:colOff>180975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Drop Down 4">
              <controlPr defaultSize="0" autoFill="0" autoLine="0" autoPict="0">
                <anchor moveWithCells="1">
                  <from>
                    <xdr:col>2</xdr:col>
                    <xdr:colOff>809625</xdr:colOff>
                    <xdr:row>31</xdr:row>
                    <xdr:rowOff>114300</xdr:rowOff>
                  </from>
                  <to>
                    <xdr:col>4</xdr:col>
                    <xdr:colOff>171450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Drop Down 5">
              <controlPr defaultSize="0" autoFill="0" autoLine="0" autoPict="0">
                <anchor moveWithCells="1">
                  <from>
                    <xdr:col>2</xdr:col>
                    <xdr:colOff>800100</xdr:colOff>
                    <xdr:row>37</xdr:row>
                    <xdr:rowOff>85725</xdr:rowOff>
                  </from>
                  <to>
                    <xdr:col>4</xdr:col>
                    <xdr:colOff>161925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8" name="Drop Down 18">
              <controlPr defaultSize="0" autoFill="0" autoLine="0" autoPict="0">
                <anchor moveWithCells="1">
                  <from>
                    <xdr:col>4</xdr:col>
                    <xdr:colOff>104775</xdr:colOff>
                    <xdr:row>61</xdr:row>
                    <xdr:rowOff>0</xdr:rowOff>
                  </from>
                  <to>
                    <xdr:col>4</xdr:col>
                    <xdr:colOff>1323975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9" name="Drop Down 23">
              <controlPr defaultSize="0" autoLine="0" autoPict="0">
                <anchor moveWithCells="1">
                  <from>
                    <xdr:col>4</xdr:col>
                    <xdr:colOff>1209675</xdr:colOff>
                    <xdr:row>31</xdr:row>
                    <xdr:rowOff>114300</xdr:rowOff>
                  </from>
                  <to>
                    <xdr:col>5</xdr:col>
                    <xdr:colOff>1323975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10" name="Drop Down 24">
              <controlPr defaultSize="0" autoLine="0" autoPict="0">
                <anchor moveWithCells="1">
                  <from>
                    <xdr:col>4</xdr:col>
                    <xdr:colOff>1209675</xdr:colOff>
                    <xdr:row>37</xdr:row>
                    <xdr:rowOff>95250</xdr:rowOff>
                  </from>
                  <to>
                    <xdr:col>5</xdr:col>
                    <xdr:colOff>1314450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7"/>
  <sheetViews>
    <sheetView showGridLines="0" topLeftCell="B1" workbookViewId="0">
      <selection activeCell="D6" sqref="D6"/>
    </sheetView>
  </sheetViews>
  <sheetFormatPr baseColWidth="10" defaultColWidth="9.140625" defaultRowHeight="12.75"/>
  <cols>
    <col min="1" max="1" width="5.28515625" hidden="1" customWidth="1"/>
    <col min="2" max="2" width="14.42578125" customWidth="1"/>
    <col min="3" max="3" width="15.5703125" customWidth="1"/>
    <col min="4" max="7" width="9.140625" customWidth="1"/>
    <col min="8" max="9" width="14.28515625" customWidth="1"/>
    <col min="10" max="10" width="12" customWidth="1"/>
    <col min="11" max="11" width="12.140625" customWidth="1"/>
    <col min="12" max="12" width="12.85546875" customWidth="1"/>
    <col min="13" max="13" width="12.42578125" customWidth="1"/>
    <col min="14" max="14" width="12.5703125" customWidth="1"/>
    <col min="15" max="15" width="13.28515625" customWidth="1"/>
    <col min="16" max="16" width="13.42578125" customWidth="1"/>
  </cols>
  <sheetData>
    <row r="2" spans="1:16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13.5" thickBot="1">
      <c r="B3" s="144"/>
      <c r="C3" s="144"/>
      <c r="D3" s="144"/>
      <c r="E3" s="144" t="s">
        <v>168</v>
      </c>
      <c r="F3" s="144"/>
      <c r="G3" s="144"/>
      <c r="H3" s="144"/>
      <c r="I3" s="144"/>
      <c r="J3" s="144"/>
      <c r="K3" s="23"/>
      <c r="L3" s="23"/>
      <c r="M3" s="23"/>
      <c r="N3" s="23"/>
      <c r="O3" s="23"/>
    </row>
    <row r="4" spans="1:16" ht="13.5" thickTop="1">
      <c r="B4" s="683"/>
      <c r="C4" s="447" t="s">
        <v>120</v>
      </c>
      <c r="D4" s="846">
        <f>fechainicio</f>
        <v>45367</v>
      </c>
      <c r="E4" s="1007"/>
      <c r="F4" s="447" t="s">
        <v>218</v>
      </c>
      <c r="G4" s="590">
        <v>2022</v>
      </c>
      <c r="I4" s="929"/>
      <c r="J4" s="1020"/>
      <c r="K4" s="716"/>
      <c r="L4" s="338"/>
      <c r="M4" s="522"/>
      <c r="N4" s="522"/>
      <c r="O4" s="318" t="s">
        <v>168</v>
      </c>
    </row>
    <row r="5" spans="1:16">
      <c r="B5" s="935"/>
      <c r="C5" s="534" t="s">
        <v>83</v>
      </c>
      <c r="D5" s="768">
        <f>fechaterminacion</f>
        <v>45456</v>
      </c>
      <c r="E5" s="1049"/>
      <c r="F5" s="534" t="s">
        <v>163</v>
      </c>
      <c r="G5" s="697">
        <f>IF(Tipo_Año=1,DATE(G4,12,31) - DATE(G4,1,1)+1,360)</f>
        <v>365</v>
      </c>
      <c r="K5" s="164"/>
      <c r="L5" s="322"/>
      <c r="M5" s="322"/>
      <c r="N5" s="338"/>
      <c r="O5" s="322"/>
    </row>
    <row r="6" spans="1:16">
      <c r="B6" s="935"/>
      <c r="C6" s="893" t="s">
        <v>32</v>
      </c>
      <c r="D6" s="789">
        <f>plazocalculado</f>
        <v>90</v>
      </c>
      <c r="E6" s="471"/>
      <c r="F6" s="471"/>
      <c r="G6" s="697"/>
      <c r="H6" s="822"/>
      <c r="I6" s="105"/>
      <c r="J6" s="588"/>
      <c r="K6" s="164"/>
      <c r="L6" s="322"/>
      <c r="M6" s="322"/>
      <c r="N6" s="338"/>
      <c r="O6" s="322"/>
    </row>
    <row r="7" spans="1:16" ht="13.5" thickBot="1">
      <c r="B7" s="912"/>
      <c r="C7" s="306"/>
      <c r="D7" s="628"/>
      <c r="E7" s="306"/>
      <c r="F7" s="306"/>
      <c r="G7" s="658"/>
      <c r="H7" s="338"/>
      <c r="I7" s="105"/>
      <c r="J7" s="371"/>
      <c r="K7" s="164"/>
      <c r="L7" s="322"/>
      <c r="M7" s="322"/>
      <c r="N7" s="338"/>
      <c r="O7" s="322"/>
    </row>
    <row r="8" spans="1:16" ht="13.5" thickTop="1">
      <c r="A8" s="105"/>
      <c r="B8" s="105"/>
      <c r="C8" s="105"/>
      <c r="D8" s="105"/>
      <c r="E8" s="105"/>
      <c r="F8" s="105"/>
      <c r="G8" s="105"/>
      <c r="H8" s="105"/>
      <c r="I8" s="105"/>
      <c r="J8" s="371"/>
      <c r="K8" s="164"/>
      <c r="L8" s="322"/>
      <c r="M8" s="322"/>
      <c r="N8" s="338"/>
      <c r="O8" s="322"/>
    </row>
    <row r="9" spans="1:16">
      <c r="A9" s="105"/>
      <c r="B9" s="875" t="s">
        <v>1</v>
      </c>
      <c r="C9" s="371">
        <f>MIN(Periodos)</f>
        <v>1</v>
      </c>
      <c r="D9" s="831" t="s">
        <v>376</v>
      </c>
      <c r="E9" s="371">
        <f>MAX(Periodos)</f>
        <v>3</v>
      </c>
      <c r="F9" s="105"/>
      <c r="G9" s="105"/>
      <c r="H9" s="105"/>
      <c r="I9" s="105"/>
      <c r="J9" s="371"/>
      <c r="K9" s="164"/>
      <c r="L9" s="322"/>
      <c r="M9" s="322"/>
      <c r="N9" s="338"/>
      <c r="O9" s="322"/>
    </row>
    <row r="10" spans="1:16" s="23" customFormat="1" ht="13.5" thickBot="1">
      <c r="A10" s="105"/>
      <c r="B10" s="105"/>
      <c r="C10" s="105"/>
      <c r="D10" s="105"/>
      <c r="E10" s="105"/>
      <c r="F10" s="105"/>
      <c r="G10" s="105"/>
      <c r="H10" s="105"/>
      <c r="I10" s="105"/>
      <c r="J10" s="371"/>
      <c r="K10" s="164"/>
      <c r="L10" s="322"/>
      <c r="M10" s="322"/>
      <c r="N10" s="338"/>
      <c r="O10" s="978"/>
    </row>
    <row r="11" spans="1:16" ht="16.5" customHeight="1" thickTop="1">
      <c r="A11" s="1056" t="s">
        <v>168</v>
      </c>
      <c r="B11" s="1129" t="s">
        <v>361</v>
      </c>
      <c r="C11" s="1130"/>
      <c r="D11" s="1130"/>
      <c r="E11" s="1130"/>
      <c r="F11" s="1130"/>
      <c r="G11" s="1131"/>
      <c r="H11" s="666"/>
      <c r="I11" s="1132" t="s">
        <v>105</v>
      </c>
      <c r="J11" s="1130"/>
      <c r="K11" s="1130"/>
      <c r="L11" s="1130"/>
      <c r="M11" s="1131"/>
      <c r="N11" s="1133" t="s">
        <v>125</v>
      </c>
      <c r="O11" s="1134"/>
    </row>
    <row r="12" spans="1:16" ht="34.5" thickBot="1">
      <c r="A12" s="911" t="s">
        <v>539</v>
      </c>
      <c r="B12" s="353" t="s">
        <v>517</v>
      </c>
      <c r="C12" s="845" t="s">
        <v>414</v>
      </c>
      <c r="D12" s="353" t="s">
        <v>265</v>
      </c>
      <c r="E12" s="353" t="s">
        <v>491</v>
      </c>
      <c r="F12" s="1002" t="s">
        <v>274</v>
      </c>
      <c r="G12" s="1071" t="s">
        <v>100</v>
      </c>
      <c r="H12" s="784" t="s">
        <v>396</v>
      </c>
      <c r="I12" s="931" t="s">
        <v>234</v>
      </c>
      <c r="J12" s="389" t="s">
        <v>132</v>
      </c>
      <c r="K12" s="389" t="s">
        <v>270</v>
      </c>
      <c r="L12" s="389" t="s">
        <v>106</v>
      </c>
      <c r="M12" s="956" t="s">
        <v>11</v>
      </c>
      <c r="N12" s="556" t="s">
        <v>367</v>
      </c>
      <c r="O12" s="948" t="s">
        <v>492</v>
      </c>
    </row>
    <row r="13" spans="1:16" ht="13.5" thickTop="1">
      <c r="A13" s="799">
        <v>1</v>
      </c>
      <c r="B13" s="996">
        <v>1</v>
      </c>
      <c r="C13" s="1040" t="s">
        <v>64</v>
      </c>
      <c r="D13" s="559">
        <v>16</v>
      </c>
      <c r="E13" s="479">
        <v>31</v>
      </c>
      <c r="F13" s="739">
        <f t="shared" ref="F13:F72" si="0">IF(E13&gt;0, ROUND(D13/E13,4),0)</f>
        <v>0.5161</v>
      </c>
      <c r="G13" s="630">
        <v>2022</v>
      </c>
      <c r="H13" s="585">
        <v>46925.86</v>
      </c>
      <c r="I13" s="934">
        <v>38144.589999999997</v>
      </c>
      <c r="J13" s="316">
        <v>6722.42</v>
      </c>
      <c r="K13" s="316">
        <v>26379.95</v>
      </c>
      <c r="L13" s="316">
        <v>5043.2700000000004</v>
      </c>
      <c r="M13" s="943">
        <v>0</v>
      </c>
      <c r="N13" s="841">
        <f t="shared" ref="N13:N72" si="1">+H13/Importe_TotalObra</f>
        <v>1.6506928899999999E-2</v>
      </c>
      <c r="O13" s="851">
        <f>N13</f>
        <v>1.6506928899999999E-2</v>
      </c>
      <c r="P13" s="207"/>
    </row>
    <row r="14" spans="1:16">
      <c r="A14" s="724">
        <v>2</v>
      </c>
      <c r="B14" s="24">
        <v>2</v>
      </c>
      <c r="C14" s="401" t="s">
        <v>180</v>
      </c>
      <c r="D14" s="113">
        <v>30</v>
      </c>
      <c r="E14" s="877">
        <v>30</v>
      </c>
      <c r="F14" s="995">
        <f t="shared" si="0"/>
        <v>1</v>
      </c>
      <c r="G14" s="481">
        <v>2022</v>
      </c>
      <c r="H14" s="1019">
        <v>948541.29</v>
      </c>
      <c r="I14" s="917">
        <v>771091.21</v>
      </c>
      <c r="J14" s="385">
        <v>643046.41</v>
      </c>
      <c r="K14" s="385">
        <v>117304.84</v>
      </c>
      <c r="L14" s="385">
        <v>10739.34</v>
      </c>
      <c r="M14" s="818">
        <v>0</v>
      </c>
      <c r="N14" s="841">
        <f t="shared" si="1"/>
        <v>0.33366471349999999</v>
      </c>
      <c r="O14" s="999">
        <f t="shared" ref="O14:O72" si="2">IF(D14&gt;0,N14+O13,0)</f>
        <v>0.35017164239999998</v>
      </c>
      <c r="P14" s="207"/>
    </row>
    <row r="15" spans="1:16">
      <c r="A15" s="724">
        <v>3</v>
      </c>
      <c r="B15" s="24">
        <v>3</v>
      </c>
      <c r="C15" s="1078" t="s">
        <v>319</v>
      </c>
      <c r="D15" s="113">
        <v>29</v>
      </c>
      <c r="E15" s="877">
        <v>31</v>
      </c>
      <c r="F15" s="995">
        <f t="shared" si="0"/>
        <v>0.9355</v>
      </c>
      <c r="G15" s="481">
        <v>2022</v>
      </c>
      <c r="H15" s="1019">
        <v>1011277.11</v>
      </c>
      <c r="I15" s="917">
        <v>822074.21</v>
      </c>
      <c r="J15" s="385">
        <v>599480.04</v>
      </c>
      <c r="K15" s="385">
        <v>204772.37</v>
      </c>
      <c r="L15" s="385">
        <v>17821.37</v>
      </c>
      <c r="M15" s="818">
        <v>0</v>
      </c>
      <c r="N15" s="841">
        <f t="shared" si="1"/>
        <v>0.35573305100000002</v>
      </c>
      <c r="O15" s="999">
        <f t="shared" si="2"/>
        <v>0.70590469339999995</v>
      </c>
      <c r="P15" s="207"/>
    </row>
    <row r="16" spans="1:16">
      <c r="A16" s="724">
        <v>4</v>
      </c>
      <c r="B16" s="24"/>
      <c r="C16" s="401"/>
      <c r="D16" s="113">
        <v>0</v>
      </c>
      <c r="E16" s="877">
        <v>0</v>
      </c>
      <c r="F16" s="995">
        <f t="shared" si="0"/>
        <v>0</v>
      </c>
      <c r="G16" s="481">
        <v>0</v>
      </c>
      <c r="H16" s="1019">
        <v>0</v>
      </c>
      <c r="I16" s="917">
        <v>0</v>
      </c>
      <c r="J16" s="385">
        <v>0</v>
      </c>
      <c r="K16" s="385">
        <v>0</v>
      </c>
      <c r="L16" s="385">
        <v>0</v>
      </c>
      <c r="M16" s="818">
        <v>0</v>
      </c>
      <c r="N16" s="841">
        <f t="shared" si="1"/>
        <v>0</v>
      </c>
      <c r="O16" s="999">
        <f t="shared" si="2"/>
        <v>0</v>
      </c>
      <c r="P16" s="207"/>
    </row>
    <row r="17" spans="1:16">
      <c r="A17" s="724">
        <v>5</v>
      </c>
      <c r="B17" s="24"/>
      <c r="C17" s="401"/>
      <c r="D17" s="113">
        <v>0</v>
      </c>
      <c r="E17" s="877">
        <v>0</v>
      </c>
      <c r="F17" s="995">
        <f t="shared" si="0"/>
        <v>0</v>
      </c>
      <c r="G17" s="481">
        <v>0</v>
      </c>
      <c r="H17" s="1019">
        <v>0</v>
      </c>
      <c r="I17" s="917">
        <v>0</v>
      </c>
      <c r="J17" s="385">
        <v>0</v>
      </c>
      <c r="K17" s="385">
        <v>0</v>
      </c>
      <c r="L17" s="385">
        <v>0</v>
      </c>
      <c r="M17" s="818">
        <v>0</v>
      </c>
      <c r="N17" s="841">
        <f t="shared" si="1"/>
        <v>0</v>
      </c>
      <c r="O17" s="999">
        <f t="shared" si="2"/>
        <v>0</v>
      </c>
      <c r="P17" s="207"/>
    </row>
    <row r="18" spans="1:16">
      <c r="A18" s="724">
        <v>6</v>
      </c>
      <c r="B18" s="24"/>
      <c r="C18" s="401"/>
      <c r="D18" s="113">
        <v>0</v>
      </c>
      <c r="E18" s="877">
        <v>0</v>
      </c>
      <c r="F18" s="995">
        <f t="shared" si="0"/>
        <v>0</v>
      </c>
      <c r="G18" s="481">
        <v>0</v>
      </c>
      <c r="H18" s="1019">
        <v>0</v>
      </c>
      <c r="I18" s="917">
        <v>0</v>
      </c>
      <c r="J18" s="385">
        <v>0</v>
      </c>
      <c r="K18" s="385">
        <v>0</v>
      </c>
      <c r="L18" s="385">
        <v>0</v>
      </c>
      <c r="M18" s="818">
        <v>0</v>
      </c>
      <c r="N18" s="841">
        <f t="shared" si="1"/>
        <v>0</v>
      </c>
      <c r="O18" s="999">
        <f t="shared" si="2"/>
        <v>0</v>
      </c>
      <c r="P18" s="207"/>
    </row>
    <row r="19" spans="1:16">
      <c r="A19" s="724">
        <v>7</v>
      </c>
      <c r="B19" s="24"/>
      <c r="C19" s="401"/>
      <c r="D19" s="113">
        <v>0</v>
      </c>
      <c r="E19" s="877">
        <v>0</v>
      </c>
      <c r="F19" s="995">
        <f t="shared" si="0"/>
        <v>0</v>
      </c>
      <c r="G19" s="481">
        <v>0</v>
      </c>
      <c r="H19" s="1019">
        <v>0</v>
      </c>
      <c r="I19" s="917">
        <v>0</v>
      </c>
      <c r="J19" s="385">
        <v>0</v>
      </c>
      <c r="K19" s="385">
        <v>0</v>
      </c>
      <c r="L19" s="385">
        <v>0</v>
      </c>
      <c r="M19" s="818">
        <v>0</v>
      </c>
      <c r="N19" s="841">
        <f t="shared" si="1"/>
        <v>0</v>
      </c>
      <c r="O19" s="999">
        <f t="shared" si="2"/>
        <v>0</v>
      </c>
      <c r="P19" s="207"/>
    </row>
    <row r="20" spans="1:16">
      <c r="A20" s="724">
        <v>8</v>
      </c>
      <c r="B20" s="24"/>
      <c r="C20" s="401"/>
      <c r="D20" s="113">
        <v>0</v>
      </c>
      <c r="E20" s="877">
        <v>0</v>
      </c>
      <c r="F20" s="995">
        <f t="shared" si="0"/>
        <v>0</v>
      </c>
      <c r="G20" s="481">
        <v>0</v>
      </c>
      <c r="H20" s="1019">
        <v>0</v>
      </c>
      <c r="I20" s="917">
        <v>0</v>
      </c>
      <c r="J20" s="385">
        <v>0</v>
      </c>
      <c r="K20" s="385">
        <v>0</v>
      </c>
      <c r="L20" s="385">
        <v>0</v>
      </c>
      <c r="M20" s="818">
        <v>0</v>
      </c>
      <c r="N20" s="841">
        <f t="shared" si="1"/>
        <v>0</v>
      </c>
      <c r="O20" s="999">
        <f t="shared" si="2"/>
        <v>0</v>
      </c>
      <c r="P20" s="207"/>
    </row>
    <row r="21" spans="1:16">
      <c r="A21" s="724">
        <v>9</v>
      </c>
      <c r="B21" s="24"/>
      <c r="C21" s="401"/>
      <c r="D21" s="113">
        <v>0</v>
      </c>
      <c r="E21" s="877">
        <v>0</v>
      </c>
      <c r="F21" s="995">
        <f t="shared" si="0"/>
        <v>0</v>
      </c>
      <c r="G21" s="481">
        <v>0</v>
      </c>
      <c r="H21" s="1019">
        <v>0</v>
      </c>
      <c r="I21" s="917">
        <v>0</v>
      </c>
      <c r="J21" s="385">
        <v>0</v>
      </c>
      <c r="K21" s="385">
        <v>0</v>
      </c>
      <c r="L21" s="385">
        <v>0</v>
      </c>
      <c r="M21" s="818">
        <v>0</v>
      </c>
      <c r="N21" s="841">
        <f t="shared" si="1"/>
        <v>0</v>
      </c>
      <c r="O21" s="999">
        <f t="shared" si="2"/>
        <v>0</v>
      </c>
      <c r="P21" s="207"/>
    </row>
    <row r="22" spans="1:16">
      <c r="A22" s="724">
        <v>10</v>
      </c>
      <c r="B22" s="24"/>
      <c r="C22" s="401"/>
      <c r="D22" s="113">
        <v>0</v>
      </c>
      <c r="E22" s="877">
        <v>0</v>
      </c>
      <c r="F22" s="995">
        <f t="shared" si="0"/>
        <v>0</v>
      </c>
      <c r="G22" s="481">
        <v>0</v>
      </c>
      <c r="H22" s="1019">
        <v>0</v>
      </c>
      <c r="I22" s="917">
        <v>0</v>
      </c>
      <c r="J22" s="385">
        <v>0</v>
      </c>
      <c r="K22" s="385">
        <v>0</v>
      </c>
      <c r="L22" s="385">
        <v>0</v>
      </c>
      <c r="M22" s="818">
        <v>0</v>
      </c>
      <c r="N22" s="841">
        <f t="shared" si="1"/>
        <v>0</v>
      </c>
      <c r="O22" s="999">
        <f t="shared" si="2"/>
        <v>0</v>
      </c>
      <c r="P22" s="207"/>
    </row>
    <row r="23" spans="1:16">
      <c r="A23" s="724">
        <v>11</v>
      </c>
      <c r="B23" s="24"/>
      <c r="C23" s="401"/>
      <c r="D23" s="113">
        <v>0</v>
      </c>
      <c r="E23" s="877">
        <v>0</v>
      </c>
      <c r="F23" s="995">
        <f t="shared" si="0"/>
        <v>0</v>
      </c>
      <c r="G23" s="481">
        <v>0</v>
      </c>
      <c r="H23" s="1019">
        <v>0</v>
      </c>
      <c r="I23" s="917">
        <v>0</v>
      </c>
      <c r="J23" s="385">
        <v>0</v>
      </c>
      <c r="K23" s="385">
        <v>0</v>
      </c>
      <c r="L23" s="385">
        <v>0</v>
      </c>
      <c r="M23" s="818">
        <v>0</v>
      </c>
      <c r="N23" s="841">
        <f t="shared" si="1"/>
        <v>0</v>
      </c>
      <c r="O23" s="999">
        <f t="shared" si="2"/>
        <v>0</v>
      </c>
      <c r="P23" s="207"/>
    </row>
    <row r="24" spans="1:16">
      <c r="A24" s="724">
        <v>12</v>
      </c>
      <c r="B24" s="24"/>
      <c r="C24" s="401"/>
      <c r="D24" s="113">
        <v>0</v>
      </c>
      <c r="E24" s="877">
        <v>0</v>
      </c>
      <c r="F24" s="995">
        <f t="shared" si="0"/>
        <v>0</v>
      </c>
      <c r="G24" s="481">
        <v>0</v>
      </c>
      <c r="H24" s="1019">
        <v>0</v>
      </c>
      <c r="I24" s="917">
        <v>0</v>
      </c>
      <c r="J24" s="385">
        <v>0</v>
      </c>
      <c r="K24" s="385">
        <v>0</v>
      </c>
      <c r="L24" s="385">
        <v>0</v>
      </c>
      <c r="M24" s="818">
        <v>0</v>
      </c>
      <c r="N24" s="841">
        <f t="shared" si="1"/>
        <v>0</v>
      </c>
      <c r="O24" s="999">
        <f t="shared" si="2"/>
        <v>0</v>
      </c>
      <c r="P24" s="207"/>
    </row>
    <row r="25" spans="1:16">
      <c r="A25" s="724">
        <v>13</v>
      </c>
      <c r="B25" s="24"/>
      <c r="C25" s="401"/>
      <c r="D25" s="113">
        <v>0</v>
      </c>
      <c r="E25" s="877">
        <v>0</v>
      </c>
      <c r="F25" s="995">
        <f t="shared" si="0"/>
        <v>0</v>
      </c>
      <c r="G25" s="481">
        <v>0</v>
      </c>
      <c r="H25" s="1019">
        <v>0</v>
      </c>
      <c r="I25" s="917">
        <v>0</v>
      </c>
      <c r="J25" s="385">
        <v>0</v>
      </c>
      <c r="K25" s="385">
        <v>0</v>
      </c>
      <c r="L25" s="385">
        <v>0</v>
      </c>
      <c r="M25" s="818">
        <v>0</v>
      </c>
      <c r="N25" s="841">
        <f t="shared" si="1"/>
        <v>0</v>
      </c>
      <c r="O25" s="999">
        <f t="shared" si="2"/>
        <v>0</v>
      </c>
      <c r="P25" s="207"/>
    </row>
    <row r="26" spans="1:16">
      <c r="A26" s="724">
        <v>14</v>
      </c>
      <c r="B26" s="24"/>
      <c r="C26" s="401"/>
      <c r="D26" s="113">
        <v>0</v>
      </c>
      <c r="E26" s="877">
        <v>0</v>
      </c>
      <c r="F26" s="995">
        <f t="shared" si="0"/>
        <v>0</v>
      </c>
      <c r="G26" s="481">
        <v>0</v>
      </c>
      <c r="H26" s="1019">
        <v>0</v>
      </c>
      <c r="I26" s="917">
        <v>0</v>
      </c>
      <c r="J26" s="385">
        <v>0</v>
      </c>
      <c r="K26" s="385">
        <v>0</v>
      </c>
      <c r="L26" s="385">
        <v>0</v>
      </c>
      <c r="M26" s="818">
        <v>0</v>
      </c>
      <c r="N26" s="841">
        <f t="shared" si="1"/>
        <v>0</v>
      </c>
      <c r="O26" s="999">
        <f t="shared" si="2"/>
        <v>0</v>
      </c>
      <c r="P26" s="207"/>
    </row>
    <row r="27" spans="1:16">
      <c r="A27" s="724">
        <v>15</v>
      </c>
      <c r="B27" s="24"/>
      <c r="C27" s="401"/>
      <c r="D27" s="113">
        <v>0</v>
      </c>
      <c r="E27" s="877">
        <v>0</v>
      </c>
      <c r="F27" s="995">
        <f t="shared" si="0"/>
        <v>0</v>
      </c>
      <c r="G27" s="481">
        <v>0</v>
      </c>
      <c r="H27" s="1019">
        <v>0</v>
      </c>
      <c r="I27" s="917">
        <v>0</v>
      </c>
      <c r="J27" s="385">
        <v>0</v>
      </c>
      <c r="K27" s="385">
        <v>0</v>
      </c>
      <c r="L27" s="385">
        <v>0</v>
      </c>
      <c r="M27" s="818">
        <v>0</v>
      </c>
      <c r="N27" s="841">
        <f t="shared" si="1"/>
        <v>0</v>
      </c>
      <c r="O27" s="999">
        <f t="shared" si="2"/>
        <v>0</v>
      </c>
      <c r="P27" s="207"/>
    </row>
    <row r="28" spans="1:16">
      <c r="A28" s="724">
        <v>16</v>
      </c>
      <c r="B28" s="24"/>
      <c r="C28" s="401"/>
      <c r="D28" s="113">
        <v>0</v>
      </c>
      <c r="E28" s="877">
        <v>0</v>
      </c>
      <c r="F28" s="995">
        <f t="shared" si="0"/>
        <v>0</v>
      </c>
      <c r="G28" s="481">
        <v>0</v>
      </c>
      <c r="H28" s="1019">
        <v>0</v>
      </c>
      <c r="I28" s="917">
        <v>0</v>
      </c>
      <c r="J28" s="385">
        <v>0</v>
      </c>
      <c r="K28" s="385">
        <v>0</v>
      </c>
      <c r="L28" s="385">
        <v>0</v>
      </c>
      <c r="M28" s="818">
        <v>0</v>
      </c>
      <c r="N28" s="841">
        <f t="shared" si="1"/>
        <v>0</v>
      </c>
      <c r="O28" s="999">
        <f t="shared" si="2"/>
        <v>0</v>
      </c>
      <c r="P28" s="207"/>
    </row>
    <row r="29" spans="1:16">
      <c r="A29" s="724">
        <v>17</v>
      </c>
      <c r="B29" s="24"/>
      <c r="C29" s="401"/>
      <c r="D29" s="113">
        <v>0</v>
      </c>
      <c r="E29" s="877">
        <v>0</v>
      </c>
      <c r="F29" s="995">
        <f t="shared" si="0"/>
        <v>0</v>
      </c>
      <c r="G29" s="481">
        <v>0</v>
      </c>
      <c r="H29" s="1019">
        <v>0</v>
      </c>
      <c r="I29" s="917">
        <v>0</v>
      </c>
      <c r="J29" s="385">
        <v>0</v>
      </c>
      <c r="K29" s="385">
        <v>0</v>
      </c>
      <c r="L29" s="385">
        <v>0</v>
      </c>
      <c r="M29" s="818">
        <v>0</v>
      </c>
      <c r="N29" s="841">
        <f t="shared" si="1"/>
        <v>0</v>
      </c>
      <c r="O29" s="999">
        <f t="shared" si="2"/>
        <v>0</v>
      </c>
      <c r="P29" s="207"/>
    </row>
    <row r="30" spans="1:16">
      <c r="A30" s="724">
        <v>18</v>
      </c>
      <c r="B30" s="24"/>
      <c r="C30" s="401"/>
      <c r="D30" s="113">
        <v>0</v>
      </c>
      <c r="E30" s="877">
        <v>0</v>
      </c>
      <c r="F30" s="995">
        <f t="shared" si="0"/>
        <v>0</v>
      </c>
      <c r="G30" s="481">
        <v>0</v>
      </c>
      <c r="H30" s="1019">
        <v>0</v>
      </c>
      <c r="I30" s="917">
        <v>0</v>
      </c>
      <c r="J30" s="385">
        <v>0</v>
      </c>
      <c r="K30" s="385">
        <v>0</v>
      </c>
      <c r="L30" s="385">
        <v>0</v>
      </c>
      <c r="M30" s="818">
        <v>0</v>
      </c>
      <c r="N30" s="841">
        <f t="shared" si="1"/>
        <v>0</v>
      </c>
      <c r="O30" s="999">
        <f t="shared" si="2"/>
        <v>0</v>
      </c>
      <c r="P30" s="207"/>
    </row>
    <row r="31" spans="1:16">
      <c r="A31" s="724">
        <v>19</v>
      </c>
      <c r="B31" s="24"/>
      <c r="C31" s="401"/>
      <c r="D31" s="113">
        <v>0</v>
      </c>
      <c r="E31" s="877">
        <v>0</v>
      </c>
      <c r="F31" s="995">
        <f t="shared" si="0"/>
        <v>0</v>
      </c>
      <c r="G31" s="481">
        <v>0</v>
      </c>
      <c r="H31" s="1019">
        <v>0</v>
      </c>
      <c r="I31" s="917">
        <v>0</v>
      </c>
      <c r="J31" s="385">
        <v>0</v>
      </c>
      <c r="K31" s="385">
        <v>0</v>
      </c>
      <c r="L31" s="385">
        <v>0</v>
      </c>
      <c r="M31" s="818">
        <v>0</v>
      </c>
      <c r="N31" s="841">
        <f t="shared" si="1"/>
        <v>0</v>
      </c>
      <c r="O31" s="999">
        <f t="shared" si="2"/>
        <v>0</v>
      </c>
      <c r="P31" s="207"/>
    </row>
    <row r="32" spans="1:16">
      <c r="A32" s="724">
        <v>20</v>
      </c>
      <c r="B32" s="24"/>
      <c r="C32" s="401"/>
      <c r="D32" s="113">
        <v>0</v>
      </c>
      <c r="E32" s="877">
        <v>0</v>
      </c>
      <c r="F32" s="995">
        <f t="shared" si="0"/>
        <v>0</v>
      </c>
      <c r="G32" s="481">
        <v>0</v>
      </c>
      <c r="H32" s="1019">
        <v>0</v>
      </c>
      <c r="I32" s="917">
        <v>0</v>
      </c>
      <c r="J32" s="385">
        <v>0</v>
      </c>
      <c r="K32" s="385">
        <v>0</v>
      </c>
      <c r="L32" s="385">
        <v>0</v>
      </c>
      <c r="M32" s="818">
        <v>0</v>
      </c>
      <c r="N32" s="841">
        <f t="shared" si="1"/>
        <v>0</v>
      </c>
      <c r="O32" s="999">
        <f t="shared" si="2"/>
        <v>0</v>
      </c>
      <c r="P32" s="207"/>
    </row>
    <row r="33" spans="1:16">
      <c r="A33" s="724">
        <v>21</v>
      </c>
      <c r="B33" s="24"/>
      <c r="C33" s="401"/>
      <c r="D33" s="113">
        <v>0</v>
      </c>
      <c r="E33" s="877">
        <v>0</v>
      </c>
      <c r="F33" s="995">
        <f t="shared" si="0"/>
        <v>0</v>
      </c>
      <c r="G33" s="481">
        <v>0</v>
      </c>
      <c r="H33" s="1019">
        <v>0</v>
      </c>
      <c r="I33" s="917">
        <v>0</v>
      </c>
      <c r="J33" s="385">
        <v>0</v>
      </c>
      <c r="K33" s="385">
        <v>0</v>
      </c>
      <c r="L33" s="385">
        <v>0</v>
      </c>
      <c r="M33" s="818">
        <v>0</v>
      </c>
      <c r="N33" s="841">
        <f t="shared" si="1"/>
        <v>0</v>
      </c>
      <c r="O33" s="999">
        <f t="shared" si="2"/>
        <v>0</v>
      </c>
      <c r="P33" s="207"/>
    </row>
    <row r="34" spans="1:16">
      <c r="A34" s="724">
        <v>22</v>
      </c>
      <c r="B34" s="24"/>
      <c r="C34" s="401"/>
      <c r="D34" s="113">
        <v>0</v>
      </c>
      <c r="E34" s="877">
        <v>0</v>
      </c>
      <c r="F34" s="995">
        <f t="shared" si="0"/>
        <v>0</v>
      </c>
      <c r="G34" s="481">
        <v>0</v>
      </c>
      <c r="H34" s="1019">
        <v>0</v>
      </c>
      <c r="I34" s="917">
        <v>0</v>
      </c>
      <c r="J34" s="385">
        <v>0</v>
      </c>
      <c r="K34" s="385">
        <v>0</v>
      </c>
      <c r="L34" s="385">
        <v>0</v>
      </c>
      <c r="M34" s="818">
        <v>0</v>
      </c>
      <c r="N34" s="841">
        <f t="shared" si="1"/>
        <v>0</v>
      </c>
      <c r="O34" s="999">
        <f t="shared" si="2"/>
        <v>0</v>
      </c>
      <c r="P34" s="207"/>
    </row>
    <row r="35" spans="1:16">
      <c r="A35" s="724">
        <v>23</v>
      </c>
      <c r="B35" s="24"/>
      <c r="C35" s="401"/>
      <c r="D35" s="113">
        <v>0</v>
      </c>
      <c r="E35" s="877">
        <v>0</v>
      </c>
      <c r="F35" s="995">
        <f t="shared" si="0"/>
        <v>0</v>
      </c>
      <c r="G35" s="481">
        <v>0</v>
      </c>
      <c r="H35" s="1019">
        <v>0</v>
      </c>
      <c r="I35" s="917">
        <v>0</v>
      </c>
      <c r="J35" s="385">
        <v>0</v>
      </c>
      <c r="K35" s="385">
        <v>0</v>
      </c>
      <c r="L35" s="385">
        <v>0</v>
      </c>
      <c r="M35" s="818">
        <v>0</v>
      </c>
      <c r="N35" s="841">
        <f t="shared" si="1"/>
        <v>0</v>
      </c>
      <c r="O35" s="999">
        <f t="shared" si="2"/>
        <v>0</v>
      </c>
      <c r="P35" s="207"/>
    </row>
    <row r="36" spans="1:16">
      <c r="A36" s="724">
        <v>24</v>
      </c>
      <c r="B36" s="24"/>
      <c r="C36" s="401"/>
      <c r="D36" s="113">
        <v>0</v>
      </c>
      <c r="E36" s="877">
        <v>0</v>
      </c>
      <c r="F36" s="995">
        <f t="shared" si="0"/>
        <v>0</v>
      </c>
      <c r="G36" s="481">
        <v>0</v>
      </c>
      <c r="H36" s="1019">
        <v>0</v>
      </c>
      <c r="I36" s="917">
        <v>0</v>
      </c>
      <c r="J36" s="385">
        <v>0</v>
      </c>
      <c r="K36" s="385">
        <v>0</v>
      </c>
      <c r="L36" s="385">
        <v>0</v>
      </c>
      <c r="M36" s="818">
        <v>0</v>
      </c>
      <c r="N36" s="841">
        <f t="shared" si="1"/>
        <v>0</v>
      </c>
      <c r="O36" s="999">
        <f t="shared" si="2"/>
        <v>0</v>
      </c>
      <c r="P36" s="207"/>
    </row>
    <row r="37" spans="1:16">
      <c r="A37" s="724">
        <v>25</v>
      </c>
      <c r="B37" s="24"/>
      <c r="C37" s="401"/>
      <c r="D37" s="113">
        <v>0</v>
      </c>
      <c r="E37" s="877">
        <v>0</v>
      </c>
      <c r="F37" s="995">
        <f t="shared" si="0"/>
        <v>0</v>
      </c>
      <c r="G37" s="481">
        <v>0</v>
      </c>
      <c r="H37" s="1019">
        <v>0</v>
      </c>
      <c r="I37" s="917">
        <v>0</v>
      </c>
      <c r="J37" s="385">
        <v>0</v>
      </c>
      <c r="K37" s="385">
        <v>0</v>
      </c>
      <c r="L37" s="385">
        <v>0</v>
      </c>
      <c r="M37" s="818">
        <v>0</v>
      </c>
      <c r="N37" s="841">
        <f t="shared" si="1"/>
        <v>0</v>
      </c>
      <c r="O37" s="999">
        <f t="shared" si="2"/>
        <v>0</v>
      </c>
    </row>
    <row r="38" spans="1:16">
      <c r="A38" s="724">
        <v>26</v>
      </c>
      <c r="B38" s="24"/>
      <c r="C38" s="401"/>
      <c r="D38" s="113">
        <v>0</v>
      </c>
      <c r="E38" s="877">
        <v>0</v>
      </c>
      <c r="F38" s="995">
        <f t="shared" si="0"/>
        <v>0</v>
      </c>
      <c r="G38" s="481">
        <v>0</v>
      </c>
      <c r="H38" s="1019">
        <v>0</v>
      </c>
      <c r="I38" s="917">
        <v>0</v>
      </c>
      <c r="J38" s="385">
        <v>0</v>
      </c>
      <c r="K38" s="385">
        <v>0</v>
      </c>
      <c r="L38" s="385">
        <v>0</v>
      </c>
      <c r="M38" s="818">
        <v>0</v>
      </c>
      <c r="N38" s="841">
        <f t="shared" si="1"/>
        <v>0</v>
      </c>
      <c r="O38" s="999">
        <f t="shared" si="2"/>
        <v>0</v>
      </c>
    </row>
    <row r="39" spans="1:16">
      <c r="A39" s="724">
        <v>27</v>
      </c>
      <c r="B39" s="24"/>
      <c r="C39" s="401"/>
      <c r="D39" s="113">
        <v>0</v>
      </c>
      <c r="E39" s="877">
        <v>0</v>
      </c>
      <c r="F39" s="995">
        <f t="shared" si="0"/>
        <v>0</v>
      </c>
      <c r="G39" s="481">
        <v>0</v>
      </c>
      <c r="H39" s="1019">
        <v>0</v>
      </c>
      <c r="I39" s="917">
        <v>0</v>
      </c>
      <c r="J39" s="385">
        <v>0</v>
      </c>
      <c r="K39" s="385">
        <v>0</v>
      </c>
      <c r="L39" s="385">
        <v>0</v>
      </c>
      <c r="M39" s="818">
        <v>0</v>
      </c>
      <c r="N39" s="841">
        <f t="shared" si="1"/>
        <v>0</v>
      </c>
      <c r="O39" s="999">
        <f t="shared" si="2"/>
        <v>0</v>
      </c>
    </row>
    <row r="40" spans="1:16">
      <c r="A40" s="724">
        <v>28</v>
      </c>
      <c r="B40" s="24"/>
      <c r="C40" s="401"/>
      <c r="D40" s="113">
        <v>0</v>
      </c>
      <c r="E40" s="877">
        <v>0</v>
      </c>
      <c r="F40" s="995">
        <f t="shared" si="0"/>
        <v>0</v>
      </c>
      <c r="G40" s="481">
        <v>0</v>
      </c>
      <c r="H40" s="1019">
        <v>0</v>
      </c>
      <c r="I40" s="917">
        <v>0</v>
      </c>
      <c r="J40" s="385">
        <v>0</v>
      </c>
      <c r="K40" s="385">
        <v>0</v>
      </c>
      <c r="L40" s="385">
        <v>0</v>
      </c>
      <c r="M40" s="818">
        <v>0</v>
      </c>
      <c r="N40" s="841">
        <f t="shared" si="1"/>
        <v>0</v>
      </c>
      <c r="O40" s="999">
        <f t="shared" si="2"/>
        <v>0</v>
      </c>
    </row>
    <row r="41" spans="1:16">
      <c r="A41" s="724">
        <v>29</v>
      </c>
      <c r="B41" s="24"/>
      <c r="C41" s="401"/>
      <c r="D41" s="113">
        <v>0</v>
      </c>
      <c r="E41" s="877">
        <v>0</v>
      </c>
      <c r="F41" s="995">
        <f t="shared" si="0"/>
        <v>0</v>
      </c>
      <c r="G41" s="481">
        <v>0</v>
      </c>
      <c r="H41" s="1019">
        <v>0</v>
      </c>
      <c r="I41" s="917">
        <v>0</v>
      </c>
      <c r="J41" s="385">
        <v>0</v>
      </c>
      <c r="K41" s="385">
        <v>0</v>
      </c>
      <c r="L41" s="385">
        <v>0</v>
      </c>
      <c r="M41" s="818">
        <v>0</v>
      </c>
      <c r="N41" s="841">
        <f t="shared" si="1"/>
        <v>0</v>
      </c>
      <c r="O41" s="999">
        <f t="shared" si="2"/>
        <v>0</v>
      </c>
    </row>
    <row r="42" spans="1:16">
      <c r="A42" s="724">
        <v>30</v>
      </c>
      <c r="B42" s="24"/>
      <c r="C42" s="401"/>
      <c r="D42" s="113">
        <v>0</v>
      </c>
      <c r="E42" s="877">
        <v>0</v>
      </c>
      <c r="F42" s="995">
        <f t="shared" si="0"/>
        <v>0</v>
      </c>
      <c r="G42" s="481">
        <v>0</v>
      </c>
      <c r="H42" s="1019">
        <v>0</v>
      </c>
      <c r="I42" s="917">
        <v>0</v>
      </c>
      <c r="J42" s="385">
        <v>0</v>
      </c>
      <c r="K42" s="385">
        <v>0</v>
      </c>
      <c r="L42" s="385">
        <v>0</v>
      </c>
      <c r="M42" s="818">
        <v>0</v>
      </c>
      <c r="N42" s="841">
        <f t="shared" si="1"/>
        <v>0</v>
      </c>
      <c r="O42" s="999">
        <f t="shared" si="2"/>
        <v>0</v>
      </c>
    </row>
    <row r="43" spans="1:16">
      <c r="A43" s="724">
        <v>31</v>
      </c>
      <c r="B43" s="24"/>
      <c r="C43" s="401"/>
      <c r="D43" s="113">
        <v>0</v>
      </c>
      <c r="E43" s="877">
        <v>0</v>
      </c>
      <c r="F43" s="995">
        <f t="shared" si="0"/>
        <v>0</v>
      </c>
      <c r="G43" s="481">
        <v>0</v>
      </c>
      <c r="H43" s="1019">
        <v>0</v>
      </c>
      <c r="I43" s="917">
        <v>0</v>
      </c>
      <c r="J43" s="385">
        <v>0</v>
      </c>
      <c r="K43" s="385">
        <v>0</v>
      </c>
      <c r="L43" s="385">
        <v>0</v>
      </c>
      <c r="M43" s="818">
        <v>0</v>
      </c>
      <c r="N43" s="841">
        <f t="shared" si="1"/>
        <v>0</v>
      </c>
      <c r="O43" s="999">
        <f t="shared" si="2"/>
        <v>0</v>
      </c>
    </row>
    <row r="44" spans="1:16">
      <c r="A44" s="724">
        <v>32</v>
      </c>
      <c r="B44" s="24"/>
      <c r="C44" s="401"/>
      <c r="D44" s="113">
        <v>0</v>
      </c>
      <c r="E44" s="877">
        <v>0</v>
      </c>
      <c r="F44" s="995">
        <f t="shared" si="0"/>
        <v>0</v>
      </c>
      <c r="G44" s="481">
        <v>0</v>
      </c>
      <c r="H44" s="1019">
        <v>0</v>
      </c>
      <c r="I44" s="917">
        <v>0</v>
      </c>
      <c r="J44" s="385">
        <v>0</v>
      </c>
      <c r="K44" s="385">
        <v>0</v>
      </c>
      <c r="L44" s="385">
        <v>0</v>
      </c>
      <c r="M44" s="818">
        <v>0</v>
      </c>
      <c r="N44" s="841">
        <f t="shared" si="1"/>
        <v>0</v>
      </c>
      <c r="O44" s="999">
        <f t="shared" si="2"/>
        <v>0</v>
      </c>
    </row>
    <row r="45" spans="1:16">
      <c r="A45" s="724">
        <v>33</v>
      </c>
      <c r="B45" s="24"/>
      <c r="C45" s="401"/>
      <c r="D45" s="113">
        <v>0</v>
      </c>
      <c r="E45" s="877">
        <v>0</v>
      </c>
      <c r="F45" s="995">
        <f t="shared" si="0"/>
        <v>0</v>
      </c>
      <c r="G45" s="481">
        <v>0</v>
      </c>
      <c r="H45" s="1019">
        <v>0</v>
      </c>
      <c r="I45" s="917">
        <v>0</v>
      </c>
      <c r="J45" s="385">
        <v>0</v>
      </c>
      <c r="K45" s="385">
        <v>0</v>
      </c>
      <c r="L45" s="385">
        <v>0</v>
      </c>
      <c r="M45" s="818">
        <v>0</v>
      </c>
      <c r="N45" s="841">
        <f t="shared" si="1"/>
        <v>0</v>
      </c>
      <c r="O45" s="999">
        <f t="shared" si="2"/>
        <v>0</v>
      </c>
    </row>
    <row r="46" spans="1:16">
      <c r="A46" s="724">
        <v>34</v>
      </c>
      <c r="B46" s="24"/>
      <c r="C46" s="401"/>
      <c r="D46" s="113">
        <v>0</v>
      </c>
      <c r="E46" s="877">
        <v>0</v>
      </c>
      <c r="F46" s="995">
        <f t="shared" si="0"/>
        <v>0</v>
      </c>
      <c r="G46" s="481">
        <v>0</v>
      </c>
      <c r="H46" s="1019">
        <v>0</v>
      </c>
      <c r="I46" s="917">
        <v>0</v>
      </c>
      <c r="J46" s="385">
        <v>0</v>
      </c>
      <c r="K46" s="385">
        <v>0</v>
      </c>
      <c r="L46" s="385">
        <v>0</v>
      </c>
      <c r="M46" s="818">
        <v>0</v>
      </c>
      <c r="N46" s="841">
        <f t="shared" si="1"/>
        <v>0</v>
      </c>
      <c r="O46" s="999">
        <f t="shared" si="2"/>
        <v>0</v>
      </c>
    </row>
    <row r="47" spans="1:16">
      <c r="A47" s="724">
        <v>35</v>
      </c>
      <c r="B47" s="24"/>
      <c r="C47" s="401"/>
      <c r="D47" s="113">
        <v>0</v>
      </c>
      <c r="E47" s="877">
        <v>0</v>
      </c>
      <c r="F47" s="995">
        <f t="shared" si="0"/>
        <v>0</v>
      </c>
      <c r="G47" s="481">
        <v>0</v>
      </c>
      <c r="H47" s="1019">
        <v>0</v>
      </c>
      <c r="I47" s="917">
        <v>0</v>
      </c>
      <c r="J47" s="385">
        <v>0</v>
      </c>
      <c r="K47" s="385">
        <v>0</v>
      </c>
      <c r="L47" s="385">
        <v>0</v>
      </c>
      <c r="M47" s="818">
        <v>0</v>
      </c>
      <c r="N47" s="841">
        <f t="shared" si="1"/>
        <v>0</v>
      </c>
      <c r="O47" s="999">
        <f t="shared" si="2"/>
        <v>0</v>
      </c>
    </row>
    <row r="48" spans="1:16">
      <c r="A48" s="724">
        <v>36</v>
      </c>
      <c r="B48" s="24"/>
      <c r="C48" s="401"/>
      <c r="D48" s="113">
        <v>0</v>
      </c>
      <c r="E48" s="877">
        <v>0</v>
      </c>
      <c r="F48" s="995">
        <f t="shared" si="0"/>
        <v>0</v>
      </c>
      <c r="G48" s="481">
        <v>0</v>
      </c>
      <c r="H48" s="1019">
        <v>0</v>
      </c>
      <c r="I48" s="917">
        <v>0</v>
      </c>
      <c r="J48" s="385">
        <v>0</v>
      </c>
      <c r="K48" s="385">
        <v>0</v>
      </c>
      <c r="L48" s="385">
        <v>0</v>
      </c>
      <c r="M48" s="818">
        <v>0</v>
      </c>
      <c r="N48" s="841">
        <f t="shared" si="1"/>
        <v>0</v>
      </c>
      <c r="O48" s="999">
        <f t="shared" si="2"/>
        <v>0</v>
      </c>
    </row>
    <row r="49" spans="1:15">
      <c r="A49" s="724">
        <v>37</v>
      </c>
      <c r="B49" s="24"/>
      <c r="C49" s="401"/>
      <c r="D49" s="113">
        <v>0</v>
      </c>
      <c r="E49" s="877">
        <v>0</v>
      </c>
      <c r="F49" s="995">
        <f t="shared" si="0"/>
        <v>0</v>
      </c>
      <c r="G49" s="481">
        <v>0</v>
      </c>
      <c r="H49" s="1019">
        <v>0</v>
      </c>
      <c r="I49" s="917">
        <v>0</v>
      </c>
      <c r="J49" s="385">
        <v>0</v>
      </c>
      <c r="K49" s="385">
        <v>0</v>
      </c>
      <c r="L49" s="385">
        <v>0</v>
      </c>
      <c r="M49" s="818">
        <v>0</v>
      </c>
      <c r="N49" s="841">
        <f t="shared" si="1"/>
        <v>0</v>
      </c>
      <c r="O49" s="999">
        <f t="shared" si="2"/>
        <v>0</v>
      </c>
    </row>
    <row r="50" spans="1:15">
      <c r="A50" s="724">
        <v>38</v>
      </c>
      <c r="B50" s="24"/>
      <c r="C50" s="401"/>
      <c r="D50" s="113">
        <v>0</v>
      </c>
      <c r="E50" s="877">
        <v>0</v>
      </c>
      <c r="F50" s="995">
        <f t="shared" si="0"/>
        <v>0</v>
      </c>
      <c r="G50" s="481">
        <v>0</v>
      </c>
      <c r="H50" s="1019">
        <v>0</v>
      </c>
      <c r="I50" s="917">
        <v>0</v>
      </c>
      <c r="J50" s="385">
        <v>0</v>
      </c>
      <c r="K50" s="385">
        <v>0</v>
      </c>
      <c r="L50" s="385">
        <v>0</v>
      </c>
      <c r="M50" s="818">
        <v>0</v>
      </c>
      <c r="N50" s="841">
        <f t="shared" si="1"/>
        <v>0</v>
      </c>
      <c r="O50" s="999">
        <f t="shared" si="2"/>
        <v>0</v>
      </c>
    </row>
    <row r="51" spans="1:15">
      <c r="A51" s="724">
        <v>39</v>
      </c>
      <c r="B51" s="24"/>
      <c r="C51" s="401"/>
      <c r="D51" s="113">
        <v>0</v>
      </c>
      <c r="E51" s="877">
        <v>0</v>
      </c>
      <c r="F51" s="995">
        <f t="shared" si="0"/>
        <v>0</v>
      </c>
      <c r="G51" s="481">
        <v>0</v>
      </c>
      <c r="H51" s="1019">
        <v>0</v>
      </c>
      <c r="I51" s="917">
        <v>0</v>
      </c>
      <c r="J51" s="385">
        <v>0</v>
      </c>
      <c r="K51" s="385">
        <v>0</v>
      </c>
      <c r="L51" s="385">
        <v>0</v>
      </c>
      <c r="M51" s="818">
        <v>0</v>
      </c>
      <c r="N51" s="841">
        <f t="shared" si="1"/>
        <v>0</v>
      </c>
      <c r="O51" s="999">
        <f t="shared" si="2"/>
        <v>0</v>
      </c>
    </row>
    <row r="52" spans="1:15">
      <c r="A52" s="724">
        <v>40</v>
      </c>
      <c r="B52" s="24"/>
      <c r="C52" s="401"/>
      <c r="D52" s="113">
        <v>0</v>
      </c>
      <c r="E52" s="877">
        <v>0</v>
      </c>
      <c r="F52" s="995">
        <f t="shared" si="0"/>
        <v>0</v>
      </c>
      <c r="G52" s="481">
        <v>0</v>
      </c>
      <c r="H52" s="1019">
        <v>0</v>
      </c>
      <c r="I52" s="917">
        <v>0</v>
      </c>
      <c r="J52" s="385">
        <v>0</v>
      </c>
      <c r="K52" s="385">
        <v>0</v>
      </c>
      <c r="L52" s="385">
        <v>0</v>
      </c>
      <c r="M52" s="818">
        <v>0</v>
      </c>
      <c r="N52" s="841">
        <f t="shared" si="1"/>
        <v>0</v>
      </c>
      <c r="O52" s="999">
        <f t="shared" si="2"/>
        <v>0</v>
      </c>
    </row>
    <row r="53" spans="1:15">
      <c r="A53" s="724">
        <v>41</v>
      </c>
      <c r="B53" s="24"/>
      <c r="C53" s="401"/>
      <c r="D53" s="113">
        <v>0</v>
      </c>
      <c r="E53" s="877">
        <v>0</v>
      </c>
      <c r="F53" s="995">
        <f t="shared" si="0"/>
        <v>0</v>
      </c>
      <c r="G53" s="481">
        <v>0</v>
      </c>
      <c r="H53" s="1019">
        <v>0</v>
      </c>
      <c r="I53" s="917">
        <v>0</v>
      </c>
      <c r="J53" s="385">
        <v>0</v>
      </c>
      <c r="K53" s="385">
        <v>0</v>
      </c>
      <c r="L53" s="385">
        <v>0</v>
      </c>
      <c r="M53" s="818">
        <v>0</v>
      </c>
      <c r="N53" s="841">
        <f t="shared" si="1"/>
        <v>0</v>
      </c>
      <c r="O53" s="999">
        <f t="shared" si="2"/>
        <v>0</v>
      </c>
    </row>
    <row r="54" spans="1:15">
      <c r="A54" s="724">
        <v>42</v>
      </c>
      <c r="B54" s="24"/>
      <c r="C54" s="401"/>
      <c r="D54" s="113">
        <v>0</v>
      </c>
      <c r="E54" s="877">
        <v>0</v>
      </c>
      <c r="F54" s="995">
        <f t="shared" si="0"/>
        <v>0</v>
      </c>
      <c r="G54" s="481">
        <v>0</v>
      </c>
      <c r="H54" s="1019">
        <v>0</v>
      </c>
      <c r="I54" s="917">
        <v>0</v>
      </c>
      <c r="J54" s="385">
        <v>0</v>
      </c>
      <c r="K54" s="385">
        <v>0</v>
      </c>
      <c r="L54" s="385">
        <v>0</v>
      </c>
      <c r="M54" s="818">
        <v>0</v>
      </c>
      <c r="N54" s="841">
        <f t="shared" si="1"/>
        <v>0</v>
      </c>
      <c r="O54" s="999">
        <f t="shared" si="2"/>
        <v>0</v>
      </c>
    </row>
    <row r="55" spans="1:15">
      <c r="A55" s="724">
        <v>43</v>
      </c>
      <c r="B55" s="24"/>
      <c r="C55" s="401"/>
      <c r="D55" s="113">
        <v>0</v>
      </c>
      <c r="E55" s="877">
        <v>0</v>
      </c>
      <c r="F55" s="995">
        <f t="shared" si="0"/>
        <v>0</v>
      </c>
      <c r="G55" s="481">
        <v>0</v>
      </c>
      <c r="H55" s="1019">
        <v>0</v>
      </c>
      <c r="I55" s="917">
        <v>0</v>
      </c>
      <c r="J55" s="385">
        <v>0</v>
      </c>
      <c r="K55" s="385">
        <v>0</v>
      </c>
      <c r="L55" s="385">
        <v>0</v>
      </c>
      <c r="M55" s="818">
        <v>0</v>
      </c>
      <c r="N55" s="841">
        <f t="shared" si="1"/>
        <v>0</v>
      </c>
      <c r="O55" s="999">
        <f t="shared" si="2"/>
        <v>0</v>
      </c>
    </row>
    <row r="56" spans="1:15">
      <c r="A56" s="724">
        <v>44</v>
      </c>
      <c r="B56" s="24"/>
      <c r="C56" s="401"/>
      <c r="D56" s="113">
        <v>0</v>
      </c>
      <c r="E56" s="877">
        <v>0</v>
      </c>
      <c r="F56" s="995">
        <f t="shared" si="0"/>
        <v>0</v>
      </c>
      <c r="G56" s="481">
        <v>0</v>
      </c>
      <c r="H56" s="1019">
        <v>0</v>
      </c>
      <c r="I56" s="917">
        <v>0</v>
      </c>
      <c r="J56" s="385">
        <v>0</v>
      </c>
      <c r="K56" s="385">
        <v>0</v>
      </c>
      <c r="L56" s="385">
        <v>0</v>
      </c>
      <c r="M56" s="818">
        <v>0</v>
      </c>
      <c r="N56" s="841">
        <f t="shared" si="1"/>
        <v>0</v>
      </c>
      <c r="O56" s="999">
        <f t="shared" si="2"/>
        <v>0</v>
      </c>
    </row>
    <row r="57" spans="1:15">
      <c r="A57" s="724">
        <v>45</v>
      </c>
      <c r="B57" s="24"/>
      <c r="C57" s="401"/>
      <c r="D57" s="113">
        <v>0</v>
      </c>
      <c r="E57" s="877">
        <v>0</v>
      </c>
      <c r="F57" s="995">
        <f t="shared" si="0"/>
        <v>0</v>
      </c>
      <c r="G57" s="481">
        <v>0</v>
      </c>
      <c r="H57" s="1019">
        <v>0</v>
      </c>
      <c r="I57" s="917">
        <v>0</v>
      </c>
      <c r="J57" s="385">
        <v>0</v>
      </c>
      <c r="K57" s="385">
        <v>0</v>
      </c>
      <c r="L57" s="385">
        <v>0</v>
      </c>
      <c r="M57" s="818">
        <v>0</v>
      </c>
      <c r="N57" s="841">
        <f t="shared" si="1"/>
        <v>0</v>
      </c>
      <c r="O57" s="999">
        <f t="shared" si="2"/>
        <v>0</v>
      </c>
    </row>
    <row r="58" spans="1:15">
      <c r="A58" s="724">
        <v>46</v>
      </c>
      <c r="B58" s="24"/>
      <c r="C58" s="401"/>
      <c r="D58" s="113">
        <v>0</v>
      </c>
      <c r="E58" s="877">
        <v>0</v>
      </c>
      <c r="F58" s="995">
        <f t="shared" si="0"/>
        <v>0</v>
      </c>
      <c r="G58" s="481">
        <v>0</v>
      </c>
      <c r="H58" s="1019">
        <v>0</v>
      </c>
      <c r="I58" s="917">
        <v>0</v>
      </c>
      <c r="J58" s="385">
        <v>0</v>
      </c>
      <c r="K58" s="385">
        <v>0</v>
      </c>
      <c r="L58" s="385">
        <v>0</v>
      </c>
      <c r="M58" s="818">
        <v>0</v>
      </c>
      <c r="N58" s="841">
        <f t="shared" si="1"/>
        <v>0</v>
      </c>
      <c r="O58" s="999">
        <f t="shared" si="2"/>
        <v>0</v>
      </c>
    </row>
    <row r="59" spans="1:15">
      <c r="A59" s="724">
        <v>47</v>
      </c>
      <c r="B59" s="24"/>
      <c r="C59" s="401"/>
      <c r="D59" s="113">
        <v>0</v>
      </c>
      <c r="E59" s="877">
        <v>0</v>
      </c>
      <c r="F59" s="995">
        <f t="shared" si="0"/>
        <v>0</v>
      </c>
      <c r="G59" s="481">
        <v>0</v>
      </c>
      <c r="H59" s="1019">
        <v>0</v>
      </c>
      <c r="I59" s="917">
        <v>0</v>
      </c>
      <c r="J59" s="385">
        <v>0</v>
      </c>
      <c r="K59" s="385">
        <v>0</v>
      </c>
      <c r="L59" s="385">
        <v>0</v>
      </c>
      <c r="M59" s="818">
        <v>0</v>
      </c>
      <c r="N59" s="841">
        <f t="shared" si="1"/>
        <v>0</v>
      </c>
      <c r="O59" s="999">
        <f t="shared" si="2"/>
        <v>0</v>
      </c>
    </row>
    <row r="60" spans="1:15">
      <c r="A60" s="724">
        <v>48</v>
      </c>
      <c r="B60" s="24"/>
      <c r="C60" s="401"/>
      <c r="D60" s="113">
        <v>0</v>
      </c>
      <c r="E60" s="877">
        <v>0</v>
      </c>
      <c r="F60" s="995">
        <f t="shared" si="0"/>
        <v>0</v>
      </c>
      <c r="G60" s="481">
        <v>0</v>
      </c>
      <c r="H60" s="1019">
        <v>0</v>
      </c>
      <c r="I60" s="917">
        <v>0</v>
      </c>
      <c r="J60" s="385">
        <v>0</v>
      </c>
      <c r="K60" s="385">
        <v>0</v>
      </c>
      <c r="L60" s="385">
        <v>0</v>
      </c>
      <c r="M60" s="818">
        <v>0</v>
      </c>
      <c r="N60" s="841">
        <f t="shared" si="1"/>
        <v>0</v>
      </c>
      <c r="O60" s="999">
        <f t="shared" si="2"/>
        <v>0</v>
      </c>
    </row>
    <row r="61" spans="1:15">
      <c r="A61" s="724">
        <v>49</v>
      </c>
      <c r="B61" s="24"/>
      <c r="C61" s="401"/>
      <c r="D61" s="113">
        <v>0</v>
      </c>
      <c r="E61" s="877">
        <v>0</v>
      </c>
      <c r="F61" s="995">
        <f t="shared" si="0"/>
        <v>0</v>
      </c>
      <c r="G61" s="481">
        <v>0</v>
      </c>
      <c r="H61" s="1019">
        <v>0</v>
      </c>
      <c r="I61" s="917">
        <v>0</v>
      </c>
      <c r="J61" s="385">
        <v>0</v>
      </c>
      <c r="K61" s="385">
        <v>0</v>
      </c>
      <c r="L61" s="385">
        <v>0</v>
      </c>
      <c r="M61" s="818">
        <v>0</v>
      </c>
      <c r="N61" s="841">
        <f t="shared" si="1"/>
        <v>0</v>
      </c>
      <c r="O61" s="999">
        <f t="shared" si="2"/>
        <v>0</v>
      </c>
    </row>
    <row r="62" spans="1:15">
      <c r="A62" s="724">
        <v>50</v>
      </c>
      <c r="B62" s="24"/>
      <c r="C62" s="401"/>
      <c r="D62" s="113">
        <v>0</v>
      </c>
      <c r="E62" s="877">
        <v>0</v>
      </c>
      <c r="F62" s="995">
        <f t="shared" si="0"/>
        <v>0</v>
      </c>
      <c r="G62" s="481">
        <v>0</v>
      </c>
      <c r="H62" s="1019">
        <v>0</v>
      </c>
      <c r="I62" s="917">
        <v>0</v>
      </c>
      <c r="J62" s="385">
        <v>0</v>
      </c>
      <c r="K62" s="385">
        <v>0</v>
      </c>
      <c r="L62" s="385">
        <v>0</v>
      </c>
      <c r="M62" s="818">
        <v>0</v>
      </c>
      <c r="N62" s="841">
        <f t="shared" si="1"/>
        <v>0</v>
      </c>
      <c r="O62" s="999">
        <f t="shared" si="2"/>
        <v>0</v>
      </c>
    </row>
    <row r="63" spans="1:15">
      <c r="A63" s="724">
        <v>51</v>
      </c>
      <c r="B63" s="24"/>
      <c r="C63" s="401"/>
      <c r="D63" s="113">
        <v>0</v>
      </c>
      <c r="E63" s="877">
        <v>0</v>
      </c>
      <c r="F63" s="995">
        <f t="shared" si="0"/>
        <v>0</v>
      </c>
      <c r="G63" s="481">
        <v>0</v>
      </c>
      <c r="H63" s="1019">
        <v>0</v>
      </c>
      <c r="I63" s="917">
        <v>0</v>
      </c>
      <c r="J63" s="385">
        <v>0</v>
      </c>
      <c r="K63" s="385">
        <v>0</v>
      </c>
      <c r="L63" s="385">
        <v>0</v>
      </c>
      <c r="M63" s="818">
        <v>0</v>
      </c>
      <c r="N63" s="841">
        <f t="shared" si="1"/>
        <v>0</v>
      </c>
      <c r="O63" s="999">
        <f t="shared" si="2"/>
        <v>0</v>
      </c>
    </row>
    <row r="64" spans="1:15">
      <c r="A64" s="724">
        <v>52</v>
      </c>
      <c r="B64" s="24"/>
      <c r="C64" s="401"/>
      <c r="D64" s="113">
        <v>0</v>
      </c>
      <c r="E64" s="877">
        <v>0</v>
      </c>
      <c r="F64" s="995">
        <f t="shared" si="0"/>
        <v>0</v>
      </c>
      <c r="G64" s="481">
        <v>0</v>
      </c>
      <c r="H64" s="1019">
        <v>0</v>
      </c>
      <c r="I64" s="917">
        <v>0</v>
      </c>
      <c r="J64" s="385">
        <v>0</v>
      </c>
      <c r="K64" s="385">
        <v>0</v>
      </c>
      <c r="L64" s="385">
        <v>0</v>
      </c>
      <c r="M64" s="818">
        <v>0</v>
      </c>
      <c r="N64" s="841">
        <f t="shared" si="1"/>
        <v>0</v>
      </c>
      <c r="O64" s="999">
        <f t="shared" si="2"/>
        <v>0</v>
      </c>
    </row>
    <row r="65" spans="1:15">
      <c r="A65" s="724">
        <v>53</v>
      </c>
      <c r="B65" s="24"/>
      <c r="C65" s="401"/>
      <c r="D65" s="113">
        <v>0</v>
      </c>
      <c r="E65" s="877">
        <v>0</v>
      </c>
      <c r="F65" s="995">
        <f t="shared" si="0"/>
        <v>0</v>
      </c>
      <c r="G65" s="481">
        <v>0</v>
      </c>
      <c r="H65" s="1019">
        <v>0</v>
      </c>
      <c r="I65" s="917">
        <v>0</v>
      </c>
      <c r="J65" s="385">
        <v>0</v>
      </c>
      <c r="K65" s="385">
        <v>0</v>
      </c>
      <c r="L65" s="385">
        <v>0</v>
      </c>
      <c r="M65" s="818">
        <v>0</v>
      </c>
      <c r="N65" s="841">
        <f t="shared" si="1"/>
        <v>0</v>
      </c>
      <c r="O65" s="999">
        <f t="shared" si="2"/>
        <v>0</v>
      </c>
    </row>
    <row r="66" spans="1:15">
      <c r="A66" s="724">
        <v>54</v>
      </c>
      <c r="B66" s="24"/>
      <c r="C66" s="401"/>
      <c r="D66" s="113">
        <v>0</v>
      </c>
      <c r="E66" s="877">
        <v>0</v>
      </c>
      <c r="F66" s="995">
        <f t="shared" si="0"/>
        <v>0</v>
      </c>
      <c r="G66" s="481">
        <v>0</v>
      </c>
      <c r="H66" s="1019">
        <v>0</v>
      </c>
      <c r="I66" s="917">
        <v>0</v>
      </c>
      <c r="J66" s="385">
        <v>0</v>
      </c>
      <c r="K66" s="385">
        <v>0</v>
      </c>
      <c r="L66" s="385">
        <v>0</v>
      </c>
      <c r="M66" s="818">
        <v>0</v>
      </c>
      <c r="N66" s="841">
        <f t="shared" si="1"/>
        <v>0</v>
      </c>
      <c r="O66" s="999">
        <f t="shared" si="2"/>
        <v>0</v>
      </c>
    </row>
    <row r="67" spans="1:15">
      <c r="A67" s="724">
        <v>55</v>
      </c>
      <c r="B67" s="24"/>
      <c r="C67" s="401"/>
      <c r="D67" s="113">
        <v>0</v>
      </c>
      <c r="E67" s="877">
        <v>0</v>
      </c>
      <c r="F67" s="995">
        <f t="shared" si="0"/>
        <v>0</v>
      </c>
      <c r="G67" s="481">
        <v>0</v>
      </c>
      <c r="H67" s="1019">
        <v>0</v>
      </c>
      <c r="I67" s="917">
        <v>0</v>
      </c>
      <c r="J67" s="385">
        <v>0</v>
      </c>
      <c r="K67" s="385">
        <v>0</v>
      </c>
      <c r="L67" s="385">
        <v>0</v>
      </c>
      <c r="M67" s="818">
        <v>0</v>
      </c>
      <c r="N67" s="841">
        <f t="shared" si="1"/>
        <v>0</v>
      </c>
      <c r="O67" s="999">
        <f t="shared" si="2"/>
        <v>0</v>
      </c>
    </row>
    <row r="68" spans="1:15">
      <c r="A68" s="724">
        <v>56</v>
      </c>
      <c r="B68" s="24"/>
      <c r="C68" s="401"/>
      <c r="D68" s="113">
        <v>0</v>
      </c>
      <c r="E68" s="877">
        <v>0</v>
      </c>
      <c r="F68" s="995">
        <f t="shared" si="0"/>
        <v>0</v>
      </c>
      <c r="G68" s="481">
        <v>0</v>
      </c>
      <c r="H68" s="1019">
        <v>0</v>
      </c>
      <c r="I68" s="917">
        <v>0</v>
      </c>
      <c r="J68" s="385">
        <v>0</v>
      </c>
      <c r="K68" s="385">
        <v>0</v>
      </c>
      <c r="L68" s="385">
        <v>0</v>
      </c>
      <c r="M68" s="818">
        <v>0</v>
      </c>
      <c r="N68" s="841">
        <f t="shared" si="1"/>
        <v>0</v>
      </c>
      <c r="O68" s="999">
        <f t="shared" si="2"/>
        <v>0</v>
      </c>
    </row>
    <row r="69" spans="1:15">
      <c r="A69" s="724">
        <v>57</v>
      </c>
      <c r="B69" s="24"/>
      <c r="C69" s="401"/>
      <c r="D69" s="113">
        <v>0</v>
      </c>
      <c r="E69" s="877">
        <v>0</v>
      </c>
      <c r="F69" s="995">
        <f t="shared" si="0"/>
        <v>0</v>
      </c>
      <c r="G69" s="481">
        <v>0</v>
      </c>
      <c r="H69" s="1019">
        <v>0</v>
      </c>
      <c r="I69" s="917">
        <v>0</v>
      </c>
      <c r="J69" s="385">
        <v>0</v>
      </c>
      <c r="K69" s="385">
        <v>0</v>
      </c>
      <c r="L69" s="385">
        <v>0</v>
      </c>
      <c r="M69" s="818">
        <v>0</v>
      </c>
      <c r="N69" s="841">
        <f t="shared" si="1"/>
        <v>0</v>
      </c>
      <c r="O69" s="999">
        <f t="shared" si="2"/>
        <v>0</v>
      </c>
    </row>
    <row r="70" spans="1:15">
      <c r="A70" s="724">
        <v>58</v>
      </c>
      <c r="B70" s="24"/>
      <c r="C70" s="401"/>
      <c r="D70" s="113">
        <v>0</v>
      </c>
      <c r="E70" s="877">
        <v>0</v>
      </c>
      <c r="F70" s="995">
        <f t="shared" si="0"/>
        <v>0</v>
      </c>
      <c r="G70" s="481">
        <v>0</v>
      </c>
      <c r="H70" s="1019">
        <v>0</v>
      </c>
      <c r="I70" s="917">
        <v>0</v>
      </c>
      <c r="J70" s="385">
        <v>0</v>
      </c>
      <c r="K70" s="385">
        <v>0</v>
      </c>
      <c r="L70" s="385">
        <v>0</v>
      </c>
      <c r="M70" s="818">
        <v>0</v>
      </c>
      <c r="N70" s="841">
        <f t="shared" si="1"/>
        <v>0</v>
      </c>
      <c r="O70" s="999">
        <f t="shared" si="2"/>
        <v>0</v>
      </c>
    </row>
    <row r="71" spans="1:15">
      <c r="A71" s="724">
        <v>59</v>
      </c>
      <c r="B71" s="24"/>
      <c r="C71" s="401"/>
      <c r="D71" s="113">
        <v>0</v>
      </c>
      <c r="E71" s="877">
        <v>0</v>
      </c>
      <c r="F71" s="995">
        <f t="shared" si="0"/>
        <v>0</v>
      </c>
      <c r="G71" s="481">
        <v>0</v>
      </c>
      <c r="H71" s="1019">
        <v>0</v>
      </c>
      <c r="I71" s="917">
        <v>0</v>
      </c>
      <c r="J71" s="385">
        <v>0</v>
      </c>
      <c r="K71" s="385">
        <v>0</v>
      </c>
      <c r="L71" s="385">
        <v>0</v>
      </c>
      <c r="M71" s="818">
        <v>0</v>
      </c>
      <c r="N71" s="841">
        <f t="shared" si="1"/>
        <v>0</v>
      </c>
      <c r="O71" s="999">
        <f t="shared" si="2"/>
        <v>0</v>
      </c>
    </row>
    <row r="72" spans="1:15">
      <c r="A72" s="724">
        <v>60</v>
      </c>
      <c r="B72" s="24"/>
      <c r="C72" s="401"/>
      <c r="D72" s="113">
        <v>0</v>
      </c>
      <c r="E72" s="877">
        <v>0</v>
      </c>
      <c r="F72" s="995">
        <f t="shared" si="0"/>
        <v>0</v>
      </c>
      <c r="G72" s="481">
        <v>0</v>
      </c>
      <c r="H72" s="1019">
        <v>0</v>
      </c>
      <c r="I72" s="917">
        <v>0</v>
      </c>
      <c r="J72" s="385">
        <v>0</v>
      </c>
      <c r="K72" s="385">
        <v>0</v>
      </c>
      <c r="L72" s="385">
        <v>0</v>
      </c>
      <c r="M72" s="818">
        <v>0</v>
      </c>
      <c r="N72" s="841">
        <f t="shared" si="1"/>
        <v>0</v>
      </c>
      <c r="O72" s="999">
        <f t="shared" si="2"/>
        <v>0</v>
      </c>
    </row>
    <row r="73" spans="1:15">
      <c r="D73">
        <v>0</v>
      </c>
      <c r="E73">
        <v>0</v>
      </c>
      <c r="G73">
        <v>0</v>
      </c>
      <c r="H73" s="207">
        <v>0</v>
      </c>
      <c r="I73">
        <v>0</v>
      </c>
      <c r="J73">
        <v>0</v>
      </c>
      <c r="K73">
        <v>0</v>
      </c>
      <c r="L73">
        <v>0</v>
      </c>
      <c r="M73">
        <v>0</v>
      </c>
      <c r="O73" s="711" t="s">
        <v>168</v>
      </c>
    </row>
    <row r="74" spans="1:15">
      <c r="D74">
        <v>0</v>
      </c>
      <c r="E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5">
      <c r="D75">
        <v>0</v>
      </c>
      <c r="E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5">
      <c r="D76">
        <v>0</v>
      </c>
      <c r="E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5">
      <c r="D77">
        <v>0</v>
      </c>
      <c r="E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5">
      <c r="D78">
        <v>0</v>
      </c>
      <c r="E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5">
      <c r="D79">
        <v>0</v>
      </c>
      <c r="E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5">
      <c r="D80">
        <v>0</v>
      </c>
      <c r="E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4:13">
      <c r="D81">
        <v>0</v>
      </c>
      <c r="E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4:13">
      <c r="D82">
        <v>0</v>
      </c>
      <c r="E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4:13">
      <c r="D83">
        <v>0</v>
      </c>
      <c r="E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4:13">
      <c r="D84">
        <v>0</v>
      </c>
      <c r="E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4:13">
      <c r="D85">
        <v>0</v>
      </c>
      <c r="E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4:13">
      <c r="D86">
        <v>0</v>
      </c>
      <c r="E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4:13">
      <c r="D87">
        <v>0</v>
      </c>
      <c r="E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4:13">
      <c r="D88">
        <v>0</v>
      </c>
      <c r="E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4:13">
      <c r="D89">
        <v>0</v>
      </c>
      <c r="E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4:13">
      <c r="D90">
        <v>0</v>
      </c>
      <c r="E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4:13">
      <c r="D91">
        <v>0</v>
      </c>
      <c r="E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4:13">
      <c r="D92">
        <v>0</v>
      </c>
      <c r="E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4:13">
      <c r="D93">
        <v>0</v>
      </c>
      <c r="E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4:13">
      <c r="D94">
        <v>0</v>
      </c>
      <c r="E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4:13">
      <c r="D95">
        <v>0</v>
      </c>
      <c r="E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4:13">
      <c r="D96">
        <v>0</v>
      </c>
      <c r="E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4:13">
      <c r="D97">
        <v>0</v>
      </c>
      <c r="E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4:13">
      <c r="D98">
        <v>0</v>
      </c>
      <c r="E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4:13">
      <c r="D99">
        <v>0</v>
      </c>
      <c r="E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4:13">
      <c r="D100">
        <v>0</v>
      </c>
      <c r="E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4:13">
      <c r="D101">
        <v>0</v>
      </c>
      <c r="E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4:13">
      <c r="D102">
        <v>0</v>
      </c>
      <c r="E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4:13">
      <c r="D103">
        <v>0</v>
      </c>
      <c r="E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4:13">
      <c r="D104">
        <v>0</v>
      </c>
      <c r="E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4:13">
      <c r="D105">
        <v>0</v>
      </c>
      <c r="E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4:13">
      <c r="D106">
        <v>0</v>
      </c>
      <c r="E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4:13">
      <c r="D107">
        <v>0</v>
      </c>
      <c r="E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4:13">
      <c r="D108">
        <v>0</v>
      </c>
      <c r="E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4:13">
      <c r="D109">
        <v>0</v>
      </c>
      <c r="E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4:13">
      <c r="D110">
        <v>0</v>
      </c>
      <c r="E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4:13">
      <c r="D111">
        <v>0</v>
      </c>
      <c r="E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4:13">
      <c r="D112">
        <v>0</v>
      </c>
      <c r="E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4:13">
      <c r="D113">
        <v>0</v>
      </c>
      <c r="E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4:13">
      <c r="D114">
        <v>0</v>
      </c>
      <c r="E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4:13">
      <c r="D115">
        <v>0</v>
      </c>
      <c r="E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4:13">
      <c r="D116">
        <v>0</v>
      </c>
      <c r="E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4:13">
      <c r="D117">
        <v>0</v>
      </c>
      <c r="E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4:13">
      <c r="D118">
        <v>0</v>
      </c>
      <c r="E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4:13">
      <c r="D119">
        <v>0</v>
      </c>
      <c r="E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4:13">
      <c r="D120">
        <v>0</v>
      </c>
      <c r="E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4:13">
      <c r="D121">
        <v>0</v>
      </c>
      <c r="E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4:13">
      <c r="D122">
        <v>0</v>
      </c>
      <c r="E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4:13">
      <c r="D123">
        <v>0</v>
      </c>
      <c r="E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4:13">
      <c r="D124">
        <v>0</v>
      </c>
      <c r="E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4:13">
      <c r="D125">
        <v>0</v>
      </c>
      <c r="E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4:13">
      <c r="D126">
        <v>0</v>
      </c>
      <c r="E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4:13">
      <c r="D127">
        <v>0</v>
      </c>
      <c r="E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4:13">
      <c r="D128">
        <v>0</v>
      </c>
      <c r="E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4:13">
      <c r="D129">
        <v>0</v>
      </c>
      <c r="E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4:13">
      <c r="D130">
        <v>0</v>
      </c>
      <c r="E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4:13">
      <c r="D131">
        <v>0</v>
      </c>
      <c r="E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4:13">
      <c r="D132">
        <v>0</v>
      </c>
      <c r="E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4:13">
      <c r="D133">
        <v>0</v>
      </c>
      <c r="E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4:13">
      <c r="D134">
        <v>0</v>
      </c>
      <c r="E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4:13">
      <c r="D135">
        <v>0</v>
      </c>
      <c r="E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4:13">
      <c r="D136">
        <v>0</v>
      </c>
      <c r="E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4:13">
      <c r="D137">
        <v>0</v>
      </c>
      <c r="E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</sheetData>
  <mergeCells count="3">
    <mergeCell ref="B11:G11"/>
    <mergeCell ref="I11:M11"/>
    <mergeCell ref="N11:O11"/>
  </mergeCells>
  <pageMargins left="0.7" right="0.7" top="0.75" bottom="0.7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0"/>
  <sheetViews>
    <sheetView topLeftCell="A46" zoomScale="130" zoomScaleNormal="130" workbookViewId="0">
      <selection activeCell="C49" sqref="C49"/>
    </sheetView>
  </sheetViews>
  <sheetFormatPr baseColWidth="10" defaultColWidth="9.140625" defaultRowHeight="12.75"/>
  <cols>
    <col min="1" max="1" width="17.5703125" customWidth="1"/>
    <col min="2" max="2" width="30.5703125" customWidth="1"/>
    <col min="3" max="3" width="10.28515625" customWidth="1"/>
    <col min="4" max="4" width="16.7109375" customWidth="1"/>
    <col min="5" max="5" width="13.28515625" customWidth="1"/>
    <col min="6" max="6" width="11.28515625" bestFit="1" customWidth="1"/>
  </cols>
  <sheetData>
    <row r="1" spans="1:5">
      <c r="A1" s="168" t="s">
        <v>62</v>
      </c>
      <c r="B1" s="168"/>
      <c r="C1" s="168"/>
      <c r="D1" s="168"/>
      <c r="E1" s="168"/>
    </row>
    <row r="2" spans="1:5" ht="13.5" thickBot="1">
      <c r="A2" s="925" t="s">
        <v>168</v>
      </c>
      <c r="D2" s="710" t="s">
        <v>420</v>
      </c>
      <c r="E2" s="837">
        <f>plazocalculado</f>
        <v>90</v>
      </c>
    </row>
    <row r="3" spans="1:5" ht="14.25" thickTop="1" thickBot="1">
      <c r="A3" s="860"/>
      <c r="B3" s="373" t="s">
        <v>360</v>
      </c>
      <c r="C3" s="373"/>
      <c r="D3" s="373"/>
      <c r="E3" s="1062"/>
    </row>
    <row r="4" spans="1:5" ht="13.5" thickTop="1">
      <c r="A4" s="679" t="s">
        <v>19</v>
      </c>
      <c r="B4" s="1081" t="s">
        <v>102</v>
      </c>
      <c r="C4" s="641"/>
      <c r="D4" s="396"/>
      <c r="E4" s="396" t="s">
        <v>80</v>
      </c>
    </row>
    <row r="5" spans="1:5">
      <c r="A5" s="679" t="s">
        <v>4</v>
      </c>
      <c r="B5" s="761">
        <f>'e)Pers.Técnico$'!F47+'e)Pers.Técnico$'!F82</f>
        <v>9999.98</v>
      </c>
      <c r="C5" s="733"/>
      <c r="D5" s="578"/>
      <c r="E5" s="771">
        <f>B5/Costo_directo</f>
        <v>1.9524E-2</v>
      </c>
    </row>
    <row r="6" spans="1:5" ht="13.5" thickBot="1">
      <c r="A6" s="843" t="s">
        <v>259</v>
      </c>
      <c r="B6" s="774" t="s">
        <v>388</v>
      </c>
      <c r="C6" s="196" t="s">
        <v>417</v>
      </c>
      <c r="D6" s="196" t="s">
        <v>122</v>
      </c>
      <c r="E6" s="196" t="s">
        <v>436</v>
      </c>
    </row>
    <row r="7" spans="1:5" ht="13.5" thickTop="1">
      <c r="A7" s="892" t="s">
        <v>403</v>
      </c>
      <c r="B7" s="725" t="s">
        <v>493</v>
      </c>
      <c r="C7" s="870">
        <v>0.08</v>
      </c>
      <c r="D7" s="769">
        <v>30000</v>
      </c>
      <c r="E7" s="744">
        <f t="shared" ref="E7:E26" si="0">C7*D7/30*$E$2</f>
        <v>7200</v>
      </c>
    </row>
    <row r="8" spans="1:5">
      <c r="A8" s="892" t="s">
        <v>176</v>
      </c>
      <c r="B8" s="543" t="s">
        <v>107</v>
      </c>
      <c r="C8" s="235">
        <v>0.1</v>
      </c>
      <c r="D8" s="521">
        <v>16000</v>
      </c>
      <c r="E8" s="233">
        <f t="shared" si="0"/>
        <v>4800</v>
      </c>
    </row>
    <row r="9" spans="1:5">
      <c r="A9" s="67"/>
      <c r="B9" s="543" t="s">
        <v>59</v>
      </c>
      <c r="C9" s="235">
        <v>0</v>
      </c>
      <c r="D9" s="521">
        <v>8000</v>
      </c>
      <c r="E9" s="233">
        <f t="shared" si="0"/>
        <v>0</v>
      </c>
    </row>
    <row r="10" spans="1:5">
      <c r="A10" s="67"/>
      <c r="B10" s="543" t="s">
        <v>221</v>
      </c>
      <c r="C10" s="235"/>
      <c r="D10" s="521">
        <v>1000</v>
      </c>
      <c r="E10" s="233">
        <f t="shared" si="0"/>
        <v>0</v>
      </c>
    </row>
    <row r="11" spans="1:5">
      <c r="A11" s="67"/>
      <c r="B11" s="543" t="s">
        <v>365</v>
      </c>
      <c r="C11" s="235"/>
      <c r="D11" s="521">
        <v>1000</v>
      </c>
      <c r="E11" s="233">
        <f t="shared" si="0"/>
        <v>0</v>
      </c>
    </row>
    <row r="12" spans="1:5">
      <c r="A12" s="67"/>
      <c r="B12" s="543" t="s">
        <v>341</v>
      </c>
      <c r="C12" s="235"/>
      <c r="D12" s="521">
        <v>1000</v>
      </c>
      <c r="E12" s="233">
        <f t="shared" si="0"/>
        <v>0</v>
      </c>
    </row>
    <row r="13" spans="1:5">
      <c r="A13" s="67"/>
      <c r="B13" s="543" t="s">
        <v>61</v>
      </c>
      <c r="C13" s="235"/>
      <c r="D13" s="521">
        <v>1000</v>
      </c>
      <c r="E13" s="233">
        <f t="shared" si="0"/>
        <v>0</v>
      </c>
    </row>
    <row r="14" spans="1:5">
      <c r="A14" s="67"/>
      <c r="B14" s="543" t="s">
        <v>330</v>
      </c>
      <c r="C14" s="235"/>
      <c r="D14" s="521">
        <v>1000</v>
      </c>
      <c r="E14" s="233">
        <f t="shared" si="0"/>
        <v>0</v>
      </c>
    </row>
    <row r="15" spans="1:5">
      <c r="A15" s="1072">
        <f>SUM(E7:E15)</f>
        <v>12000</v>
      </c>
      <c r="B15" s="543"/>
      <c r="C15" s="235"/>
      <c r="D15" s="521">
        <v>1000</v>
      </c>
      <c r="E15" s="233">
        <f t="shared" si="0"/>
        <v>0</v>
      </c>
    </row>
    <row r="16" spans="1:5">
      <c r="A16" s="445" t="s">
        <v>381</v>
      </c>
      <c r="B16" s="621" t="s">
        <v>289</v>
      </c>
      <c r="C16" s="446">
        <v>0</v>
      </c>
      <c r="D16" s="959">
        <v>16000</v>
      </c>
      <c r="E16" s="485">
        <f t="shared" si="0"/>
        <v>0</v>
      </c>
    </row>
    <row r="17" spans="1:5">
      <c r="A17" s="67" t="s">
        <v>176</v>
      </c>
      <c r="B17" s="543" t="s">
        <v>121</v>
      </c>
      <c r="C17" s="235"/>
      <c r="D17" s="521">
        <v>4200</v>
      </c>
      <c r="E17" s="233">
        <f t="shared" si="0"/>
        <v>0</v>
      </c>
    </row>
    <row r="18" spans="1:5">
      <c r="A18" s="67"/>
      <c r="B18" s="543" t="s">
        <v>507</v>
      </c>
      <c r="C18" s="235"/>
      <c r="D18" s="521">
        <v>4000</v>
      </c>
      <c r="E18" s="233">
        <f t="shared" si="0"/>
        <v>0</v>
      </c>
    </row>
    <row r="19" spans="1:5">
      <c r="A19" s="67"/>
      <c r="B19" s="543" t="s">
        <v>91</v>
      </c>
      <c r="C19" s="235"/>
      <c r="D19" s="521">
        <v>6000</v>
      </c>
      <c r="E19" s="233">
        <f t="shared" si="0"/>
        <v>0</v>
      </c>
    </row>
    <row r="20" spans="1:5">
      <c r="A20" s="67"/>
      <c r="B20" s="543" t="s">
        <v>362</v>
      </c>
      <c r="C20" s="235"/>
      <c r="D20" s="521">
        <v>1000</v>
      </c>
      <c r="E20" s="233">
        <f t="shared" si="0"/>
        <v>0</v>
      </c>
    </row>
    <row r="21" spans="1:5">
      <c r="A21" s="67"/>
      <c r="B21" s="543" t="s">
        <v>126</v>
      </c>
      <c r="C21" s="235"/>
      <c r="D21" s="521">
        <v>1000</v>
      </c>
      <c r="E21" s="233">
        <f t="shared" si="0"/>
        <v>0</v>
      </c>
    </row>
    <row r="22" spans="1:5">
      <c r="A22" s="67"/>
      <c r="B22" s="543" t="s">
        <v>526</v>
      </c>
      <c r="C22" s="235"/>
      <c r="D22" s="521">
        <v>1000</v>
      </c>
      <c r="E22" s="233">
        <f t="shared" si="0"/>
        <v>0</v>
      </c>
    </row>
    <row r="23" spans="1:5">
      <c r="A23" s="67"/>
      <c r="B23" s="543" t="s">
        <v>527</v>
      </c>
      <c r="C23" s="235"/>
      <c r="D23" s="521">
        <v>1000</v>
      </c>
      <c r="E23" s="233">
        <f t="shared" si="0"/>
        <v>0</v>
      </c>
    </row>
    <row r="24" spans="1:5">
      <c r="A24" s="67"/>
      <c r="B24" s="543" t="s">
        <v>289</v>
      </c>
      <c r="C24" s="235"/>
      <c r="D24" s="521">
        <v>1000</v>
      </c>
      <c r="E24" s="233">
        <f t="shared" si="0"/>
        <v>0</v>
      </c>
    </row>
    <row r="25" spans="1:5">
      <c r="A25" s="67"/>
      <c r="B25" s="543" t="s">
        <v>362</v>
      </c>
      <c r="C25" s="235"/>
      <c r="D25" s="521">
        <v>1000</v>
      </c>
      <c r="E25" s="233">
        <f t="shared" si="0"/>
        <v>0</v>
      </c>
    </row>
    <row r="26" spans="1:5">
      <c r="A26" s="905">
        <f>SUM(E16:E26)</f>
        <v>0</v>
      </c>
      <c r="B26" s="586" t="s">
        <v>126</v>
      </c>
      <c r="C26" s="328"/>
      <c r="D26" s="591">
        <v>1000</v>
      </c>
      <c r="E26" s="375">
        <f t="shared" si="0"/>
        <v>0</v>
      </c>
    </row>
    <row r="27" spans="1:5" ht="6.75" customHeight="1" thickBot="1">
      <c r="C27" s="490"/>
    </row>
    <row r="28" spans="1:5" ht="14.25" thickTop="1" thickBot="1">
      <c r="A28" s="909" t="s">
        <v>508</v>
      </c>
      <c r="B28" s="714" t="s">
        <v>346</v>
      </c>
      <c r="C28" s="420"/>
      <c r="D28" s="420"/>
      <c r="E28" s="605"/>
    </row>
    <row r="29" spans="1:5" ht="13.5" thickTop="1">
      <c r="A29" s="800" t="s">
        <v>475</v>
      </c>
      <c r="B29" s="1012" t="s">
        <v>401</v>
      </c>
      <c r="C29" s="969"/>
      <c r="D29" s="881"/>
      <c r="E29" s="825" t="s">
        <v>251</v>
      </c>
    </row>
    <row r="30" spans="1:5">
      <c r="A30" s="800" t="s">
        <v>259</v>
      </c>
      <c r="B30" s="1021">
        <f>'e)Pers.Técnico$'!F103+'e)Pers.Técnico$'!F129+'e)Pers.Técnico$'!F176</f>
        <v>8624.9699999999993</v>
      </c>
      <c r="C30" s="814"/>
      <c r="D30" s="659"/>
      <c r="E30" s="599">
        <f>B30/Costo_directo</f>
        <v>1.6839E-2</v>
      </c>
    </row>
    <row r="31" spans="1:5" ht="13.5" thickBot="1">
      <c r="A31" s="715"/>
      <c r="B31" s="1059" t="s">
        <v>388</v>
      </c>
      <c r="C31" s="196" t="s">
        <v>417</v>
      </c>
      <c r="D31" s="196" t="s">
        <v>122</v>
      </c>
      <c r="E31" s="196" t="s">
        <v>436</v>
      </c>
    </row>
    <row r="32" spans="1:5" ht="13.5" thickTop="1">
      <c r="A32" s="377" t="s">
        <v>424</v>
      </c>
      <c r="B32" s="370" t="s">
        <v>275</v>
      </c>
      <c r="C32" s="235"/>
      <c r="D32" s="323">
        <v>1000</v>
      </c>
      <c r="E32" s="233">
        <f t="shared" ref="E32:E60" si="1">C32*D32/30*$E$2</f>
        <v>0</v>
      </c>
    </row>
    <row r="33" spans="1:6">
      <c r="A33" s="377" t="s">
        <v>176</v>
      </c>
      <c r="B33" s="370" t="s">
        <v>402</v>
      </c>
      <c r="C33" s="235"/>
      <c r="D33" s="323">
        <v>20000</v>
      </c>
      <c r="E33" s="233">
        <f t="shared" si="1"/>
        <v>0</v>
      </c>
    </row>
    <row r="34" spans="1:6">
      <c r="A34" s="377"/>
      <c r="B34" s="370" t="s">
        <v>495</v>
      </c>
      <c r="C34" s="235">
        <v>0.05</v>
      </c>
      <c r="D34" s="323">
        <v>30000</v>
      </c>
      <c r="E34" s="233">
        <f t="shared" si="1"/>
        <v>4500</v>
      </c>
    </row>
    <row r="35" spans="1:6">
      <c r="A35" s="377"/>
      <c r="B35" s="370" t="s">
        <v>495</v>
      </c>
      <c r="C35" s="235"/>
      <c r="D35" s="323">
        <v>1000</v>
      </c>
      <c r="E35" s="233">
        <f t="shared" si="1"/>
        <v>0</v>
      </c>
    </row>
    <row r="36" spans="1:6">
      <c r="A36" s="377"/>
      <c r="B36" s="370" t="s">
        <v>495</v>
      </c>
      <c r="C36" s="235"/>
      <c r="D36" s="323">
        <v>1000</v>
      </c>
      <c r="E36" s="233">
        <f t="shared" si="1"/>
        <v>0</v>
      </c>
    </row>
    <row r="37" spans="1:6">
      <c r="A37" s="442">
        <f>SUM(E32:E37)</f>
        <v>4500</v>
      </c>
      <c r="B37" s="443" t="s">
        <v>402</v>
      </c>
      <c r="C37" s="328"/>
      <c r="D37" s="457">
        <v>1000</v>
      </c>
      <c r="E37" s="375">
        <f t="shared" si="1"/>
        <v>0</v>
      </c>
    </row>
    <row r="38" spans="1:6">
      <c r="A38" s="377" t="s">
        <v>403</v>
      </c>
      <c r="B38" s="370" t="s">
        <v>50</v>
      </c>
      <c r="C38" s="235"/>
      <c r="D38" s="323">
        <v>1000</v>
      </c>
      <c r="E38" s="233">
        <f t="shared" si="1"/>
        <v>0</v>
      </c>
    </row>
    <row r="39" spans="1:6">
      <c r="A39" s="377" t="s">
        <v>176</v>
      </c>
      <c r="B39" s="370" t="s">
        <v>470</v>
      </c>
      <c r="C39" s="235">
        <v>0.05</v>
      </c>
      <c r="D39" s="323">
        <v>16000</v>
      </c>
      <c r="E39" s="233">
        <f t="shared" si="1"/>
        <v>2400</v>
      </c>
    </row>
    <row r="40" spans="1:6">
      <c r="A40" s="377"/>
      <c r="B40" s="370" t="s">
        <v>478</v>
      </c>
      <c r="C40" s="235"/>
      <c r="D40" s="323">
        <v>6500</v>
      </c>
      <c r="E40" s="233">
        <f t="shared" si="1"/>
        <v>0</v>
      </c>
    </row>
    <row r="41" spans="1:6">
      <c r="A41" s="377"/>
      <c r="B41" s="370" t="s">
        <v>478</v>
      </c>
      <c r="C41" s="235"/>
      <c r="D41" s="323">
        <v>1000</v>
      </c>
      <c r="E41" s="233">
        <f t="shared" si="1"/>
        <v>0</v>
      </c>
    </row>
    <row r="42" spans="1:6">
      <c r="A42" s="377"/>
      <c r="B42" s="370" t="s">
        <v>478</v>
      </c>
      <c r="C42" s="235"/>
      <c r="D42" s="323">
        <v>1000</v>
      </c>
      <c r="E42" s="233">
        <f t="shared" si="1"/>
        <v>0</v>
      </c>
    </row>
    <row r="43" spans="1:6">
      <c r="A43" s="377"/>
      <c r="B43" s="370" t="s">
        <v>478</v>
      </c>
      <c r="C43" s="235"/>
      <c r="D43" s="323">
        <v>1000</v>
      </c>
      <c r="E43" s="233">
        <f t="shared" si="1"/>
        <v>0</v>
      </c>
    </row>
    <row r="44" spans="1:6">
      <c r="A44" s="377"/>
      <c r="B44" s="370" t="s">
        <v>478</v>
      </c>
      <c r="C44" s="235"/>
      <c r="D44" s="323">
        <v>1000</v>
      </c>
      <c r="E44" s="233">
        <f t="shared" si="1"/>
        <v>0</v>
      </c>
    </row>
    <row r="45" spans="1:6">
      <c r="A45" s="442">
        <f>SUM(E38:E45)</f>
        <v>2400</v>
      </c>
      <c r="B45" s="443" t="s">
        <v>50</v>
      </c>
      <c r="C45" s="328"/>
      <c r="D45" s="457">
        <v>1000</v>
      </c>
      <c r="E45" s="375">
        <f t="shared" si="1"/>
        <v>0</v>
      </c>
    </row>
    <row r="46" spans="1:6">
      <c r="A46" s="377" t="s">
        <v>381</v>
      </c>
      <c r="B46" s="712" t="s">
        <v>26</v>
      </c>
      <c r="C46" s="446">
        <v>0.05</v>
      </c>
      <c r="D46" s="806">
        <v>16000</v>
      </c>
      <c r="E46" s="485">
        <f t="shared" si="1"/>
        <v>2400</v>
      </c>
    </row>
    <row r="47" spans="1:6">
      <c r="A47" s="377" t="s">
        <v>176</v>
      </c>
      <c r="B47" s="370" t="s">
        <v>188</v>
      </c>
      <c r="C47" s="235"/>
      <c r="D47" s="323">
        <v>6500</v>
      </c>
      <c r="E47" s="233">
        <f t="shared" si="1"/>
        <v>0</v>
      </c>
    </row>
    <row r="48" spans="1:6">
      <c r="A48" s="377"/>
      <c r="B48" s="370" t="s">
        <v>115</v>
      </c>
      <c r="C48" s="235">
        <v>0.05</v>
      </c>
      <c r="D48" s="323">
        <v>7000</v>
      </c>
      <c r="E48" s="233">
        <f t="shared" si="1"/>
        <v>1050</v>
      </c>
      <c r="F48" s="537">
        <f>+E48+E46+E39+E34</f>
        <v>10350</v>
      </c>
    </row>
    <row r="49" spans="1:5">
      <c r="A49" s="377"/>
      <c r="B49" s="370" t="s">
        <v>527</v>
      </c>
      <c r="C49" s="235"/>
      <c r="D49" s="323">
        <v>6500</v>
      </c>
      <c r="E49" s="233">
        <f t="shared" si="1"/>
        <v>0</v>
      </c>
    </row>
    <row r="50" spans="1:5">
      <c r="A50" s="377"/>
      <c r="B50" s="370" t="s">
        <v>223</v>
      </c>
      <c r="C50" s="235"/>
      <c r="D50" s="323">
        <v>3800</v>
      </c>
      <c r="E50" s="233">
        <f t="shared" si="1"/>
        <v>0</v>
      </c>
    </row>
    <row r="51" spans="1:5">
      <c r="A51" s="377"/>
      <c r="B51" s="370" t="s">
        <v>42</v>
      </c>
      <c r="C51" s="235"/>
      <c r="D51" s="323">
        <v>6500</v>
      </c>
      <c r="E51" s="233">
        <f t="shared" si="1"/>
        <v>0</v>
      </c>
    </row>
    <row r="52" spans="1:5">
      <c r="A52" s="377"/>
      <c r="B52" s="370" t="s">
        <v>217</v>
      </c>
      <c r="C52" s="235"/>
      <c r="D52" s="323">
        <v>3800</v>
      </c>
      <c r="E52" s="233">
        <f t="shared" si="1"/>
        <v>0</v>
      </c>
    </row>
    <row r="53" spans="1:5">
      <c r="A53" s="377"/>
      <c r="B53" s="370" t="s">
        <v>217</v>
      </c>
      <c r="C53" s="235"/>
      <c r="D53" s="323">
        <v>1000</v>
      </c>
      <c r="E53" s="233">
        <f t="shared" si="1"/>
        <v>0</v>
      </c>
    </row>
    <row r="54" spans="1:5">
      <c r="A54" s="377"/>
      <c r="B54" s="370" t="s">
        <v>217</v>
      </c>
      <c r="C54" s="235"/>
      <c r="D54" s="323">
        <v>1000</v>
      </c>
      <c r="E54" s="233">
        <f t="shared" si="1"/>
        <v>0</v>
      </c>
    </row>
    <row r="55" spans="1:5">
      <c r="A55" s="377"/>
      <c r="B55" s="370" t="s">
        <v>217</v>
      </c>
      <c r="C55" s="235"/>
      <c r="D55" s="323">
        <v>1000</v>
      </c>
      <c r="E55" s="233">
        <f t="shared" si="1"/>
        <v>0</v>
      </c>
    </row>
    <row r="56" spans="1:5">
      <c r="A56" s="377"/>
      <c r="B56" s="370" t="s">
        <v>217</v>
      </c>
      <c r="C56" s="235"/>
      <c r="D56" s="323">
        <v>1000</v>
      </c>
      <c r="E56" s="233">
        <f t="shared" si="1"/>
        <v>0</v>
      </c>
    </row>
    <row r="57" spans="1:5">
      <c r="A57" s="377"/>
      <c r="B57" s="370" t="s">
        <v>217</v>
      </c>
      <c r="C57" s="235"/>
      <c r="D57" s="323">
        <v>1000</v>
      </c>
      <c r="E57" s="233">
        <f t="shared" si="1"/>
        <v>0</v>
      </c>
    </row>
    <row r="58" spans="1:5">
      <c r="A58" s="377"/>
      <c r="B58" s="370" t="s">
        <v>217</v>
      </c>
      <c r="C58" s="235"/>
      <c r="D58" s="323">
        <v>1000</v>
      </c>
      <c r="E58" s="233">
        <f t="shared" si="1"/>
        <v>0</v>
      </c>
    </row>
    <row r="59" spans="1:5">
      <c r="A59" s="377"/>
      <c r="B59" s="370" t="s">
        <v>217</v>
      </c>
      <c r="C59" s="235"/>
      <c r="D59" s="323">
        <v>1000</v>
      </c>
      <c r="E59" s="233">
        <f t="shared" si="1"/>
        <v>0</v>
      </c>
    </row>
    <row r="60" spans="1:5" ht="13.5" thickBot="1">
      <c r="A60" s="913">
        <f>SUM(E46:E60)</f>
        <v>3450</v>
      </c>
      <c r="B60" s="671" t="s">
        <v>204</v>
      </c>
      <c r="C60" s="713"/>
      <c r="D60" s="988">
        <v>1000</v>
      </c>
      <c r="E60" s="864">
        <f t="shared" si="1"/>
        <v>0</v>
      </c>
    </row>
    <row r="61" spans="1:5" ht="13.5" thickTop="1">
      <c r="D61" s="537"/>
      <c r="E61" s="984" t="s">
        <v>168</v>
      </c>
    </row>
    <row r="62" spans="1:5">
      <c r="A62" s="1016" t="s">
        <v>441</v>
      </c>
    </row>
    <row r="63" spans="1:5" hidden="1">
      <c r="A63" s="440"/>
      <c r="B63" s="439" t="s">
        <v>522</v>
      </c>
      <c r="C63" s="533"/>
      <c r="D63" s="488"/>
    </row>
    <row r="64" spans="1:5" hidden="1">
      <c r="A64" s="231" t="s">
        <v>403</v>
      </c>
      <c r="B64" s="271" t="s">
        <v>493</v>
      </c>
      <c r="C64" s="58"/>
      <c r="D64" s="230"/>
    </row>
    <row r="65" spans="1:4" hidden="1">
      <c r="A65" s="231"/>
      <c r="B65" s="190" t="s">
        <v>107</v>
      </c>
      <c r="C65" s="58"/>
      <c r="D65" s="230"/>
    </row>
    <row r="66" spans="1:4" hidden="1">
      <c r="A66" s="231"/>
      <c r="B66" s="190" t="s">
        <v>43</v>
      </c>
      <c r="C66" s="58"/>
      <c r="D66" s="230"/>
    </row>
    <row r="67" spans="1:4" hidden="1">
      <c r="A67" s="231"/>
      <c r="B67" s="190" t="s">
        <v>59</v>
      </c>
      <c r="C67" s="58"/>
      <c r="D67" s="230"/>
    </row>
    <row r="68" spans="1:4" hidden="1">
      <c r="A68" s="231"/>
      <c r="B68" s="190" t="s">
        <v>221</v>
      </c>
      <c r="C68" s="58"/>
      <c r="D68" s="230"/>
    </row>
    <row r="69" spans="1:4" hidden="1">
      <c r="A69" s="231"/>
      <c r="B69" s="190" t="s">
        <v>365</v>
      </c>
      <c r="C69" s="58"/>
      <c r="D69" s="230"/>
    </row>
    <row r="70" spans="1:4" hidden="1">
      <c r="A70" s="231"/>
      <c r="B70" s="190" t="s">
        <v>341</v>
      </c>
      <c r="C70" s="58"/>
      <c r="D70" s="230"/>
    </row>
    <row r="71" spans="1:4" hidden="1">
      <c r="A71" s="231"/>
      <c r="B71" s="190" t="s">
        <v>61</v>
      </c>
      <c r="C71" s="58"/>
      <c r="D71" s="230"/>
    </row>
    <row r="72" spans="1:4" hidden="1">
      <c r="A72" s="231"/>
      <c r="B72" s="190" t="s">
        <v>330</v>
      </c>
      <c r="C72" s="58"/>
      <c r="D72" s="230"/>
    </row>
    <row r="73" spans="1:4" hidden="1">
      <c r="A73" s="282"/>
      <c r="B73" s="277"/>
      <c r="C73" s="298"/>
      <c r="D73" s="254"/>
    </row>
    <row r="74" spans="1:4" hidden="1">
      <c r="A74" s="231" t="s">
        <v>250</v>
      </c>
      <c r="B74" s="190" t="s">
        <v>289</v>
      </c>
      <c r="C74" s="58"/>
      <c r="D74" s="230"/>
    </row>
    <row r="75" spans="1:4" hidden="1">
      <c r="A75" s="231" t="s">
        <v>383</v>
      </c>
      <c r="B75" s="190" t="s">
        <v>121</v>
      </c>
      <c r="C75" s="58"/>
      <c r="D75" s="230"/>
    </row>
    <row r="76" spans="1:4" hidden="1">
      <c r="A76" s="231"/>
      <c r="B76" s="190" t="s">
        <v>507</v>
      </c>
      <c r="C76" s="58"/>
      <c r="D76" s="230"/>
    </row>
    <row r="77" spans="1:4" hidden="1">
      <c r="A77" s="231"/>
      <c r="B77" s="190" t="s">
        <v>91</v>
      </c>
      <c r="C77" s="58"/>
      <c r="D77" s="230"/>
    </row>
    <row r="78" spans="1:4" hidden="1">
      <c r="A78" s="231"/>
      <c r="B78" s="190" t="s">
        <v>362</v>
      </c>
      <c r="C78" s="58"/>
      <c r="D78" s="230"/>
    </row>
    <row r="79" spans="1:4" hidden="1">
      <c r="A79" s="231"/>
      <c r="B79" s="190" t="s">
        <v>126</v>
      </c>
      <c r="C79" s="58"/>
      <c r="D79" s="230"/>
    </row>
    <row r="80" spans="1:4" hidden="1">
      <c r="A80" s="231"/>
      <c r="B80" s="190" t="s">
        <v>526</v>
      </c>
      <c r="C80" s="58"/>
      <c r="D80" s="230"/>
    </row>
    <row r="81" spans="1:4" hidden="1">
      <c r="A81" s="231"/>
      <c r="B81" s="190" t="s">
        <v>527</v>
      </c>
      <c r="C81" s="58"/>
      <c r="D81" s="230"/>
    </row>
    <row r="82" spans="1:4" hidden="1">
      <c r="A82" s="231"/>
      <c r="B82" s="190" t="s">
        <v>42</v>
      </c>
      <c r="C82" s="58"/>
      <c r="D82" s="230"/>
    </row>
    <row r="83" spans="1:4" hidden="1">
      <c r="A83" s="231"/>
      <c r="B83" s="190" t="s">
        <v>115</v>
      </c>
      <c r="C83" s="58"/>
      <c r="D83" s="230"/>
    </row>
    <row r="84" spans="1:4" hidden="1">
      <c r="A84" s="231"/>
      <c r="B84" s="190" t="s">
        <v>217</v>
      </c>
      <c r="C84" s="58"/>
      <c r="D84" s="230"/>
    </row>
    <row r="85" spans="1:4" hidden="1">
      <c r="A85" s="231"/>
      <c r="B85" s="277" t="s">
        <v>168</v>
      </c>
      <c r="C85" s="58"/>
      <c r="D85" s="230"/>
    </row>
    <row r="86" spans="1:4" hidden="1">
      <c r="A86" s="440"/>
      <c r="B86" s="439" t="s">
        <v>293</v>
      </c>
      <c r="C86" s="533"/>
      <c r="D86" s="488"/>
    </row>
    <row r="87" spans="1:4" hidden="1">
      <c r="A87" s="231" t="s">
        <v>424</v>
      </c>
      <c r="B87" s="271" t="s">
        <v>275</v>
      </c>
      <c r="C87" s="58"/>
      <c r="D87" s="230"/>
    </row>
    <row r="88" spans="1:4" hidden="1">
      <c r="A88" s="231"/>
      <c r="B88" s="190" t="s">
        <v>402</v>
      </c>
      <c r="C88" s="58"/>
      <c r="D88" s="230"/>
    </row>
    <row r="89" spans="1:4" hidden="1">
      <c r="A89" s="231"/>
      <c r="B89" s="190" t="s">
        <v>481</v>
      </c>
      <c r="C89" s="58"/>
      <c r="D89" s="230"/>
    </row>
    <row r="90" spans="1:4" hidden="1">
      <c r="A90" s="231"/>
      <c r="B90" s="190" t="s">
        <v>495</v>
      </c>
      <c r="C90" s="58"/>
      <c r="D90" s="230"/>
    </row>
    <row r="91" spans="1:4" hidden="1">
      <c r="A91" s="231"/>
      <c r="B91" s="190" t="s">
        <v>268</v>
      </c>
      <c r="C91" s="58"/>
      <c r="D91" s="230"/>
    </row>
    <row r="92" spans="1:4" hidden="1">
      <c r="A92" s="282"/>
      <c r="B92" s="277" t="s">
        <v>168</v>
      </c>
      <c r="C92" s="298"/>
      <c r="D92" s="254"/>
    </row>
    <row r="93" spans="1:4" hidden="1">
      <c r="A93" s="231" t="s">
        <v>403</v>
      </c>
      <c r="B93" s="190" t="s">
        <v>144</v>
      </c>
      <c r="C93" s="58"/>
      <c r="D93" s="230"/>
    </row>
    <row r="94" spans="1:4" hidden="1">
      <c r="A94" s="231"/>
      <c r="B94" s="190" t="s">
        <v>470</v>
      </c>
      <c r="C94" s="58"/>
      <c r="D94" s="230"/>
    </row>
    <row r="95" spans="1:4" hidden="1">
      <c r="A95" s="231"/>
      <c r="B95" s="190" t="s">
        <v>50</v>
      </c>
      <c r="C95" s="58"/>
      <c r="D95" s="230"/>
    </row>
    <row r="96" spans="1:4" hidden="1">
      <c r="A96" s="231"/>
      <c r="B96" s="190" t="s">
        <v>296</v>
      </c>
      <c r="C96" s="58"/>
      <c r="D96" s="230"/>
    </row>
    <row r="97" spans="1:4" hidden="1">
      <c r="A97" s="231"/>
      <c r="B97" s="190" t="s">
        <v>6</v>
      </c>
      <c r="C97" s="58"/>
      <c r="D97" s="230"/>
    </row>
    <row r="98" spans="1:4" hidden="1">
      <c r="A98" s="231"/>
      <c r="B98" s="190" t="s">
        <v>500</v>
      </c>
      <c r="C98" s="58"/>
      <c r="D98" s="230"/>
    </row>
    <row r="99" spans="1:4" hidden="1">
      <c r="A99" s="231"/>
      <c r="B99" s="190" t="s">
        <v>452</v>
      </c>
      <c r="C99" s="58"/>
      <c r="D99" s="230"/>
    </row>
    <row r="100" spans="1:4" hidden="1">
      <c r="A100" s="231"/>
      <c r="B100" s="190" t="s">
        <v>478</v>
      </c>
      <c r="C100" s="58"/>
      <c r="D100" s="230"/>
    </row>
    <row r="101" spans="1:4" hidden="1">
      <c r="A101" s="282"/>
      <c r="B101" s="277"/>
      <c r="C101" s="298"/>
      <c r="D101" s="254"/>
    </row>
    <row r="102" spans="1:4" hidden="1">
      <c r="A102" s="231" t="s">
        <v>250</v>
      </c>
      <c r="B102" s="190" t="s">
        <v>26</v>
      </c>
      <c r="C102" s="58"/>
      <c r="D102" s="230"/>
    </row>
    <row r="103" spans="1:4" hidden="1">
      <c r="A103" s="231" t="s">
        <v>383</v>
      </c>
      <c r="B103" s="190" t="s">
        <v>188</v>
      </c>
      <c r="C103" s="58"/>
      <c r="D103" s="230"/>
    </row>
    <row r="104" spans="1:4" hidden="1">
      <c r="A104" s="231"/>
      <c r="B104" s="190" t="s">
        <v>204</v>
      </c>
      <c r="C104" s="58"/>
      <c r="D104" s="230"/>
    </row>
    <row r="105" spans="1:4" hidden="1">
      <c r="A105" s="231"/>
      <c r="B105" s="190" t="s">
        <v>247</v>
      </c>
      <c r="C105" s="58"/>
      <c r="D105" s="230"/>
    </row>
    <row r="106" spans="1:4" hidden="1">
      <c r="A106" s="231"/>
      <c r="B106" s="190" t="s">
        <v>66</v>
      </c>
      <c r="C106" s="58"/>
      <c r="D106" s="230"/>
    </row>
    <row r="107" spans="1:4" hidden="1">
      <c r="A107" s="231"/>
      <c r="B107" s="190" t="s">
        <v>326</v>
      </c>
      <c r="C107" s="58"/>
      <c r="D107" s="230"/>
    </row>
    <row r="108" spans="1:4" hidden="1">
      <c r="A108" s="231"/>
      <c r="B108" s="190" t="s">
        <v>507</v>
      </c>
      <c r="C108" s="58"/>
      <c r="D108" s="230"/>
    </row>
    <row r="109" spans="1:4" hidden="1">
      <c r="A109" s="231"/>
      <c r="B109" s="190" t="s">
        <v>91</v>
      </c>
      <c r="C109" s="58"/>
      <c r="D109" s="230"/>
    </row>
    <row r="110" spans="1:4" hidden="1">
      <c r="A110" s="231"/>
      <c r="B110" s="190" t="s">
        <v>126</v>
      </c>
      <c r="C110" s="58"/>
      <c r="D110" s="230"/>
    </row>
    <row r="111" spans="1:4" hidden="1">
      <c r="A111" s="231"/>
      <c r="B111" s="190" t="s">
        <v>115</v>
      </c>
      <c r="C111" s="58"/>
      <c r="D111" s="230"/>
    </row>
    <row r="112" spans="1:4" hidden="1">
      <c r="A112" s="231"/>
      <c r="B112" s="190" t="s">
        <v>382</v>
      </c>
      <c r="C112" s="58"/>
      <c r="D112" s="230"/>
    </row>
    <row r="113" spans="1:4" hidden="1">
      <c r="A113" s="231"/>
      <c r="B113" s="190" t="s">
        <v>527</v>
      </c>
      <c r="C113" s="58"/>
      <c r="D113" s="230"/>
    </row>
    <row r="114" spans="1:4" hidden="1">
      <c r="A114" s="231"/>
      <c r="B114" s="190" t="s">
        <v>223</v>
      </c>
      <c r="C114" s="58"/>
      <c r="D114" s="230"/>
    </row>
    <row r="115" spans="1:4" hidden="1">
      <c r="A115" s="231"/>
      <c r="B115" s="190" t="s">
        <v>42</v>
      </c>
      <c r="C115" s="58"/>
      <c r="D115" s="230"/>
    </row>
    <row r="116" spans="1:4" hidden="1">
      <c r="A116" s="231"/>
      <c r="B116" s="190" t="s">
        <v>217</v>
      </c>
      <c r="C116" s="58"/>
      <c r="D116" s="230"/>
    </row>
    <row r="117" spans="1:4" hidden="1">
      <c r="A117" s="282"/>
      <c r="B117" s="939"/>
      <c r="C117" s="298"/>
      <c r="D117" s="254"/>
    </row>
    <row r="120" spans="1:4">
      <c r="C120" s="830"/>
    </row>
  </sheetData>
  <conditionalFormatting sqref="C7:C15">
    <cfRule type="cellIs" dxfId="8" priority="1" stopIfTrue="1" operator="equal">
      <formula>0</formula>
    </cfRule>
  </conditionalFormatting>
  <dataValidations disablePrompts="1" count="10">
    <dataValidation type="list" showInputMessage="1" showErrorMessage="1" prompt="Descuelgue los valores y elija de la lista" sqref="B7">
      <formula1>$B$64:$B$73</formula1>
    </dataValidation>
    <dataValidation type="list" allowBlank="1" showInputMessage="1" showErrorMessage="1" sqref="B8:B15">
      <formula1>$B$64:$B$73</formula1>
    </dataValidation>
    <dataValidation type="list" allowBlank="1" showInputMessage="1" showErrorMessage="1" sqref="B17:B26">
      <formula1>$B$74:$B$85</formula1>
    </dataValidation>
    <dataValidation type="list" allowBlank="1" showInputMessage="1" showErrorMessage="1" sqref="B33:B37">
      <formula1>$B$87:$B$92</formula1>
    </dataValidation>
    <dataValidation type="list" allowBlank="1" showInputMessage="1" showErrorMessage="1" sqref="B39:B45">
      <formula1>$B$93:$B$101</formula1>
    </dataValidation>
    <dataValidation type="list" allowBlank="1" showInputMessage="1" showErrorMessage="1" sqref="B47:B60">
      <formula1>$B$102:$B$116</formula1>
    </dataValidation>
    <dataValidation type="list" allowBlank="1" showInputMessage="1" showErrorMessage="1" prompt="Descuelgue los valores y elija de la lista" sqref="B16">
      <formula1>$B$74:$B$85</formula1>
    </dataValidation>
    <dataValidation type="list" allowBlank="1" showInputMessage="1" showErrorMessage="1" prompt="Descuelgue los valores y elija de la lista" sqref="B32">
      <formula1>$B$87:$B$92</formula1>
    </dataValidation>
    <dataValidation type="list" allowBlank="1" showInputMessage="1" showErrorMessage="1" prompt="Descuelgue los valores y elija de la lista" sqref="B38">
      <formula1>$B$93:$B$101</formula1>
    </dataValidation>
    <dataValidation type="list" allowBlank="1" showInputMessage="1" showErrorMessage="1" prompt="Descuelgue los valores y elija de la lista" sqref="B46">
      <formula1>$B$102:$B$116</formula1>
    </dataValidation>
  </dataValidations>
  <pageMargins left="0.75" right="0.75" top="1" bottom="1" header="0" footer="0"/>
  <pageSetup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78"/>
  <sheetViews>
    <sheetView showGridLines="0" showZeros="0" tabSelected="1" topLeftCell="B32" zoomScale="140" zoomScaleNormal="140" workbookViewId="0">
      <pane ySplit="5760" topLeftCell="A75" activePane="bottomLeft"/>
      <selection activeCell="H19" sqref="H19"/>
      <selection pane="bottomLeft" activeCell="H76" sqref="H76"/>
    </sheetView>
  </sheetViews>
  <sheetFormatPr baseColWidth="10" defaultColWidth="9.140625" defaultRowHeight="12.75"/>
  <cols>
    <col min="1" max="1" width="4.85546875" customWidth="1"/>
    <col min="2" max="4" width="17.140625" customWidth="1"/>
    <col min="5" max="5" width="13.140625" customWidth="1"/>
    <col min="6" max="6" width="14.140625" customWidth="1"/>
    <col min="7" max="7" width="13" customWidth="1"/>
    <col min="8" max="8" width="15.42578125" customWidth="1"/>
    <col min="9" max="9" width="9.140625" customWidth="1"/>
    <col min="10" max="10" width="14.85546875" customWidth="1"/>
  </cols>
  <sheetData>
    <row r="1" spans="1:8" ht="12.75" customHeight="1" thickTop="1">
      <c r="A1" s="1135" t="str">
        <f>razonsocial</f>
        <v>COMDIFIER S. R. L. DE C.V.</v>
      </c>
      <c r="B1" s="1136"/>
      <c r="C1" s="1136"/>
      <c r="D1" s="1136"/>
      <c r="E1" s="1136"/>
      <c r="F1" s="1136"/>
      <c r="G1" s="1136"/>
      <c r="H1" s="1137"/>
    </row>
    <row r="2" spans="1:8" ht="11.25" customHeight="1">
      <c r="A2" s="67"/>
      <c r="B2" s="31" t="s">
        <v>370</v>
      </c>
      <c r="C2" s="1138" t="str">
        <f>nombrecliente</f>
        <v>AYUNTAMIENTO DE CUERNAVACA_x000D_
SECRETARÍA DE DESARROLLO URBANO Y OBRAS PÚBLICAS</v>
      </c>
      <c r="D2" s="1138"/>
      <c r="E2" s="1138"/>
      <c r="F2" s="1138"/>
      <c r="G2" s="1138"/>
      <c r="H2" s="69"/>
    </row>
    <row r="3" spans="1:8" ht="11.25" customHeight="1">
      <c r="A3" s="67"/>
      <c r="B3" s="31"/>
      <c r="C3" s="1138"/>
      <c r="D3" s="1138"/>
      <c r="E3" s="1138"/>
      <c r="F3" s="1138"/>
      <c r="G3" s="1138"/>
      <c r="H3" s="69"/>
    </row>
    <row r="4" spans="1:8" ht="11.25" customHeight="1">
      <c r="A4" s="67"/>
      <c r="B4" s="31"/>
      <c r="C4" s="1138"/>
      <c r="D4" s="1138"/>
      <c r="E4" s="1138"/>
      <c r="F4" s="1138"/>
      <c r="G4" s="1138"/>
      <c r="H4" s="69"/>
    </row>
    <row r="5" spans="1:8" ht="11.25" customHeight="1">
      <c r="A5" s="67"/>
      <c r="B5" s="31" t="s">
        <v>469</v>
      </c>
      <c r="C5" s="4" t="str">
        <f>numerodeconcurso</f>
        <v>A.D.03/R33/DLyCOP/OP444/2022</v>
      </c>
      <c r="D5" s="58"/>
      <c r="E5" s="31" t="s">
        <v>208</v>
      </c>
      <c r="F5" s="87">
        <f>fechadeconcurso</f>
        <v>44778</v>
      </c>
      <c r="G5" s="4"/>
      <c r="H5" s="69"/>
    </row>
    <row r="6" spans="1:8" ht="11.25" customHeight="1">
      <c r="A6" s="67"/>
      <c r="B6" s="31" t="s">
        <v>153</v>
      </c>
      <c r="C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D6" s="1139"/>
      <c r="E6" s="1139"/>
      <c r="F6" s="1139"/>
      <c r="G6" s="1139"/>
      <c r="H6" s="515" t="s">
        <v>541</v>
      </c>
    </row>
    <row r="7" spans="1:8" ht="11.25" customHeight="1">
      <c r="A7" s="67"/>
      <c r="B7" s="31"/>
      <c r="C7" s="1139"/>
      <c r="D7" s="1139"/>
      <c r="E7" s="1139"/>
      <c r="F7" s="1139"/>
      <c r="G7" s="1139"/>
      <c r="H7" s="515" t="s">
        <v>542</v>
      </c>
    </row>
    <row r="8" spans="1:8" ht="11.25" customHeight="1">
      <c r="A8" s="67"/>
      <c r="B8" s="31"/>
      <c r="C8" s="1139"/>
      <c r="D8" s="1139"/>
      <c r="E8" s="1139"/>
      <c r="F8" s="1139"/>
      <c r="G8" s="1139"/>
      <c r="H8" s="108"/>
    </row>
    <row r="9" spans="1:8" ht="12.75" customHeight="1">
      <c r="A9" s="67"/>
      <c r="B9" s="31" t="s">
        <v>329</v>
      </c>
      <c r="C9" s="160" t="str">
        <f>direcciondelaobra&amp;", "&amp;ciudaddelaobra&amp;", "&amp;estadodelaobra</f>
        <v xml:space="preserve"> CALLE MAGNOLIA, ESQ. CON CALLE GERANIO, COL SATÉLITE, CUERNAVACA, Morelos</v>
      </c>
      <c r="D9" s="58"/>
      <c r="E9" s="4"/>
      <c r="F9" s="4"/>
      <c r="G9" s="4"/>
      <c r="H9" s="69"/>
    </row>
    <row r="10" spans="1:8" ht="11.25" customHeight="1" thickBot="1">
      <c r="A10" s="408"/>
      <c r="B10" s="460" t="s">
        <v>510</v>
      </c>
      <c r="C10" s="463">
        <f>fechainicio</f>
        <v>45367</v>
      </c>
      <c r="D10" s="618" t="s">
        <v>150</v>
      </c>
      <c r="E10" s="463">
        <f>fechaterminacion</f>
        <v>45456</v>
      </c>
      <c r="F10" s="432" t="s">
        <v>520</v>
      </c>
      <c r="G10" s="268" t="str">
        <f>plazocalculado&amp;" DIAS"</f>
        <v>90 DIAS</v>
      </c>
      <c r="H10" s="407"/>
    </row>
    <row r="11" spans="1:8" ht="11.25" customHeight="1" thickTop="1">
      <c r="A11" s="429" t="s">
        <v>290</v>
      </c>
      <c r="B11" s="89"/>
      <c r="C11" s="89"/>
      <c r="D11" s="89"/>
      <c r="E11" s="89"/>
      <c r="F11" s="89"/>
      <c r="G11" s="89"/>
      <c r="H11" s="89"/>
    </row>
    <row r="12" spans="1:8" ht="11.25" customHeight="1" thickBot="1">
      <c r="A12" s="29"/>
      <c r="D12" s="941"/>
      <c r="E12" s="29"/>
      <c r="F12" s="922" t="s">
        <v>235</v>
      </c>
      <c r="G12" s="1013">
        <v>512199.43</v>
      </c>
      <c r="H12" s="29"/>
    </row>
    <row r="13" spans="1:8" ht="11.25" customHeight="1" thickTop="1" thickBot="1">
      <c r="A13" s="833"/>
      <c r="B13" s="320"/>
      <c r="C13" s="320"/>
      <c r="D13" s="320"/>
      <c r="E13" s="682" t="s">
        <v>243</v>
      </c>
      <c r="F13" s="405"/>
      <c r="G13" s="405"/>
      <c r="H13" s="681"/>
    </row>
    <row r="14" spans="1:8" ht="13.5" thickTop="1">
      <c r="A14" s="557" t="s">
        <v>168</v>
      </c>
      <c r="B14" s="760" t="s">
        <v>97</v>
      </c>
      <c r="C14" s="477"/>
      <c r="D14" s="477"/>
      <c r="E14" s="1109" t="s">
        <v>82</v>
      </c>
      <c r="F14" s="1110"/>
      <c r="G14" s="1113" t="s">
        <v>408</v>
      </c>
      <c r="H14" s="1115"/>
    </row>
    <row r="15" spans="1:8" ht="13.5" thickBot="1">
      <c r="A15" s="404"/>
      <c r="B15" s="352" t="s">
        <v>168</v>
      </c>
      <c r="C15" s="352"/>
      <c r="D15" s="352"/>
      <c r="E15" s="1111" t="s">
        <v>523</v>
      </c>
      <c r="F15" s="1112" t="s">
        <v>251</v>
      </c>
      <c r="G15" s="1114" t="s">
        <v>523</v>
      </c>
      <c r="H15" s="1116" t="s">
        <v>251</v>
      </c>
    </row>
    <row r="16" spans="1:8" ht="11.25" customHeight="1" thickTop="1">
      <c r="A16" s="494"/>
      <c r="B16" s="255"/>
      <c r="C16" s="255"/>
      <c r="D16" s="255"/>
      <c r="E16" s="357"/>
      <c r="F16" s="640"/>
      <c r="G16" s="897"/>
      <c r="H16" s="381"/>
    </row>
    <row r="17" spans="1:10" ht="11.25" customHeight="1">
      <c r="A17" s="173" t="s">
        <v>252</v>
      </c>
      <c r="B17" s="111" t="s">
        <v>501</v>
      </c>
      <c r="C17" s="21"/>
      <c r="D17" s="21"/>
      <c r="E17" s="68"/>
      <c r="F17" s="1044"/>
      <c r="G17" s="68"/>
      <c r="H17" s="57"/>
      <c r="I17" s="1120" t="s">
        <v>547</v>
      </c>
    </row>
    <row r="18" spans="1:10" ht="11.25" customHeight="1">
      <c r="A18" s="1104" t="s">
        <v>373</v>
      </c>
      <c r="B18" s="1105" t="s">
        <v>149</v>
      </c>
      <c r="C18" s="1105"/>
      <c r="D18" s="1105"/>
      <c r="E18" s="1117">
        <f t="shared" ref="E18:E20" si="0">Costo_directo*F18</f>
        <v>10009.950000000001</v>
      </c>
      <c r="F18" s="1118">
        <v>1.9543069999999999E-2</v>
      </c>
      <c r="G18" s="102"/>
      <c r="H18" s="198"/>
    </row>
    <row r="19" spans="1:10" ht="11.25" customHeight="1">
      <c r="A19" s="1104" t="s">
        <v>295</v>
      </c>
      <c r="B19" s="1105" t="s">
        <v>302</v>
      </c>
      <c r="C19" s="1105"/>
      <c r="D19" s="1105"/>
      <c r="E19" s="1117">
        <f t="shared" si="0"/>
        <v>1393.18</v>
      </c>
      <c r="F19" s="1118">
        <v>2.7200000000000002E-3</v>
      </c>
      <c r="G19" s="102">
        <f t="shared" ref="G19:G20" si="1">Costo_directo*H19</f>
        <v>4005.4</v>
      </c>
      <c r="H19" s="198">
        <v>7.8200000000000006E-3</v>
      </c>
      <c r="J19" s="1121">
        <f>+(41800/G12)*100</f>
        <v>8.1608839999999994</v>
      </c>
    </row>
    <row r="20" spans="1:10" ht="11.25" customHeight="1">
      <c r="A20" s="1104" t="s">
        <v>147</v>
      </c>
      <c r="B20" s="1105" t="s">
        <v>116</v>
      </c>
      <c r="C20" s="1105"/>
      <c r="D20" s="1105"/>
      <c r="E20" s="1117">
        <f t="shared" si="0"/>
        <v>1915.63</v>
      </c>
      <c r="F20" s="1118">
        <v>3.7399999999999998E-3</v>
      </c>
      <c r="G20" s="102">
        <f t="shared" si="1"/>
        <v>1393.18</v>
      </c>
      <c r="H20" s="198">
        <v>2.7200000000000002E-3</v>
      </c>
      <c r="J20" s="207"/>
    </row>
    <row r="21" spans="1:10" ht="11.25" customHeight="1">
      <c r="A21" s="1104" t="s">
        <v>17</v>
      </c>
      <c r="B21" s="1105" t="s">
        <v>307</v>
      </c>
      <c r="C21" s="1105"/>
      <c r="D21" s="1105"/>
      <c r="E21" s="1106">
        <f>$G$12*F21</f>
        <v>0</v>
      </c>
      <c r="F21" s="1108">
        <v>0</v>
      </c>
      <c r="G21" s="1106"/>
      <c r="H21" s="1107"/>
    </row>
    <row r="22" spans="1:10" ht="11.25" customHeight="1">
      <c r="A22" s="150" t="s">
        <v>406</v>
      </c>
      <c r="B22" s="71" t="s">
        <v>94</v>
      </c>
      <c r="C22" s="71"/>
      <c r="D22" s="71"/>
      <c r="E22" s="102">
        <f>$G$12*F22</f>
        <v>0</v>
      </c>
      <c r="F22" s="156"/>
      <c r="G22" s="102"/>
      <c r="H22" s="222"/>
    </row>
    <row r="23" spans="1:10" ht="11.25" customHeight="1">
      <c r="A23" s="150" t="s">
        <v>303</v>
      </c>
      <c r="B23" s="71" t="s">
        <v>134</v>
      </c>
      <c r="C23" s="71"/>
      <c r="D23" s="71"/>
      <c r="E23" s="102">
        <f>$G$12*F23</f>
        <v>0</v>
      </c>
      <c r="F23" s="156"/>
      <c r="G23" s="102"/>
      <c r="H23" s="222"/>
    </row>
    <row r="24" spans="1:10" ht="11.25" customHeight="1">
      <c r="A24" s="150" t="s">
        <v>154</v>
      </c>
      <c r="B24" s="71" t="s">
        <v>24</v>
      </c>
      <c r="C24" s="71"/>
      <c r="D24" s="71"/>
      <c r="E24" s="102"/>
      <c r="F24" s="156"/>
      <c r="G24" s="102"/>
      <c r="H24" s="222"/>
    </row>
    <row r="25" spans="1:10" ht="11.25" customHeight="1">
      <c r="A25" s="150"/>
      <c r="B25" s="71"/>
      <c r="C25" s="71"/>
      <c r="D25" s="138" t="s">
        <v>233</v>
      </c>
      <c r="E25" s="81">
        <f>SUM(E18:E24)</f>
        <v>13318.76</v>
      </c>
      <c r="F25" s="143"/>
      <c r="G25" s="81">
        <f>SUM(G19:G24)</f>
        <v>5398.58</v>
      </c>
      <c r="H25" s="222"/>
    </row>
    <row r="26" spans="1:10" ht="11.25" customHeight="1">
      <c r="A26" s="173" t="s">
        <v>161</v>
      </c>
      <c r="B26" s="111" t="s">
        <v>88</v>
      </c>
      <c r="C26" s="21"/>
      <c r="D26" s="21"/>
      <c r="E26" s="68"/>
      <c r="F26" s="243"/>
      <c r="G26" s="68"/>
      <c r="H26" s="220"/>
    </row>
    <row r="27" spans="1:10" ht="11.25" customHeight="1">
      <c r="A27" s="150" t="s">
        <v>373</v>
      </c>
      <c r="B27" s="71" t="s">
        <v>226</v>
      </c>
      <c r="C27" s="71"/>
      <c r="D27" s="71"/>
      <c r="E27" s="1117">
        <f t="shared" ref="E27:E32" si="2">Costo_directo*F27</f>
        <v>5000</v>
      </c>
      <c r="F27" s="1118">
        <v>9.7618199999999992E-3</v>
      </c>
      <c r="G27" s="102">
        <f t="shared" ref="G27:G33" si="3">Costo_directo*H27</f>
        <v>0</v>
      </c>
      <c r="H27" s="198">
        <v>0</v>
      </c>
    </row>
    <row r="28" spans="1:10" ht="11.25" customHeight="1">
      <c r="A28" s="150" t="s">
        <v>295</v>
      </c>
      <c r="B28" s="71" t="s">
        <v>58</v>
      </c>
      <c r="C28" s="71"/>
      <c r="D28" s="71"/>
      <c r="E28" s="1117">
        <f t="shared" si="2"/>
        <v>1000</v>
      </c>
      <c r="F28" s="1118">
        <v>1.95236E-3</v>
      </c>
      <c r="G28" s="102">
        <f t="shared" si="3"/>
        <v>0</v>
      </c>
      <c r="H28" s="198">
        <v>0</v>
      </c>
    </row>
    <row r="29" spans="1:10" ht="11.25" customHeight="1">
      <c r="A29" s="150" t="s">
        <v>147</v>
      </c>
      <c r="B29" s="71" t="s">
        <v>448</v>
      </c>
      <c r="C29" s="71"/>
      <c r="D29" s="71"/>
      <c r="E29" s="102">
        <f t="shared" si="2"/>
        <v>0</v>
      </c>
      <c r="F29" s="156">
        <v>0</v>
      </c>
      <c r="G29" s="102">
        <f t="shared" si="3"/>
        <v>9219.59</v>
      </c>
      <c r="H29" s="198">
        <v>1.7999999999999999E-2</v>
      </c>
    </row>
    <row r="30" spans="1:10" ht="11.25" customHeight="1">
      <c r="A30" s="150" t="s">
        <v>17</v>
      </c>
      <c r="B30" s="71" t="s">
        <v>332</v>
      </c>
      <c r="C30" s="71"/>
      <c r="D30" s="71"/>
      <c r="E30" s="102">
        <f t="shared" si="2"/>
        <v>0</v>
      </c>
      <c r="F30" s="156">
        <v>0</v>
      </c>
      <c r="G30" s="102">
        <f t="shared" si="3"/>
        <v>0</v>
      </c>
      <c r="H30" s="198">
        <v>0</v>
      </c>
    </row>
    <row r="31" spans="1:10" ht="11.25" customHeight="1">
      <c r="A31" s="150" t="s">
        <v>406</v>
      </c>
      <c r="B31" s="71" t="s">
        <v>76</v>
      </c>
      <c r="C31" s="71"/>
      <c r="D31" s="71"/>
      <c r="E31" s="102">
        <f t="shared" si="2"/>
        <v>2048.8000000000002</v>
      </c>
      <c r="F31" s="156">
        <v>4.0000000000000001E-3</v>
      </c>
      <c r="G31" s="102">
        <f t="shared" si="3"/>
        <v>81.97</v>
      </c>
      <c r="H31" s="198">
        <v>1.6003E-4</v>
      </c>
    </row>
    <row r="32" spans="1:10" ht="11.25" customHeight="1">
      <c r="A32" s="150" t="s">
        <v>303</v>
      </c>
      <c r="B32" s="71" t="s">
        <v>167</v>
      </c>
      <c r="C32" s="71"/>
      <c r="D32" s="71"/>
      <c r="E32" s="102">
        <f t="shared" si="2"/>
        <v>7583.33</v>
      </c>
      <c r="F32" s="156">
        <v>1.480542E-2</v>
      </c>
      <c r="G32" s="102">
        <f t="shared" si="3"/>
        <v>3585.4</v>
      </c>
      <c r="H32" s="198">
        <v>7.0000000000000001E-3</v>
      </c>
    </row>
    <row r="33" spans="1:8" ht="11.25" customHeight="1">
      <c r="A33" s="150" t="s">
        <v>154</v>
      </c>
      <c r="B33" s="71" t="s">
        <v>464</v>
      </c>
      <c r="C33" s="71"/>
      <c r="D33" s="71"/>
      <c r="E33" s="102"/>
      <c r="F33" s="156"/>
      <c r="G33" s="102">
        <f t="shared" si="3"/>
        <v>0</v>
      </c>
      <c r="H33" s="198">
        <v>0</v>
      </c>
    </row>
    <row r="34" spans="1:8" ht="11.25" customHeight="1">
      <c r="A34" s="150"/>
      <c r="B34" s="71"/>
      <c r="C34" s="71"/>
      <c r="D34" s="138" t="s">
        <v>233</v>
      </c>
      <c r="E34" s="81">
        <f>SUM(E27:E33)</f>
        <v>15632.13</v>
      </c>
      <c r="F34" s="143"/>
      <c r="G34" s="81">
        <f>SUM(G27:G33)</f>
        <v>12886.96</v>
      </c>
      <c r="H34" s="465"/>
    </row>
    <row r="35" spans="1:8" ht="11.25" customHeight="1">
      <c r="A35" s="289" t="s">
        <v>323</v>
      </c>
      <c r="B35" s="111" t="s">
        <v>151</v>
      </c>
      <c r="C35" s="21"/>
      <c r="D35" s="21"/>
      <c r="E35" s="68"/>
      <c r="F35" s="770"/>
      <c r="G35" s="68"/>
      <c r="H35" s="808"/>
    </row>
    <row r="36" spans="1:8" ht="11.25" customHeight="1">
      <c r="A36" s="150" t="s">
        <v>373</v>
      </c>
      <c r="B36" s="71" t="s">
        <v>211</v>
      </c>
      <c r="C36" s="71"/>
      <c r="D36" s="71"/>
      <c r="E36" s="102">
        <f>Costo_directo*F36</f>
        <v>0</v>
      </c>
      <c r="F36" s="156">
        <v>0</v>
      </c>
      <c r="G36" s="102">
        <f>Costo_directo*H36</f>
        <v>512.20000000000005</v>
      </c>
      <c r="H36" s="198">
        <v>1E-3</v>
      </c>
    </row>
    <row r="37" spans="1:8" ht="11.25" customHeight="1">
      <c r="A37" s="150" t="s">
        <v>295</v>
      </c>
      <c r="B37" s="71" t="s">
        <v>215</v>
      </c>
      <c r="C37" s="71"/>
      <c r="D37" s="71"/>
      <c r="E37" s="102">
        <f>Costo_directo*F37</f>
        <v>0</v>
      </c>
      <c r="F37" s="637">
        <v>0</v>
      </c>
      <c r="G37" s="102">
        <f>Costo_directo*H37</f>
        <v>0</v>
      </c>
      <c r="H37" s="198">
        <v>0</v>
      </c>
    </row>
    <row r="38" spans="1:8" s="58" customFormat="1" ht="11.25" customHeight="1">
      <c r="A38" s="150"/>
      <c r="B38" s="71"/>
      <c r="C38" s="71"/>
      <c r="D38" s="138" t="s">
        <v>233</v>
      </c>
      <c r="E38" s="81">
        <f>SUM(E36:E37)</f>
        <v>0</v>
      </c>
      <c r="F38" s="143"/>
      <c r="G38" s="81">
        <f>SUM(G36:G37)</f>
        <v>512.20000000000005</v>
      </c>
      <c r="H38" s="1004"/>
    </row>
    <row r="39" spans="1:8" ht="11.25" customHeight="1">
      <c r="A39" s="289" t="s">
        <v>85</v>
      </c>
      <c r="B39" s="111" t="s">
        <v>93</v>
      </c>
      <c r="C39" s="212"/>
      <c r="D39" s="21"/>
      <c r="E39" s="580"/>
      <c r="F39" s="243">
        <v>0</v>
      </c>
      <c r="G39" s="855">
        <v>0</v>
      </c>
      <c r="H39" s="414"/>
    </row>
    <row r="40" spans="1:8" ht="11.25" customHeight="1">
      <c r="A40" s="150" t="s">
        <v>373</v>
      </c>
      <c r="B40" s="71" t="s">
        <v>294</v>
      </c>
      <c r="C40" s="71"/>
      <c r="D40" s="71"/>
      <c r="E40" s="102">
        <f>Costo_directo*F40</f>
        <v>0</v>
      </c>
      <c r="F40" s="156">
        <v>0</v>
      </c>
      <c r="G40" s="102">
        <f>Costo_directo*H40</f>
        <v>0</v>
      </c>
      <c r="H40" s="198">
        <v>0</v>
      </c>
    </row>
    <row r="41" spans="1:8" ht="11.25" customHeight="1">
      <c r="A41" s="150" t="s">
        <v>295</v>
      </c>
      <c r="B41" s="71" t="s">
        <v>488</v>
      </c>
      <c r="C41" s="71"/>
      <c r="D41" s="71"/>
      <c r="E41" s="102">
        <f>Costo_directo*F41</f>
        <v>0</v>
      </c>
      <c r="F41" s="156">
        <v>0</v>
      </c>
      <c r="G41" s="102">
        <f>Costo_directo*H41</f>
        <v>1792.7</v>
      </c>
      <c r="H41" s="198">
        <v>3.5000000000000001E-3</v>
      </c>
    </row>
    <row r="42" spans="1:8" ht="11.25" customHeight="1">
      <c r="A42" s="150" t="s">
        <v>147</v>
      </c>
      <c r="B42" s="71" t="s">
        <v>538</v>
      </c>
      <c r="C42" s="71"/>
      <c r="D42" s="71"/>
      <c r="E42" s="102">
        <f>Costo_directo*F42</f>
        <v>0</v>
      </c>
      <c r="F42" s="156">
        <v>0</v>
      </c>
      <c r="G42" s="102">
        <f>Costo_directo*H42</f>
        <v>0</v>
      </c>
      <c r="H42" s="198">
        <v>0</v>
      </c>
    </row>
    <row r="43" spans="1:8" ht="11.25" customHeight="1">
      <c r="A43" s="150" t="s">
        <v>17</v>
      </c>
      <c r="B43" s="71" t="s">
        <v>516</v>
      </c>
      <c r="C43" s="71"/>
      <c r="D43" s="71"/>
      <c r="E43" s="102">
        <f>Costo_directo*F43</f>
        <v>0</v>
      </c>
      <c r="F43" s="156">
        <v>0</v>
      </c>
      <c r="G43" s="102">
        <f>Costo_directo*H43</f>
        <v>256.10000000000002</v>
      </c>
      <c r="H43" s="198">
        <v>5.0000000000000001E-4</v>
      </c>
    </row>
    <row r="44" spans="1:8" ht="11.25" customHeight="1">
      <c r="A44" s="150"/>
      <c r="B44" s="71"/>
      <c r="C44" s="71"/>
      <c r="D44" s="138" t="s">
        <v>233</v>
      </c>
      <c r="E44" s="81">
        <f>SUM(E40:E43)</f>
        <v>0</v>
      </c>
      <c r="F44" s="143"/>
      <c r="G44" s="81">
        <f>SUM(G40:G43)</f>
        <v>2048.8000000000002</v>
      </c>
      <c r="H44" s="198"/>
    </row>
    <row r="45" spans="1:8" ht="11.25" customHeight="1">
      <c r="A45" s="173" t="s">
        <v>222</v>
      </c>
      <c r="B45" s="111" t="s">
        <v>178</v>
      </c>
      <c r="C45" s="21"/>
      <c r="D45" s="21"/>
      <c r="E45" s="68"/>
      <c r="F45" s="243"/>
      <c r="G45" s="68"/>
      <c r="H45" s="414"/>
    </row>
    <row r="46" spans="1:8" ht="11.25" customHeight="1">
      <c r="A46" s="150" t="s">
        <v>373</v>
      </c>
      <c r="B46" s="71" t="s">
        <v>68</v>
      </c>
      <c r="C46" s="71"/>
      <c r="D46" s="71"/>
      <c r="E46" s="102">
        <f t="shared" ref="E46:E52" si="4">Costo_directo*F46</f>
        <v>614.64</v>
      </c>
      <c r="F46" s="156">
        <v>1.1999999999999999E-3</v>
      </c>
      <c r="G46" s="102">
        <f t="shared" ref="G46:G52" si="5">Costo_directo*H46</f>
        <v>512.20000000000005</v>
      </c>
      <c r="H46" s="198">
        <v>1E-3</v>
      </c>
    </row>
    <row r="47" spans="1:8" ht="11.25" customHeight="1">
      <c r="A47" s="150" t="s">
        <v>295</v>
      </c>
      <c r="B47" s="71" t="s">
        <v>224</v>
      </c>
      <c r="C47" s="71"/>
      <c r="D47" s="71"/>
      <c r="E47" s="102">
        <f t="shared" si="4"/>
        <v>460.98</v>
      </c>
      <c r="F47" s="156">
        <v>8.9999999999999998E-4</v>
      </c>
      <c r="G47" s="102">
        <f t="shared" si="5"/>
        <v>1152.45</v>
      </c>
      <c r="H47" s="198">
        <v>2.2499999999999998E-3</v>
      </c>
    </row>
    <row r="48" spans="1:8" ht="11.25" customHeight="1">
      <c r="A48" s="150" t="s">
        <v>147</v>
      </c>
      <c r="B48" s="71" t="s">
        <v>345</v>
      </c>
      <c r="C48" s="71"/>
      <c r="D48" s="71"/>
      <c r="E48" s="102">
        <f t="shared" si="4"/>
        <v>768.3</v>
      </c>
      <c r="F48" s="156">
        <v>1.5E-3</v>
      </c>
      <c r="G48" s="102">
        <f t="shared" si="5"/>
        <v>717.08</v>
      </c>
      <c r="H48" s="198">
        <v>1.4E-3</v>
      </c>
    </row>
    <row r="49" spans="1:8" ht="11.25" customHeight="1">
      <c r="A49" s="150" t="s">
        <v>17</v>
      </c>
      <c r="B49" s="71" t="s">
        <v>213</v>
      </c>
      <c r="C49" s="71"/>
      <c r="D49" s="71"/>
      <c r="E49" s="102">
        <f t="shared" si="4"/>
        <v>256.10000000000002</v>
      </c>
      <c r="F49" s="156">
        <v>5.0000000000000001E-4</v>
      </c>
      <c r="G49" s="102">
        <f t="shared" si="5"/>
        <v>614.64</v>
      </c>
      <c r="H49" s="198">
        <v>1.1999999999999999E-3</v>
      </c>
    </row>
    <row r="50" spans="1:8" ht="11.25" customHeight="1">
      <c r="A50" s="150" t="s">
        <v>406</v>
      </c>
      <c r="B50" s="71" t="s">
        <v>313</v>
      </c>
      <c r="C50" s="71"/>
      <c r="D50" s="71"/>
      <c r="E50" s="102">
        <f t="shared" si="4"/>
        <v>128.05000000000001</v>
      </c>
      <c r="F50" s="156">
        <v>2.5000000000000001E-4</v>
      </c>
      <c r="G50" s="102">
        <f t="shared" si="5"/>
        <v>512.20000000000005</v>
      </c>
      <c r="H50" s="198">
        <v>1E-3</v>
      </c>
    </row>
    <row r="51" spans="1:8" ht="11.25" customHeight="1">
      <c r="A51" s="150" t="s">
        <v>303</v>
      </c>
      <c r="B51" s="71" t="s">
        <v>314</v>
      </c>
      <c r="C51" s="71"/>
      <c r="D51" s="71"/>
      <c r="E51" s="102">
        <f t="shared" si="4"/>
        <v>307.32</v>
      </c>
      <c r="F51" s="156">
        <v>5.9999999999999995E-4</v>
      </c>
      <c r="G51" s="102">
        <f t="shared" si="5"/>
        <v>512.20000000000005</v>
      </c>
      <c r="H51" s="198">
        <v>1E-3</v>
      </c>
    </row>
    <row r="52" spans="1:8" ht="11.25" customHeight="1">
      <c r="A52" s="150" t="s">
        <v>154</v>
      </c>
      <c r="B52" s="71" t="s">
        <v>339</v>
      </c>
      <c r="C52" s="71"/>
      <c r="D52" s="71"/>
      <c r="E52" s="102">
        <f t="shared" si="4"/>
        <v>1024.4000000000001</v>
      </c>
      <c r="F52" s="156">
        <v>2E-3</v>
      </c>
      <c r="G52" s="102">
        <f t="shared" si="5"/>
        <v>0</v>
      </c>
      <c r="H52" s="198">
        <v>0</v>
      </c>
    </row>
    <row r="53" spans="1:8" ht="11.25" customHeight="1">
      <c r="A53" s="150"/>
      <c r="B53" s="71"/>
      <c r="C53" s="71"/>
      <c r="D53" s="138" t="s">
        <v>233</v>
      </c>
      <c r="E53" s="81">
        <f>SUM(E46:E52)</f>
        <v>3559.79</v>
      </c>
      <c r="F53" s="143"/>
      <c r="G53" s="81">
        <f>SUM(G46:G52)</f>
        <v>4020.77</v>
      </c>
      <c r="H53" s="222"/>
    </row>
    <row r="54" spans="1:8" ht="11.25" customHeight="1">
      <c r="A54" s="150"/>
      <c r="B54" s="71"/>
      <c r="C54" s="71"/>
      <c r="D54" s="138"/>
      <c r="E54" s="81"/>
      <c r="F54" s="143"/>
      <c r="G54" s="81"/>
      <c r="H54" s="222"/>
    </row>
    <row r="55" spans="1:8" ht="11.25" customHeight="1">
      <c r="A55" s="173" t="s">
        <v>457</v>
      </c>
      <c r="B55" s="111" t="s">
        <v>241</v>
      </c>
      <c r="C55" s="21"/>
      <c r="D55" s="264"/>
      <c r="E55" s="273">
        <f>Costo_directo*F55</f>
        <v>435.37</v>
      </c>
      <c r="F55" s="546">
        <v>8.4999999999999995E-4</v>
      </c>
      <c r="G55" s="273">
        <f>Costo_directo*H55</f>
        <v>51.22</v>
      </c>
      <c r="H55" s="456">
        <v>1E-4</v>
      </c>
    </row>
    <row r="56" spans="1:8" ht="11.25" customHeight="1">
      <c r="A56" s="150"/>
      <c r="B56" s="71"/>
      <c r="C56" s="71"/>
      <c r="D56" s="138"/>
      <c r="E56" s="81"/>
      <c r="F56" s="143"/>
      <c r="G56" s="81"/>
      <c r="H56" s="222"/>
    </row>
    <row r="57" spans="1:8" ht="11.25" customHeight="1">
      <c r="A57" s="173" t="s">
        <v>378</v>
      </c>
      <c r="B57" s="111" t="s">
        <v>183</v>
      </c>
      <c r="C57" s="21"/>
      <c r="D57" s="264"/>
      <c r="E57" s="273">
        <f>Costo_directo*F57</f>
        <v>435.37</v>
      </c>
      <c r="F57" s="546">
        <v>8.4999999999999995E-4</v>
      </c>
      <c r="G57" s="273">
        <f>Costo_directo*H57</f>
        <v>51.22</v>
      </c>
      <c r="H57" s="456">
        <v>1E-4</v>
      </c>
    </row>
    <row r="58" spans="1:8" ht="11.25" customHeight="1">
      <c r="A58" s="150"/>
      <c r="B58" s="71"/>
      <c r="C58" s="71"/>
      <c r="D58" s="138"/>
      <c r="E58" s="81"/>
      <c r="F58" s="143"/>
      <c r="G58" s="81"/>
      <c r="H58" s="222"/>
    </row>
    <row r="59" spans="1:8" ht="11.25" customHeight="1">
      <c r="A59" s="289" t="s">
        <v>190</v>
      </c>
      <c r="B59" s="111" t="s">
        <v>31</v>
      </c>
      <c r="C59" s="21"/>
      <c r="D59" s="21"/>
      <c r="E59" s="68"/>
      <c r="F59" s="243"/>
      <c r="G59" s="68"/>
      <c r="H59" s="220"/>
    </row>
    <row r="60" spans="1:8" ht="12.75" customHeight="1">
      <c r="A60" s="150" t="s">
        <v>373</v>
      </c>
      <c r="B60" s="71" t="s">
        <v>21</v>
      </c>
      <c r="C60" s="71"/>
      <c r="D60" s="71"/>
      <c r="E60" s="102">
        <f>Costo_directo*F60</f>
        <v>768.3</v>
      </c>
      <c r="F60" s="156">
        <v>1.5E-3</v>
      </c>
      <c r="G60" s="1035">
        <f>Costo_directo*H60</f>
        <v>0</v>
      </c>
      <c r="H60" s="198">
        <v>0</v>
      </c>
    </row>
    <row r="61" spans="1:8" ht="11.25" customHeight="1">
      <c r="A61" s="150" t="s">
        <v>295</v>
      </c>
      <c r="B61" s="71" t="s">
        <v>320</v>
      </c>
      <c r="C61" s="71"/>
      <c r="D61" s="71"/>
      <c r="E61" s="102">
        <f>Costo_directo*F61</f>
        <v>768.3</v>
      </c>
      <c r="F61" s="156">
        <v>1.5E-3</v>
      </c>
      <c r="G61" s="102">
        <f>Costo_directo*0.2*(1.05/100)+(IF(TipoDeAnticipo=1,PorcentajeAnticipo1*Costo_directo,IF(TipoDeAnticipo=2,(EXHIBICION1+EXHIBICION2)*Costo_directo,IF(TipoDeAnticipo=3,(EJERCICIO1*ImporteEjercerEjercicio1)+(EJERCICIO2*(Costo_directo-ImporteEjercerEjercicio1)),0)))*(1.05/100))+2500</f>
        <v>5189.05</v>
      </c>
      <c r="H61" s="478">
        <f>G61/G12</f>
        <v>1.013092E-2</v>
      </c>
    </row>
    <row r="62" spans="1:8" ht="11.25" customHeight="1">
      <c r="A62" s="150"/>
      <c r="B62" s="71"/>
      <c r="C62" s="71"/>
      <c r="D62" s="138" t="s">
        <v>233</v>
      </c>
      <c r="E62" s="81">
        <f>SUM(E60:E61)</f>
        <v>1536.6</v>
      </c>
      <c r="F62" s="143"/>
      <c r="G62" s="81">
        <f>SUM(G60:G61)</f>
        <v>5189.05</v>
      </c>
      <c r="H62" s="717"/>
    </row>
    <row r="63" spans="1:8" ht="11.25" customHeight="1">
      <c r="A63" s="150"/>
      <c r="B63" s="71"/>
      <c r="C63" s="71"/>
      <c r="D63" s="138"/>
      <c r="E63" s="81"/>
      <c r="F63" s="143"/>
      <c r="G63" s="81"/>
      <c r="H63" s="1074"/>
    </row>
    <row r="64" spans="1:8" ht="11.25" customHeight="1">
      <c r="A64" s="289" t="s">
        <v>380</v>
      </c>
      <c r="B64" s="111" t="s">
        <v>253</v>
      </c>
      <c r="C64" s="21"/>
      <c r="D64" s="21"/>
      <c r="E64" s="68"/>
      <c r="F64" s="243"/>
      <c r="G64" s="68"/>
      <c r="H64" s="220"/>
    </row>
    <row r="65" spans="1:9" ht="11.25" customHeight="1">
      <c r="A65" s="150" t="s">
        <v>373</v>
      </c>
      <c r="B65" s="71" t="s">
        <v>537</v>
      </c>
      <c r="C65" s="71"/>
      <c r="D65" s="71"/>
      <c r="E65" s="102">
        <f>Costo_directo*F65</f>
        <v>0</v>
      </c>
      <c r="F65" s="156">
        <v>0</v>
      </c>
      <c r="G65" s="102">
        <f>Costo_directo*H65</f>
        <v>1198.55</v>
      </c>
      <c r="H65" s="198">
        <v>2.3400000000000001E-3</v>
      </c>
    </row>
    <row r="66" spans="1:9" ht="11.25" customHeight="1">
      <c r="A66" s="150" t="s">
        <v>295</v>
      </c>
      <c r="B66" s="71" t="s">
        <v>36</v>
      </c>
      <c r="C66" s="71"/>
      <c r="D66" s="71"/>
      <c r="E66" s="102">
        <f>Costo_directo*F66</f>
        <v>0</v>
      </c>
      <c r="F66" s="156">
        <v>0</v>
      </c>
      <c r="G66" s="102">
        <f>Costo_directo*H66</f>
        <v>0</v>
      </c>
      <c r="H66" s="198">
        <v>0</v>
      </c>
    </row>
    <row r="67" spans="1:9" ht="11.25" customHeight="1">
      <c r="A67" s="150" t="s">
        <v>147</v>
      </c>
      <c r="B67" s="71" t="s">
        <v>0</v>
      </c>
      <c r="C67" s="71"/>
      <c r="D67" s="71"/>
      <c r="E67" s="102"/>
      <c r="F67" s="308"/>
      <c r="G67" s="102" t="s">
        <v>168</v>
      </c>
      <c r="H67" s="198" t="s">
        <v>168</v>
      </c>
    </row>
    <row r="68" spans="1:9" ht="11.25" customHeight="1">
      <c r="A68" s="150"/>
      <c r="B68" s="71" t="s">
        <v>487</v>
      </c>
      <c r="C68" s="71"/>
      <c r="D68" s="71"/>
      <c r="E68" s="102">
        <f>Costo_directo*F68</f>
        <v>0</v>
      </c>
      <c r="F68" s="156">
        <v>0</v>
      </c>
      <c r="G68" s="102">
        <f>Costo_directo*H68</f>
        <v>204.88</v>
      </c>
      <c r="H68" s="198">
        <v>4.0000000000000002E-4</v>
      </c>
    </row>
    <row r="69" spans="1:9" ht="11.25" customHeight="1">
      <c r="A69" s="150"/>
      <c r="B69" s="71" t="s">
        <v>57</v>
      </c>
      <c r="C69" s="71"/>
      <c r="D69" s="71"/>
      <c r="E69" s="102">
        <f>Costo_directo*F69</f>
        <v>0</v>
      </c>
      <c r="F69" s="156">
        <v>0</v>
      </c>
      <c r="G69" s="102">
        <f>Costo_directo*H69</f>
        <v>0</v>
      </c>
      <c r="H69" s="198">
        <v>0</v>
      </c>
    </row>
    <row r="70" spans="1:9" ht="11.25" customHeight="1">
      <c r="A70" s="150"/>
      <c r="B70" s="71" t="s">
        <v>418</v>
      </c>
      <c r="C70" s="71"/>
      <c r="D70" s="71"/>
      <c r="E70" s="102">
        <f>Costo_directo*F70</f>
        <v>0</v>
      </c>
      <c r="F70" s="156">
        <v>0</v>
      </c>
      <c r="G70" s="102">
        <f>Costo_directo*H70</f>
        <v>0</v>
      </c>
      <c r="H70" s="198">
        <v>0</v>
      </c>
    </row>
    <row r="71" spans="1:9" ht="11.25" customHeight="1">
      <c r="A71" s="150" t="s">
        <v>168</v>
      </c>
      <c r="B71" s="71" t="s">
        <v>186</v>
      </c>
      <c r="C71" s="71"/>
      <c r="D71" s="71"/>
      <c r="E71" s="102">
        <f>Costo_directo*F71</f>
        <v>0</v>
      </c>
      <c r="F71" s="156">
        <v>0</v>
      </c>
      <c r="G71" s="102">
        <f>Costo_directo*H71</f>
        <v>0</v>
      </c>
      <c r="H71" s="198">
        <v>0</v>
      </c>
    </row>
    <row r="72" spans="1:9" ht="11.25" customHeight="1">
      <c r="A72" s="150"/>
      <c r="B72" s="71"/>
      <c r="C72" s="71"/>
      <c r="D72" s="71"/>
      <c r="E72" s="102"/>
      <c r="F72" s="308"/>
      <c r="G72" s="102"/>
      <c r="H72" s="198"/>
    </row>
    <row r="73" spans="1:9" ht="11.25" customHeight="1">
      <c r="A73" s="150"/>
      <c r="B73" s="71"/>
      <c r="C73" s="71"/>
      <c r="D73" s="138" t="s">
        <v>233</v>
      </c>
      <c r="E73" s="81">
        <f>SUM(E65:E71)</f>
        <v>0</v>
      </c>
      <c r="F73" s="143"/>
      <c r="G73" s="81">
        <f>SUM(G65:G71)</f>
        <v>1403.43</v>
      </c>
      <c r="H73" s="465"/>
    </row>
    <row r="74" spans="1:9" ht="11.25" customHeight="1" thickBot="1">
      <c r="A74" s="498"/>
      <c r="B74" s="501"/>
      <c r="C74" s="492" t="s">
        <v>413</v>
      </c>
      <c r="D74" s="492"/>
      <c r="E74" s="1119">
        <f>ROUND(Costo_directo*F74,decimalesredondeo)</f>
        <v>34918</v>
      </c>
      <c r="F74" s="955">
        <f>SUM(F16:F73)</f>
        <v>6.8172670000000005E-2</v>
      </c>
      <c r="G74" s="1119">
        <f>+Importe_Indirecto-Importe_Central</f>
        <v>31562.22</v>
      </c>
      <c r="H74" s="698">
        <f>SUM(H16:H73)</f>
        <v>6.1620950000000001E-2</v>
      </c>
    </row>
    <row r="75" spans="1:9" ht="11.25" customHeight="1" thickTop="1">
      <c r="A75" s="973" t="str">
        <f>razonsocial</f>
        <v>COMDIFIER S. R. L. DE C.V.</v>
      </c>
      <c r="B75" s="742"/>
      <c r="C75" s="89"/>
      <c r="D75" s="89"/>
      <c r="E75" s="67" t="s">
        <v>168</v>
      </c>
      <c r="F75" s="613"/>
      <c r="G75" s="4"/>
      <c r="H75" s="69"/>
    </row>
    <row r="76" spans="1:9" ht="11.25" customHeight="1">
      <c r="A76" s="973" t="str">
        <f>responsable</f>
        <v>ARQ. JORGE PULIDO GUZMÁNN</v>
      </c>
      <c r="B76" s="312"/>
      <c r="C76" s="312"/>
      <c r="D76" s="312"/>
      <c r="E76" s="896" t="s">
        <v>12</v>
      </c>
      <c r="F76" s="684">
        <f>ROUND(Costo_directo*H76,decimalesredondeo)</f>
        <v>66480.22</v>
      </c>
      <c r="G76" s="600" t="s">
        <v>395</v>
      </c>
      <c r="H76" s="773">
        <f>+Porcentaje_Central+Porcentaje_Campo</f>
        <v>0.12979362</v>
      </c>
      <c r="I76">
        <f>+(Importe_Indirecto/G12)*100</f>
        <v>12.979362355010799</v>
      </c>
    </row>
    <row r="77" spans="1:9" ht="11.25" customHeight="1" thickBot="1">
      <c r="A77" s="891" t="str">
        <f>cargo</f>
        <v>REPRESENTANTE LEGAL</v>
      </c>
      <c r="B77" s="361"/>
      <c r="C77" s="361"/>
      <c r="D77" s="361"/>
      <c r="E77" s="161" t="s">
        <v>168</v>
      </c>
      <c r="F77" s="29"/>
      <c r="G77" s="29"/>
      <c r="H77" s="238"/>
    </row>
    <row r="78" spans="1:9" ht="13.5" thickTop="1">
      <c r="I78" t="s">
        <v>548</v>
      </c>
    </row>
  </sheetData>
  <mergeCells count="3">
    <mergeCell ref="A1:H1"/>
    <mergeCell ref="C2:G4"/>
    <mergeCell ref="C6:G8"/>
  </mergeCells>
  <printOptions horizontalCentered="1"/>
  <pageMargins left="0.28999999999999998" right="0.25" top="0.43" bottom="0.26" header="0.11811023622047245" footer="0.11811023622047245"/>
  <pageSetup scale="85" orientation="portrait" horizontalDpi="300" verticalDpi="300" r:id="rId1"/>
  <headerFooter alignWithMargins="0">
    <oddHeader>&amp;R&amp;8Página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Zeros="0" workbookViewId="0">
      <selection activeCell="D22" sqref="D22"/>
    </sheetView>
  </sheetViews>
  <sheetFormatPr baseColWidth="10" defaultColWidth="9.140625" defaultRowHeight="12.75"/>
  <cols>
    <col min="1" max="1" width="4.85546875" customWidth="1"/>
    <col min="2" max="3" width="17.140625" customWidth="1"/>
    <col min="4" max="5" width="14.140625" customWidth="1"/>
    <col min="6" max="6" width="12.28515625" customWidth="1"/>
    <col min="7" max="7" width="14.140625" customWidth="1"/>
    <col min="8" max="8" width="10.7109375" customWidth="1"/>
    <col min="9" max="9" width="10.42578125" customWidth="1"/>
  </cols>
  <sheetData>
    <row r="1" spans="1:9" ht="12.75" customHeight="1" thickTop="1">
      <c r="A1" s="1135" t="str">
        <f>razonsocial</f>
        <v>COMDIFIER S. R. L. DE C.V.</v>
      </c>
      <c r="B1" s="1136"/>
      <c r="C1" s="1136"/>
      <c r="D1" s="1136"/>
      <c r="E1" s="1136"/>
      <c r="F1" s="1136"/>
      <c r="G1" s="1136"/>
      <c r="H1" s="1136"/>
      <c r="I1" s="1137"/>
    </row>
    <row r="2" spans="1:9" ht="12.75" customHeight="1">
      <c r="A2" s="1030"/>
      <c r="B2" s="179"/>
      <c r="C2" s="179"/>
      <c r="D2" s="179"/>
      <c r="E2" s="179"/>
      <c r="F2" s="179"/>
      <c r="G2" s="179"/>
      <c r="H2" s="179"/>
      <c r="I2" s="832"/>
    </row>
    <row r="3" spans="1:9" ht="11.25" customHeight="1">
      <c r="A3" s="67"/>
      <c r="B3" s="31" t="s">
        <v>370</v>
      </c>
      <c r="C3" s="1138" t="str">
        <f>nombrecliente</f>
        <v>AYUNTAMIENTO DE CUERNAVACA_x000D_
SECRETARÍA DE DESARROLLO URBANO Y OBRAS PÚBLICAS</v>
      </c>
      <c r="D3" s="1138"/>
      <c r="E3" s="1138"/>
      <c r="F3" s="1138"/>
      <c r="G3" s="1138"/>
      <c r="H3" s="1138"/>
      <c r="I3" s="69"/>
    </row>
    <row r="4" spans="1:9" ht="11.25" customHeight="1">
      <c r="A4" s="67"/>
      <c r="B4" s="31"/>
      <c r="C4" s="1138"/>
      <c r="D4" s="1138"/>
      <c r="E4" s="1138"/>
      <c r="F4" s="1138"/>
      <c r="G4" s="1138"/>
      <c r="H4" s="1138"/>
      <c r="I4" s="69"/>
    </row>
    <row r="5" spans="1:9" ht="11.25" customHeight="1">
      <c r="A5" s="67"/>
      <c r="B5" s="31"/>
      <c r="C5" s="1138"/>
      <c r="D5" s="1138"/>
      <c r="E5" s="1138"/>
      <c r="F5" s="1138"/>
      <c r="G5" s="1138"/>
      <c r="H5" s="1138"/>
      <c r="I5" s="69"/>
    </row>
    <row r="6" spans="1:9" ht="11.25" customHeight="1">
      <c r="A6" s="67"/>
      <c r="B6" s="31"/>
      <c r="C6" s="160"/>
      <c r="D6" s="4"/>
      <c r="E6" s="4"/>
      <c r="F6" s="4"/>
      <c r="G6" s="4"/>
      <c r="H6" s="4"/>
      <c r="I6" s="69"/>
    </row>
    <row r="7" spans="1:9" ht="11.25" customHeight="1">
      <c r="A7" s="67"/>
      <c r="B7" s="31" t="s">
        <v>469</v>
      </c>
      <c r="C7" s="240" t="str">
        <f>numerodeconcurso</f>
        <v>A.D.03/R33/DLyCOP/OP444/2022</v>
      </c>
      <c r="D7" s="31" t="s">
        <v>208</v>
      </c>
      <c r="E7" s="87">
        <f>fechadeconcurso</f>
        <v>44778</v>
      </c>
      <c r="F7" s="4"/>
      <c r="G7" s="4"/>
      <c r="H7" s="4" t="s">
        <v>168</v>
      </c>
      <c r="I7" s="515" t="s">
        <v>232</v>
      </c>
    </row>
    <row r="8" spans="1:9" ht="11.25" customHeight="1">
      <c r="A8" s="67"/>
      <c r="B8" s="31" t="s">
        <v>153</v>
      </c>
      <c r="C8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D8" s="1139"/>
      <c r="E8" s="1139"/>
      <c r="F8" s="1139"/>
      <c r="G8" s="1139"/>
      <c r="H8" s="116"/>
      <c r="I8" s="108" t="s">
        <v>118</v>
      </c>
    </row>
    <row r="9" spans="1:9" ht="11.25" customHeight="1">
      <c r="A9" s="67"/>
      <c r="B9" s="31"/>
      <c r="C9" s="1139"/>
      <c r="D9" s="1139"/>
      <c r="E9" s="1139"/>
      <c r="F9" s="1139"/>
      <c r="G9" s="1139"/>
      <c r="H9" s="116"/>
      <c r="I9" s="108" t="s">
        <v>77</v>
      </c>
    </row>
    <row r="10" spans="1:9" ht="11.25" customHeight="1">
      <c r="A10" s="67"/>
      <c r="B10" s="31"/>
      <c r="C10" s="1139"/>
      <c r="D10" s="1139"/>
      <c r="E10" s="1139"/>
      <c r="F10" s="1139"/>
      <c r="G10" s="1139"/>
      <c r="H10" s="4"/>
      <c r="I10" s="69"/>
    </row>
    <row r="11" spans="1:9" ht="12.75" customHeight="1">
      <c r="A11" s="67"/>
      <c r="B11" s="31" t="s">
        <v>329</v>
      </c>
      <c r="C11" s="160" t="str">
        <f>direcciondelaobra&amp;", "&amp;ciudaddelaobra&amp;", "&amp;estadodelaobra</f>
        <v xml:space="preserve"> CALLE MAGNOLIA, ESQ. CON CALLE GERANIO, COL SATÉLITE, CUERNAVACA, Morelos</v>
      </c>
      <c r="D11" s="4"/>
      <c r="E11" s="4"/>
      <c r="F11" s="4"/>
      <c r="G11" s="4"/>
      <c r="H11" s="4"/>
      <c r="I11" s="69"/>
    </row>
    <row r="12" spans="1:9" ht="11.25" customHeight="1" thickBot="1">
      <c r="A12" s="408"/>
      <c r="B12" s="685" t="s">
        <v>510</v>
      </c>
      <c r="C12" s="402">
        <f>fechainicio</f>
        <v>45367</v>
      </c>
      <c r="D12" s="1077" t="s">
        <v>150</v>
      </c>
      <c r="E12" s="402">
        <f>fechaterminacion</f>
        <v>45456</v>
      </c>
      <c r="F12" s="432" t="s">
        <v>520</v>
      </c>
      <c r="G12" s="268" t="str">
        <f>plazocalculado&amp;" DIAS"</f>
        <v>90 DIAS</v>
      </c>
      <c r="H12" s="268"/>
      <c r="I12" s="407"/>
    </row>
    <row r="13" spans="1:9" ht="11.25" customHeight="1" thickTop="1">
      <c r="A13" s="4"/>
      <c r="B13" s="17"/>
      <c r="C13" s="528"/>
      <c r="D13" s="528"/>
      <c r="E13" s="17"/>
      <c r="F13" s="4"/>
      <c r="G13" s="4"/>
      <c r="H13" s="4"/>
      <c r="I13" s="4"/>
    </row>
    <row r="14" spans="1:9" ht="11.25" customHeight="1">
      <c r="A14" s="429" t="s">
        <v>48</v>
      </c>
      <c r="B14" s="89"/>
      <c r="C14" s="89"/>
      <c r="D14" s="89"/>
      <c r="E14" s="89"/>
      <c r="F14" s="89"/>
      <c r="G14" s="89"/>
      <c r="H14" s="89"/>
      <c r="I14" s="89"/>
    </row>
    <row r="15" spans="1:9" ht="11.25" customHeight="1">
      <c r="A15" s="4"/>
      <c r="D15" s="4"/>
      <c r="E15" s="31" t="s">
        <v>463</v>
      </c>
      <c r="F15" s="759">
        <f>Costo_directo</f>
        <v>512199.43</v>
      </c>
      <c r="G15" s="1008"/>
      <c r="H15" s="336"/>
      <c r="I15" s="4"/>
    </row>
    <row r="16" spans="1:9" ht="11.25" customHeight="1" thickBot="1">
      <c r="A16" s="4"/>
      <c r="D16" s="4"/>
      <c r="E16" s="31"/>
      <c r="F16" s="336"/>
      <c r="G16" s="336"/>
      <c r="H16" s="336"/>
      <c r="I16" s="4"/>
    </row>
    <row r="17" spans="1:9" ht="17.25" customHeight="1" thickTop="1">
      <c r="A17" s="828" t="s">
        <v>168</v>
      </c>
      <c r="B17" s="859" t="s">
        <v>168</v>
      </c>
      <c r="C17" s="1014"/>
      <c r="D17" s="645" t="s">
        <v>82</v>
      </c>
      <c r="E17" s="1038"/>
      <c r="F17" s="425" t="s">
        <v>172</v>
      </c>
      <c r="G17" s="1055"/>
      <c r="H17" s="425" t="s">
        <v>12</v>
      </c>
      <c r="I17" s="560"/>
    </row>
    <row r="18" spans="1:9" ht="21.75" customHeight="1" thickBot="1">
      <c r="A18" s="404"/>
      <c r="B18" s="660" t="s">
        <v>97</v>
      </c>
      <c r="C18" s="953"/>
      <c r="D18" s="1052" t="s">
        <v>523</v>
      </c>
      <c r="E18" s="330" t="s">
        <v>333</v>
      </c>
      <c r="F18" s="869" t="s">
        <v>523</v>
      </c>
      <c r="G18" s="330" t="s">
        <v>333</v>
      </c>
      <c r="H18" s="1029" t="s">
        <v>523</v>
      </c>
      <c r="I18" s="330" t="s">
        <v>333</v>
      </c>
    </row>
    <row r="19" spans="1:9" ht="12.75" customHeight="1" thickTop="1">
      <c r="A19" s="494"/>
      <c r="B19" s="255"/>
      <c r="C19" s="627"/>
      <c r="D19" s="357"/>
      <c r="E19" s="576"/>
      <c r="F19" s="924"/>
      <c r="G19" s="381"/>
      <c r="H19" s="357"/>
      <c r="I19" s="381"/>
    </row>
    <row r="20" spans="1:9" ht="12.75" customHeight="1">
      <c r="A20" s="90" t="s">
        <v>252</v>
      </c>
      <c r="B20" s="21" t="s">
        <v>501</v>
      </c>
      <c r="C20" s="139"/>
      <c r="D20" s="68">
        <f>'b)Indirectos Desglosados'!E25</f>
        <v>13318.76</v>
      </c>
      <c r="E20" s="57">
        <f>ROUND(D20/Costo_directo,6)</f>
        <v>2.6002999999999998E-2</v>
      </c>
      <c r="F20" s="148">
        <f>'b)Indirectos Desglosados'!G25</f>
        <v>5398.58</v>
      </c>
      <c r="G20" s="57">
        <f>ROUND(F20/Costo_directo,6)</f>
        <v>1.0540000000000001E-2</v>
      </c>
      <c r="H20" s="68">
        <f>D20+F20</f>
        <v>18717.34</v>
      </c>
      <c r="I20" s="57">
        <f>ROUND(E20+G20,6)</f>
        <v>3.6542999999999999E-2</v>
      </c>
    </row>
    <row r="21" spans="1:9" ht="12.75" customHeight="1">
      <c r="A21" s="91"/>
      <c r="B21" s="4"/>
      <c r="C21" s="69"/>
      <c r="D21" s="85"/>
      <c r="E21" s="246"/>
      <c r="F21" s="151"/>
      <c r="G21" s="72"/>
      <c r="H21" s="85"/>
      <c r="I21" s="72"/>
    </row>
    <row r="22" spans="1:9" ht="12.75" customHeight="1">
      <c r="A22" s="90" t="s">
        <v>161</v>
      </c>
      <c r="B22" s="21" t="s">
        <v>88</v>
      </c>
      <c r="C22" s="139"/>
      <c r="D22" s="68">
        <f>'b)Indirectos Desglosados'!E34</f>
        <v>15632.13</v>
      </c>
      <c r="E22" s="57">
        <f>ROUND(D22/Costo_directo,6)</f>
        <v>3.0519999999999999E-2</v>
      </c>
      <c r="F22" s="148">
        <f>'b)Indirectos Desglosados'!G34</f>
        <v>12886.96</v>
      </c>
      <c r="G22" s="57">
        <f>ROUND(F22/Costo_directo,6)</f>
        <v>2.5159999999999998E-2</v>
      </c>
      <c r="H22" s="68">
        <f>D22+F22</f>
        <v>28519.09</v>
      </c>
      <c r="I22" s="57">
        <f>ROUND(E22+G22,6)</f>
        <v>5.568E-2</v>
      </c>
    </row>
    <row r="23" spans="1:9" ht="12.75" customHeight="1">
      <c r="A23" s="91"/>
      <c r="B23" s="4"/>
      <c r="C23" s="69"/>
      <c r="D23" s="85"/>
      <c r="E23" s="83"/>
      <c r="F23" s="151"/>
      <c r="G23" s="83"/>
      <c r="H23" s="85"/>
      <c r="I23" s="83"/>
    </row>
    <row r="24" spans="1:9" ht="12.75" customHeight="1">
      <c r="A24" s="90" t="s">
        <v>323</v>
      </c>
      <c r="B24" s="21" t="s">
        <v>151</v>
      </c>
      <c r="C24" s="139"/>
      <c r="D24" s="68">
        <f>'b)Indirectos Desglosados'!E38</f>
        <v>0</v>
      </c>
      <c r="E24" s="57">
        <f>ROUND(D24/Costo_directo,6)</f>
        <v>0</v>
      </c>
      <c r="F24" s="148">
        <f>'b)Indirectos Desglosados'!G38</f>
        <v>512.20000000000005</v>
      </c>
      <c r="G24" s="57">
        <f>ROUND(F24/Costo_directo,6)</f>
        <v>1E-3</v>
      </c>
      <c r="H24" s="68">
        <f>D24+F24</f>
        <v>512.20000000000005</v>
      </c>
      <c r="I24" s="57">
        <f>ROUND(E24+G24,6)</f>
        <v>1E-3</v>
      </c>
    </row>
    <row r="25" spans="1:9" ht="12.75" customHeight="1">
      <c r="A25" s="91"/>
      <c r="B25" s="4"/>
      <c r="C25" s="69"/>
      <c r="D25" s="85"/>
      <c r="E25" s="83"/>
      <c r="F25" s="151"/>
      <c r="G25" s="83"/>
      <c r="H25" s="85"/>
      <c r="I25" s="83"/>
    </row>
    <row r="26" spans="1:9" ht="12.75" customHeight="1">
      <c r="A26" s="90" t="s">
        <v>85</v>
      </c>
      <c r="B26" s="21" t="s">
        <v>93</v>
      </c>
      <c r="C26" s="834"/>
      <c r="D26" s="68">
        <f>'b)Indirectos Desglosados'!E44</f>
        <v>0</v>
      </c>
      <c r="E26" s="57">
        <f>ROUND(D26/Costo_directo,6)</f>
        <v>0</v>
      </c>
      <c r="F26" s="148">
        <f>'b)Indirectos Desglosados'!G44</f>
        <v>2048.8000000000002</v>
      </c>
      <c r="G26" s="57">
        <f>ROUND(F26/Costo_directo,6)</f>
        <v>4.0000000000000001E-3</v>
      </c>
      <c r="H26" s="68">
        <f>D26+F26</f>
        <v>2048.8000000000002</v>
      </c>
      <c r="I26" s="57">
        <f>ROUND(E26+G26,6)</f>
        <v>4.0000000000000001E-3</v>
      </c>
    </row>
    <row r="27" spans="1:9" ht="12.75" customHeight="1">
      <c r="A27" s="91"/>
      <c r="B27" s="4"/>
      <c r="C27" s="69"/>
      <c r="D27" s="85"/>
      <c r="E27" s="83"/>
      <c r="F27" s="151"/>
      <c r="G27" s="83"/>
      <c r="H27" s="85"/>
      <c r="I27" s="83"/>
    </row>
    <row r="28" spans="1:9" ht="12.75" customHeight="1">
      <c r="A28" s="90" t="s">
        <v>222</v>
      </c>
      <c r="B28" s="21" t="s">
        <v>178</v>
      </c>
      <c r="C28" s="139"/>
      <c r="D28" s="68">
        <f>'b)Indirectos Desglosados'!E53</f>
        <v>3559.79</v>
      </c>
      <c r="E28" s="57">
        <f>ROUND(D28/Costo_directo,6)</f>
        <v>6.9499999999999996E-3</v>
      </c>
      <c r="F28" s="148">
        <f>'b)Indirectos Desglosados'!G53</f>
        <v>4020.77</v>
      </c>
      <c r="G28" s="57">
        <f>ROUND(F28/Costo_directo,6)</f>
        <v>7.8499999999999993E-3</v>
      </c>
      <c r="H28" s="68">
        <f>D28+F28</f>
        <v>7580.56</v>
      </c>
      <c r="I28" s="57">
        <f>ROUND(E28+G28,6)</f>
        <v>1.4800000000000001E-2</v>
      </c>
    </row>
    <row r="29" spans="1:9" ht="12.75" customHeight="1">
      <c r="A29" s="91"/>
      <c r="B29" s="4"/>
      <c r="C29" s="69"/>
      <c r="D29" s="85"/>
      <c r="E29" s="83"/>
      <c r="F29" s="151"/>
      <c r="G29" s="83"/>
      <c r="H29" s="85"/>
      <c r="I29" s="83"/>
    </row>
    <row r="30" spans="1:9" ht="12.75" customHeight="1">
      <c r="A30" s="90" t="s">
        <v>457</v>
      </c>
      <c r="B30" s="21" t="s">
        <v>241</v>
      </c>
      <c r="C30" s="139"/>
      <c r="D30" s="68">
        <f>'b)Indirectos Desglosados'!E55</f>
        <v>435.37</v>
      </c>
      <c r="E30" s="57">
        <f>ROUND(D30/Costo_directo,6)</f>
        <v>8.4999999999999995E-4</v>
      </c>
      <c r="F30" s="148">
        <f>'b)Indirectos Desglosados'!G55</f>
        <v>51.22</v>
      </c>
      <c r="G30" s="57">
        <f>ROUND(F30/Costo_directo,6)</f>
        <v>1E-4</v>
      </c>
      <c r="H30" s="68">
        <f>D30+F30</f>
        <v>486.59</v>
      </c>
      <c r="I30" s="57">
        <f>ROUND(E30+G30,6)</f>
        <v>9.5E-4</v>
      </c>
    </row>
    <row r="31" spans="1:9" ht="12.75" customHeight="1">
      <c r="A31" s="91"/>
      <c r="B31" s="4"/>
      <c r="C31" s="69"/>
      <c r="D31" s="85"/>
      <c r="E31" s="246"/>
      <c r="F31" s="151"/>
      <c r="G31" s="72"/>
      <c r="H31" s="85"/>
      <c r="I31" s="72"/>
    </row>
    <row r="32" spans="1:9" ht="12.75" customHeight="1">
      <c r="A32" s="90" t="s">
        <v>378</v>
      </c>
      <c r="B32" s="21" t="s">
        <v>183</v>
      </c>
      <c r="C32" s="139"/>
      <c r="D32" s="68">
        <f>'b)Indirectos Desglosados'!E57</f>
        <v>435.37</v>
      </c>
      <c r="E32" s="57">
        <f>ROUND(D32/Costo_directo,6)</f>
        <v>8.4999999999999995E-4</v>
      </c>
      <c r="F32" s="148">
        <f>'b)Indirectos Desglosados'!G57</f>
        <v>51.22</v>
      </c>
      <c r="G32" s="57">
        <f>ROUND(F32/Costo_directo,6)</f>
        <v>1E-4</v>
      </c>
      <c r="H32" s="68">
        <f>D32+F32</f>
        <v>486.59</v>
      </c>
      <c r="I32" s="57">
        <f>ROUND(E32+G32,6)</f>
        <v>9.5E-4</v>
      </c>
    </row>
    <row r="33" spans="1:9" ht="12.75" customHeight="1">
      <c r="A33" s="91"/>
      <c r="B33" s="4"/>
      <c r="C33" s="69"/>
      <c r="D33" s="85"/>
      <c r="E33" s="246"/>
      <c r="F33" s="151"/>
      <c r="G33" s="72"/>
      <c r="H33" s="85"/>
      <c r="I33" s="72"/>
    </row>
    <row r="34" spans="1:9" ht="12.75" customHeight="1">
      <c r="A34" s="90" t="s">
        <v>190</v>
      </c>
      <c r="B34" s="21" t="s">
        <v>31</v>
      </c>
      <c r="C34" s="139"/>
      <c r="D34" s="68">
        <f>'b)Indirectos Desglosados'!E62</f>
        <v>1536.6</v>
      </c>
      <c r="E34" s="57">
        <f>ROUND(D34/Costo_directo,6)</f>
        <v>3.0000000000000001E-3</v>
      </c>
      <c r="F34" s="148">
        <f>'b)Indirectos Desglosados'!G62</f>
        <v>5189.05</v>
      </c>
      <c r="G34" s="57">
        <f>ROUND(F34/Costo_directo,6)</f>
        <v>1.0130999999999999E-2</v>
      </c>
      <c r="H34" s="68">
        <f>D34+F34</f>
        <v>6725.65</v>
      </c>
      <c r="I34" s="57">
        <f>ROUND(E34+G34,6)</f>
        <v>1.3131E-2</v>
      </c>
    </row>
    <row r="35" spans="1:9" ht="12.75" customHeight="1">
      <c r="A35" s="91"/>
      <c r="B35" s="4"/>
      <c r="C35" s="69"/>
      <c r="D35" s="85"/>
      <c r="E35" s="83"/>
      <c r="F35" s="655"/>
      <c r="G35" s="83"/>
      <c r="H35" s="1076"/>
      <c r="I35" s="83"/>
    </row>
    <row r="36" spans="1:9" ht="12.75" customHeight="1">
      <c r="A36" s="90" t="s">
        <v>380</v>
      </c>
      <c r="B36" s="21" t="s">
        <v>253</v>
      </c>
      <c r="C36" s="139"/>
      <c r="D36" s="68">
        <f>'b)Indirectos Desglosados'!E73</f>
        <v>0</v>
      </c>
      <c r="E36" s="57">
        <f>ROUND(D36/Costo_directo,6)</f>
        <v>0</v>
      </c>
      <c r="F36" s="148">
        <f>'b)Indirectos Desglosados'!G73</f>
        <v>1403.43</v>
      </c>
      <c r="G36" s="57">
        <f>ROUND(F36/Costo_directo,6)</f>
        <v>2.7399999999999998E-3</v>
      </c>
      <c r="H36" s="68">
        <f>D36+F36</f>
        <v>1403.43</v>
      </c>
      <c r="I36" s="57">
        <f>ROUND(E36+G36,6)</f>
        <v>2.7399999999999998E-3</v>
      </c>
    </row>
    <row r="37" spans="1:9" ht="12.75" customHeight="1">
      <c r="A37" s="237"/>
      <c r="B37" s="4"/>
      <c r="C37" s="69"/>
      <c r="D37" s="85"/>
      <c r="E37" s="83"/>
      <c r="F37" s="151"/>
      <c r="G37" s="83"/>
      <c r="H37" s="85"/>
      <c r="I37" s="83"/>
    </row>
    <row r="38" spans="1:9" ht="12.75" customHeight="1">
      <c r="A38" s="237"/>
      <c r="B38" s="4"/>
      <c r="C38" s="69"/>
      <c r="D38" s="85"/>
      <c r="E38" s="410"/>
      <c r="F38" s="151"/>
      <c r="G38" s="83"/>
      <c r="H38" s="85"/>
      <c r="I38" s="83"/>
    </row>
    <row r="39" spans="1:9" ht="12.75" customHeight="1">
      <c r="A39" s="237"/>
      <c r="B39" s="4"/>
      <c r="C39" s="69"/>
      <c r="D39" s="85"/>
      <c r="E39" s="454"/>
      <c r="F39" s="151"/>
      <c r="G39" s="83"/>
      <c r="H39" s="85"/>
      <c r="I39" s="83"/>
    </row>
    <row r="40" spans="1:9" ht="12.75" customHeight="1">
      <c r="A40" s="237"/>
      <c r="B40" s="4"/>
      <c r="C40" s="69"/>
      <c r="D40" s="85"/>
      <c r="E40" s="410"/>
      <c r="F40" s="151"/>
      <c r="G40" s="83"/>
      <c r="H40" s="85"/>
      <c r="I40" s="83"/>
    </row>
    <row r="41" spans="1:9" ht="12.75" customHeight="1">
      <c r="A41" s="237"/>
      <c r="B41" s="4"/>
      <c r="C41" s="69"/>
      <c r="D41" s="85"/>
      <c r="E41" s="410"/>
      <c r="F41" s="151"/>
      <c r="G41" s="83"/>
      <c r="H41" s="85"/>
      <c r="I41" s="83"/>
    </row>
    <row r="42" spans="1:9" ht="12.75" customHeight="1">
      <c r="A42" s="237"/>
      <c r="B42" s="4"/>
      <c r="C42" s="69"/>
      <c r="D42" s="85"/>
      <c r="E42" s="410"/>
      <c r="F42" s="151"/>
      <c r="G42" s="83"/>
      <c r="H42" s="85"/>
      <c r="I42" s="83"/>
    </row>
    <row r="43" spans="1:9" ht="12.75" customHeight="1">
      <c r="A43" s="237"/>
      <c r="B43" s="4"/>
      <c r="C43" s="69"/>
      <c r="D43" s="85"/>
      <c r="E43" s="410"/>
      <c r="F43" s="151"/>
      <c r="G43" s="83"/>
      <c r="H43" s="85"/>
      <c r="I43" s="83"/>
    </row>
    <row r="44" spans="1:9" ht="12.75" customHeight="1">
      <c r="A44" s="237"/>
      <c r="B44" s="4"/>
      <c r="C44" s="69"/>
      <c r="D44" s="85"/>
      <c r="E44" s="454"/>
      <c r="F44" s="151"/>
      <c r="G44" s="83"/>
      <c r="H44" s="85"/>
      <c r="I44" s="83"/>
    </row>
    <row r="45" spans="1:9" ht="12.75" customHeight="1">
      <c r="A45" s="237"/>
      <c r="B45" s="4"/>
      <c r="C45" s="69"/>
      <c r="D45" s="85"/>
      <c r="E45" s="454"/>
      <c r="F45" s="151"/>
      <c r="G45" s="246"/>
      <c r="H45" s="85"/>
      <c r="I45" s="246"/>
    </row>
    <row r="46" spans="1:9" ht="12.75" customHeight="1" thickBot="1">
      <c r="A46" s="498"/>
      <c r="B46" s="501"/>
      <c r="C46" s="937" t="s">
        <v>413</v>
      </c>
      <c r="D46" s="218">
        <f>Importe_Central</f>
        <v>34918</v>
      </c>
      <c r="E46" s="301">
        <f>Porcentaje_Central</f>
        <v>6.8172999999999997E-2</v>
      </c>
      <c r="F46" s="218">
        <f>Importe_Campo</f>
        <v>31562.22</v>
      </c>
      <c r="G46" s="301">
        <f>Porcentaje_Campo</f>
        <v>6.1621000000000002E-2</v>
      </c>
      <c r="H46" s="218">
        <f>Importe_Indirecto</f>
        <v>66480.22</v>
      </c>
      <c r="I46" s="301">
        <f>Porcentaje_Indirecto</f>
        <v>0.12979399999999999</v>
      </c>
    </row>
    <row r="47" spans="1:9" ht="12.75" customHeight="1" thickTop="1">
      <c r="A47" s="332"/>
      <c r="C47" s="33"/>
      <c r="D47" s="33" t="s">
        <v>168</v>
      </c>
      <c r="E47" s="827"/>
      <c r="F47" s="33"/>
      <c r="G47" s="33"/>
      <c r="H47" s="33"/>
      <c r="I47" s="123"/>
    </row>
    <row r="48" spans="1:9" ht="14.25" customHeight="1">
      <c r="A48" s="749"/>
      <c r="B48" s="409"/>
      <c r="C48" s="21"/>
      <c r="D48" s="264" t="s">
        <v>12</v>
      </c>
      <c r="E48" s="672">
        <f>D46+F46</f>
        <v>66480.22</v>
      </c>
      <c r="F48" s="639"/>
      <c r="G48" s="735"/>
      <c r="H48" s="264" t="s">
        <v>395</v>
      </c>
      <c r="I48" s="848">
        <f>I46</f>
        <v>0.12979399999999999</v>
      </c>
    </row>
    <row r="49" spans="1:9" ht="12.75" customHeight="1">
      <c r="A49" s="623"/>
      <c r="B49" s="1048"/>
      <c r="C49" s="232"/>
      <c r="D49" s="938"/>
      <c r="E49" s="694"/>
      <c r="F49" s="975"/>
      <c r="G49" s="41"/>
      <c r="H49" s="41"/>
      <c r="I49" s="1075"/>
    </row>
    <row r="50" spans="1:9" ht="12.75" customHeight="1">
      <c r="A50" s="237"/>
      <c r="B50" s="1006"/>
      <c r="C50" s="4"/>
      <c r="D50" s="31"/>
      <c r="E50" s="785"/>
      <c r="F50" s="393"/>
      <c r="G50" s="290"/>
      <c r="H50" s="290"/>
      <c r="I50" s="954"/>
    </row>
    <row r="51" spans="1:9" ht="12.75" customHeight="1">
      <c r="A51" s="237"/>
      <c r="B51" s="977" t="str">
        <f>razonsocial</f>
        <v>COMDIFIER S. R. L. DE C.V.</v>
      </c>
      <c r="C51" s="4"/>
      <c r="D51" s="31"/>
      <c r="E51" s="785"/>
      <c r="F51" s="393"/>
      <c r="G51" s="290"/>
      <c r="H51" s="290"/>
      <c r="I51" s="954"/>
    </row>
    <row r="52" spans="1:9" ht="12.75" customHeight="1">
      <c r="A52" s="237"/>
      <c r="B52" s="304" t="str">
        <f>responsable</f>
        <v>ARQ. JORGE PULIDO GUZMÁNN</v>
      </c>
      <c r="C52" s="4"/>
      <c r="D52" s="31"/>
      <c r="E52" s="785"/>
      <c r="F52" s="393"/>
      <c r="G52" s="290"/>
      <c r="H52" s="290"/>
      <c r="I52" s="954"/>
    </row>
    <row r="53" spans="1:9" ht="12.75" customHeight="1" thickBot="1">
      <c r="A53" s="550"/>
      <c r="B53" s="700" t="str">
        <f>cargo</f>
        <v>REPRESENTANTE LEGAL</v>
      </c>
      <c r="C53" s="29"/>
      <c r="D53" s="29" t="s">
        <v>168</v>
      </c>
      <c r="E53" s="29"/>
      <c r="F53" s="29"/>
      <c r="G53" s="29"/>
      <c r="H53" s="29"/>
      <c r="I53" s="238"/>
    </row>
    <row r="54" spans="1:9" ht="13.5" thickTop="1"/>
  </sheetData>
  <mergeCells count="3">
    <mergeCell ref="A1:I1"/>
    <mergeCell ref="C3:H5"/>
    <mergeCell ref="C8:G10"/>
  </mergeCells>
  <printOptions horizontalCentered="1"/>
  <pageMargins left="0.4" right="0.38" top="0.99" bottom="0.39370078740157483" header="0.11811023622047245" footer="0.11811023622047245"/>
  <pageSetup scale="85" orientation="portrait" horizontalDpi="300" verticalDpi="300" r:id="rId1"/>
  <headerFooter alignWithMargins="0">
    <oddHeader>&amp;R&amp;8Página &amp;P de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9"/>
  <sheetViews>
    <sheetView showGridLines="0" showZeros="0" zoomScaleNormal="100" workbookViewId="0">
      <selection activeCell="D21" sqref="D21"/>
    </sheetView>
  </sheetViews>
  <sheetFormatPr baseColWidth="10" defaultColWidth="9.140625" defaultRowHeight="12.75"/>
  <cols>
    <col min="1" max="1" width="15" customWidth="1"/>
    <col min="2" max="2" width="19.42578125" customWidth="1"/>
    <col min="3" max="3" width="11.140625" customWidth="1"/>
    <col min="4" max="4" width="7.7109375" customWidth="1"/>
    <col min="5" max="5" width="8.7109375" customWidth="1"/>
    <col min="6" max="6" width="9.7109375" customWidth="1"/>
    <col min="7" max="7" width="11" customWidth="1"/>
    <col min="8" max="8" width="9.7109375" customWidth="1"/>
    <col min="9" max="9" width="8.85546875" customWidth="1"/>
    <col min="10" max="11" width="8.7109375" customWidth="1"/>
    <col min="12" max="12" width="9.140625" customWidth="1"/>
    <col min="13" max="13" width="9.7109375" customWidth="1"/>
    <col min="14" max="14" width="10.5703125" customWidth="1"/>
    <col min="15" max="15" width="10.85546875" customWidth="1"/>
    <col min="16" max="27" width="10.5703125" customWidth="1"/>
    <col min="28" max="28" width="11.7109375" customWidth="1"/>
    <col min="29" max="39" width="10.5703125" customWidth="1"/>
    <col min="40" max="40" width="11.42578125" customWidth="1"/>
    <col min="41" max="63" width="10.5703125" customWidth="1"/>
    <col min="64" max="64" width="12.140625" customWidth="1"/>
  </cols>
  <sheetData>
    <row r="1" spans="1:64" ht="12.75" customHeight="1" thickTop="1">
      <c r="A1" s="908"/>
      <c r="B1" s="33"/>
      <c r="C1" s="33"/>
      <c r="D1" s="33"/>
      <c r="E1" s="33"/>
      <c r="F1" s="33"/>
      <c r="G1" s="303"/>
      <c r="H1" s="33"/>
      <c r="I1" s="33"/>
      <c r="J1" s="33"/>
      <c r="K1" s="33"/>
      <c r="L1" s="33"/>
      <c r="M1" s="33"/>
      <c r="N1" s="33"/>
      <c r="O1" s="33"/>
      <c r="P1" s="123"/>
      <c r="Q1" s="25"/>
      <c r="R1" s="33"/>
      <c r="S1" s="33"/>
      <c r="T1" s="33"/>
      <c r="U1" s="33"/>
      <c r="V1" s="33"/>
      <c r="W1" s="33"/>
      <c r="X1" s="33"/>
      <c r="Y1" s="33"/>
      <c r="Z1" s="33"/>
      <c r="AA1" s="33"/>
      <c r="AB1" s="123"/>
      <c r="AC1" s="25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123"/>
      <c r="AO1" s="25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123"/>
      <c r="BA1" s="25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123"/>
    </row>
    <row r="2" spans="1:64" ht="11.25" customHeight="1">
      <c r="A2" s="237" t="s">
        <v>306</v>
      </c>
      <c r="B2" s="1138" t="str">
        <f>nombrecliente</f>
        <v>AYUNTAMIENTO DE CUERNAVACA_x000D_
SECRETARÍA DE DESARROLLO URBANO Y OBRAS PÚBLICAS</v>
      </c>
      <c r="C2" s="1138"/>
      <c r="D2" s="1138"/>
      <c r="E2" s="1138"/>
      <c r="F2" s="1138"/>
      <c r="G2" s="1138"/>
      <c r="H2" s="1138"/>
      <c r="I2" s="1138"/>
      <c r="J2" s="1138"/>
      <c r="K2" s="4"/>
      <c r="L2" s="4"/>
      <c r="M2" s="4"/>
      <c r="N2" s="4"/>
      <c r="O2" s="4"/>
      <c r="P2" s="69"/>
      <c r="Q2" s="31" t="s">
        <v>67</v>
      </c>
      <c r="R2" s="1139" t="str">
        <f>nombrecliente</f>
        <v>AYUNTAMIENTO DE CUERNAVACA_x000D_
SECRETARÍA DE DESARROLLO URBANO Y OBRAS PÚBLICAS</v>
      </c>
      <c r="S2" s="1139"/>
      <c r="T2" s="1139"/>
      <c r="U2" s="1139"/>
      <c r="V2" s="1139"/>
      <c r="W2" s="1139"/>
      <c r="X2" s="1139"/>
      <c r="Y2" s="1139"/>
      <c r="Z2" s="1139"/>
      <c r="AA2" s="1139"/>
      <c r="AB2" s="69"/>
      <c r="AC2" s="31" t="s">
        <v>67</v>
      </c>
      <c r="AD2" s="1139" t="str">
        <f>nombrecliente</f>
        <v>AYUNTAMIENTO DE CUERNAVACA_x000D_
SECRETARÍA DE DESARROLLO URBANO Y OBRAS PÚBLICAS</v>
      </c>
      <c r="AE2" s="1139"/>
      <c r="AF2" s="1139"/>
      <c r="AG2" s="1139"/>
      <c r="AH2" s="1139"/>
      <c r="AI2" s="1139"/>
      <c r="AJ2" s="1139"/>
      <c r="AK2" s="1139"/>
      <c r="AL2" s="1139"/>
      <c r="AM2" s="1139"/>
      <c r="AN2" s="69"/>
      <c r="AO2" s="31" t="s">
        <v>67</v>
      </c>
      <c r="AP2" s="1139" t="str">
        <f>nombrecliente</f>
        <v>AYUNTAMIENTO DE CUERNAVACA_x000D_
SECRETARÍA DE DESARROLLO URBANO Y OBRAS PÚBLICAS</v>
      </c>
      <c r="AQ2" s="1139"/>
      <c r="AR2" s="1139"/>
      <c r="AS2" s="1139"/>
      <c r="AT2" s="1139"/>
      <c r="AU2" s="1139"/>
      <c r="AV2" s="1139"/>
      <c r="AW2" s="1139"/>
      <c r="AX2" s="1139"/>
      <c r="AY2" s="1139"/>
      <c r="AZ2" s="69"/>
      <c r="BA2" s="31" t="s">
        <v>67</v>
      </c>
      <c r="BB2" s="1139" t="str">
        <f>nombrecliente</f>
        <v>AYUNTAMIENTO DE CUERNAVACA_x000D_
SECRETARÍA DE DESARROLLO URBANO Y OBRAS PÚBLICAS</v>
      </c>
      <c r="BC2" s="1139"/>
      <c r="BD2" s="1139"/>
      <c r="BE2" s="1139"/>
      <c r="BF2" s="1139"/>
      <c r="BG2" s="1139"/>
      <c r="BH2" s="1139"/>
      <c r="BI2" s="1139"/>
      <c r="BJ2" s="1139"/>
      <c r="BK2" s="1139"/>
      <c r="BL2" s="69"/>
    </row>
    <row r="3" spans="1:64" ht="11.25" customHeight="1">
      <c r="A3" s="237"/>
      <c r="B3" s="1138"/>
      <c r="C3" s="1138"/>
      <c r="D3" s="1138"/>
      <c r="E3" s="1138"/>
      <c r="F3" s="1138"/>
      <c r="G3" s="1138"/>
      <c r="H3" s="1138"/>
      <c r="I3" s="1138"/>
      <c r="J3" s="1138"/>
      <c r="K3" s="4"/>
      <c r="L3" s="4"/>
      <c r="M3" s="4"/>
      <c r="N3" s="4"/>
      <c r="O3" s="4"/>
      <c r="P3" s="69"/>
      <c r="Q3" s="31"/>
      <c r="R3" s="1139"/>
      <c r="S3" s="1139"/>
      <c r="T3" s="1139"/>
      <c r="U3" s="1139"/>
      <c r="V3" s="1139"/>
      <c r="W3" s="1139"/>
      <c r="X3" s="1139"/>
      <c r="Y3" s="1139"/>
      <c r="Z3" s="1139"/>
      <c r="AA3" s="1139"/>
      <c r="AB3" s="69"/>
      <c r="AC3" s="31"/>
      <c r="AD3" s="1139"/>
      <c r="AE3" s="1139"/>
      <c r="AF3" s="1139"/>
      <c r="AG3" s="1139"/>
      <c r="AH3" s="1139"/>
      <c r="AI3" s="1139"/>
      <c r="AJ3" s="1139"/>
      <c r="AK3" s="1139"/>
      <c r="AL3" s="1139"/>
      <c r="AM3" s="1139"/>
      <c r="AN3" s="69"/>
      <c r="AO3" s="31"/>
      <c r="AP3" s="1139"/>
      <c r="AQ3" s="1139"/>
      <c r="AR3" s="1139"/>
      <c r="AS3" s="1139"/>
      <c r="AT3" s="1139"/>
      <c r="AU3" s="1139"/>
      <c r="AV3" s="1139"/>
      <c r="AW3" s="1139"/>
      <c r="AX3" s="1139"/>
      <c r="AY3" s="1139"/>
      <c r="AZ3" s="69"/>
      <c r="BA3" s="31"/>
      <c r="BB3" s="1139"/>
      <c r="BC3" s="1139"/>
      <c r="BD3" s="1139"/>
      <c r="BE3" s="1139"/>
      <c r="BF3" s="1139"/>
      <c r="BG3" s="1139"/>
      <c r="BH3" s="1139"/>
      <c r="BI3" s="1139"/>
      <c r="BJ3" s="1139"/>
      <c r="BK3" s="1139"/>
      <c r="BL3" s="69"/>
    </row>
    <row r="4" spans="1:64" ht="11.25" customHeight="1">
      <c r="A4" s="237"/>
      <c r="B4" s="1138"/>
      <c r="C4" s="1138"/>
      <c r="D4" s="1138"/>
      <c r="E4" s="1138"/>
      <c r="F4" s="1138"/>
      <c r="G4" s="1138"/>
      <c r="H4" s="1138"/>
      <c r="I4" s="1138"/>
      <c r="J4" s="1138"/>
      <c r="K4" s="4"/>
      <c r="L4" s="4" t="s">
        <v>168</v>
      </c>
      <c r="M4" s="4"/>
      <c r="N4" s="4"/>
      <c r="O4" s="4"/>
      <c r="P4" s="69"/>
      <c r="Q4" s="31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69"/>
      <c r="AC4" s="31"/>
      <c r="AD4" s="1139"/>
      <c r="AE4" s="1139"/>
      <c r="AF4" s="1139"/>
      <c r="AG4" s="1139"/>
      <c r="AH4" s="1139"/>
      <c r="AI4" s="1139"/>
      <c r="AJ4" s="1139"/>
      <c r="AK4" s="1139"/>
      <c r="AL4" s="1139"/>
      <c r="AM4" s="1139"/>
      <c r="AN4" s="69"/>
      <c r="AO4" s="31"/>
      <c r="AP4" s="1139"/>
      <c r="AQ4" s="1139"/>
      <c r="AR4" s="1139"/>
      <c r="AS4" s="1139"/>
      <c r="AT4" s="1139"/>
      <c r="AU4" s="1139"/>
      <c r="AV4" s="1139"/>
      <c r="AW4" s="1139"/>
      <c r="AX4" s="1139"/>
      <c r="AY4" s="1139"/>
      <c r="AZ4" s="69"/>
      <c r="BA4" s="31"/>
      <c r="BB4" s="1139"/>
      <c r="BC4" s="1139"/>
      <c r="BD4" s="1139"/>
      <c r="BE4" s="1139"/>
      <c r="BF4" s="1139"/>
      <c r="BG4" s="1139"/>
      <c r="BH4" s="1139"/>
      <c r="BI4" s="1139"/>
      <c r="BJ4" s="1139"/>
      <c r="BK4" s="1139"/>
      <c r="BL4" s="69"/>
    </row>
    <row r="5" spans="1:64" ht="11.25" customHeight="1">
      <c r="A5" s="237" t="s">
        <v>375</v>
      </c>
      <c r="B5" s="172" t="str">
        <f>numerodeconcurso</f>
        <v>A.D.03/R33/DLyCOP/OP444/2022</v>
      </c>
      <c r="C5" s="172"/>
      <c r="D5" s="58"/>
      <c r="E5" s="31" t="s">
        <v>23</v>
      </c>
      <c r="F5" s="87">
        <f>fechadeconcurso</f>
        <v>44778</v>
      </c>
      <c r="G5" s="4"/>
      <c r="H5" s="4"/>
      <c r="I5" s="4"/>
      <c r="J5" s="4"/>
      <c r="K5" s="4"/>
      <c r="L5" s="4"/>
      <c r="M5" s="4"/>
      <c r="N5" s="4"/>
      <c r="O5" s="4"/>
      <c r="P5" s="69"/>
      <c r="Q5" s="31" t="s">
        <v>114</v>
      </c>
      <c r="R5" s="172" t="str">
        <f>numerodeconcurso</f>
        <v>A.D.03/R33/DLyCOP/OP444/2022</v>
      </c>
      <c r="S5" s="4"/>
      <c r="T5" s="4"/>
      <c r="U5" s="4"/>
      <c r="V5" s="4"/>
      <c r="W5" s="4"/>
      <c r="X5" s="4"/>
      <c r="Y5" s="31" t="s">
        <v>23</v>
      </c>
      <c r="Z5" s="87">
        <f>fechadeconcurso</f>
        <v>44778</v>
      </c>
      <c r="AA5" s="4"/>
      <c r="AB5" s="69"/>
      <c r="AC5" s="31" t="s">
        <v>114</v>
      </c>
      <c r="AD5" s="172" t="str">
        <f>numerodeconcurso</f>
        <v>A.D.03/R33/DLyCOP/OP444/2022</v>
      </c>
      <c r="AE5" s="4"/>
      <c r="AF5" s="4"/>
      <c r="AG5" s="4"/>
      <c r="AH5" s="4"/>
      <c r="AI5" s="4"/>
      <c r="AJ5" s="4"/>
      <c r="AK5" s="31" t="s">
        <v>23</v>
      </c>
      <c r="AL5" s="87">
        <f>fechadeconcurso</f>
        <v>44778</v>
      </c>
      <c r="AM5" s="4"/>
      <c r="AN5" s="69"/>
      <c r="AO5" s="31" t="s">
        <v>114</v>
      </c>
      <c r="AP5" s="172" t="str">
        <f>numerodeconcurso</f>
        <v>A.D.03/R33/DLyCOP/OP444/2022</v>
      </c>
      <c r="AQ5" s="4"/>
      <c r="AR5" s="4"/>
      <c r="AS5" s="4"/>
      <c r="AT5" s="4"/>
      <c r="AU5" s="4"/>
      <c r="AV5" s="4"/>
      <c r="AW5" s="31" t="s">
        <v>23</v>
      </c>
      <c r="AX5" s="87">
        <f>fechadeconcurso</f>
        <v>44778</v>
      </c>
      <c r="AY5" s="4"/>
      <c r="AZ5" s="69"/>
      <c r="BA5" s="31" t="s">
        <v>114</v>
      </c>
      <c r="BB5" s="172" t="str">
        <f>numerodeconcurso</f>
        <v>A.D.03/R33/DLyCOP/OP444/2022</v>
      </c>
      <c r="BC5" s="4"/>
      <c r="BD5" s="4"/>
      <c r="BE5" s="4"/>
      <c r="BF5" s="4"/>
      <c r="BG5" s="4"/>
      <c r="BH5" s="4"/>
      <c r="BI5" s="31" t="s">
        <v>23</v>
      </c>
      <c r="BJ5" s="87">
        <f>fechadeconcurso</f>
        <v>44778</v>
      </c>
      <c r="BK5" s="4"/>
      <c r="BL5" s="69"/>
    </row>
    <row r="6" spans="1:64" ht="11.25" customHeight="1">
      <c r="A6" s="237" t="s">
        <v>519</v>
      </c>
      <c r="B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C6" s="1139"/>
      <c r="D6" s="1139"/>
      <c r="E6" s="1139"/>
      <c r="F6" s="1139"/>
      <c r="G6" s="1139"/>
      <c r="H6" s="1139"/>
      <c r="I6" s="1139"/>
      <c r="J6" s="1139"/>
      <c r="K6" s="4"/>
      <c r="L6" s="4"/>
      <c r="M6" s="4"/>
      <c r="N6" s="4"/>
      <c r="O6" s="17" t="s">
        <v>232</v>
      </c>
      <c r="P6" s="69"/>
      <c r="Q6" s="31" t="s">
        <v>519</v>
      </c>
      <c r="R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S6" s="1139"/>
      <c r="T6" s="1139"/>
      <c r="U6" s="1139"/>
      <c r="V6" s="1139"/>
      <c r="W6" s="1139"/>
      <c r="X6" s="1139"/>
      <c r="Y6" s="1139"/>
      <c r="Z6" s="4"/>
      <c r="AA6" s="17" t="s">
        <v>232</v>
      </c>
      <c r="AB6" s="69"/>
      <c r="AC6" s="31" t="s">
        <v>519</v>
      </c>
      <c r="AD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AE6" s="1139"/>
      <c r="AF6" s="1139"/>
      <c r="AG6" s="1139"/>
      <c r="AH6" s="1139"/>
      <c r="AI6" s="1139"/>
      <c r="AJ6" s="1139"/>
      <c r="AK6" s="1139"/>
      <c r="AL6" s="4"/>
      <c r="AM6" s="17" t="s">
        <v>232</v>
      </c>
      <c r="AN6" s="69"/>
      <c r="AO6" s="31" t="s">
        <v>519</v>
      </c>
      <c r="AP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AQ6" s="1139"/>
      <c r="AR6" s="1139"/>
      <c r="AS6" s="1139"/>
      <c r="AT6" s="1139"/>
      <c r="AU6" s="1139"/>
      <c r="AV6" s="1139"/>
      <c r="AW6" s="1139"/>
      <c r="AX6" s="4"/>
      <c r="AY6" s="17" t="s">
        <v>232</v>
      </c>
      <c r="AZ6" s="69"/>
      <c r="BA6" s="31" t="s">
        <v>519</v>
      </c>
      <c r="BB6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BC6" s="1139"/>
      <c r="BD6" s="1139"/>
      <c r="BE6" s="1139"/>
      <c r="BF6" s="1139"/>
      <c r="BG6" s="1139"/>
      <c r="BH6" s="1139"/>
      <c r="BI6" s="1139"/>
      <c r="BJ6" s="4"/>
      <c r="BK6" s="17" t="s">
        <v>232</v>
      </c>
      <c r="BL6" s="69"/>
    </row>
    <row r="7" spans="1:64" ht="11.25" customHeight="1">
      <c r="A7" s="237"/>
      <c r="B7" s="1139"/>
      <c r="C7" s="1139"/>
      <c r="D7" s="1139"/>
      <c r="E7" s="1139"/>
      <c r="F7" s="1139"/>
      <c r="G7" s="1139"/>
      <c r="H7" s="1139"/>
      <c r="I7" s="1139"/>
      <c r="J7" s="1139"/>
      <c r="K7" s="4"/>
      <c r="L7" s="4"/>
      <c r="M7" s="4"/>
      <c r="N7" s="4"/>
      <c r="O7" s="116" t="s">
        <v>262</v>
      </c>
      <c r="P7" s="69"/>
      <c r="Q7" s="31"/>
      <c r="R7" s="1139"/>
      <c r="S7" s="1139"/>
      <c r="T7" s="1139"/>
      <c r="U7" s="1139"/>
      <c r="V7" s="1139"/>
      <c r="W7" s="1139"/>
      <c r="X7" s="1139"/>
      <c r="Y7" s="1139"/>
      <c r="Z7" s="4"/>
      <c r="AA7" s="116" t="str">
        <f>O7</f>
        <v>ART. 45 XI.d)</v>
      </c>
      <c r="AB7" s="69"/>
      <c r="AC7" s="31"/>
      <c r="AD7" s="1139"/>
      <c r="AE7" s="1139"/>
      <c r="AF7" s="1139"/>
      <c r="AG7" s="1139"/>
      <c r="AH7" s="1139"/>
      <c r="AI7" s="1139"/>
      <c r="AJ7" s="1139"/>
      <c r="AK7" s="1139"/>
      <c r="AL7" s="4"/>
      <c r="AM7" s="116" t="str">
        <f>O7</f>
        <v>ART. 45 XI.d)</v>
      </c>
      <c r="AN7" s="69"/>
      <c r="AO7" s="31"/>
      <c r="AP7" s="1139"/>
      <c r="AQ7" s="1139"/>
      <c r="AR7" s="1139"/>
      <c r="AS7" s="1139"/>
      <c r="AT7" s="1139"/>
      <c r="AU7" s="1139"/>
      <c r="AV7" s="1139"/>
      <c r="AW7" s="1139"/>
      <c r="AX7" s="4"/>
      <c r="AY7" s="116" t="str">
        <f>O7</f>
        <v>ART. 45 XI.d)</v>
      </c>
      <c r="AZ7" s="69"/>
      <c r="BA7" s="31"/>
      <c r="BB7" s="1139"/>
      <c r="BC7" s="1139"/>
      <c r="BD7" s="1139"/>
      <c r="BE7" s="1139"/>
      <c r="BF7" s="1139"/>
      <c r="BG7" s="1139"/>
      <c r="BH7" s="1139"/>
      <c r="BI7" s="1139"/>
      <c r="BJ7" s="4"/>
      <c r="BK7" s="116" t="str">
        <f>O7</f>
        <v>ART. 45 XI.d)</v>
      </c>
      <c r="BL7" s="69"/>
    </row>
    <row r="8" spans="1:64" ht="11.25" customHeight="1">
      <c r="A8" s="237"/>
      <c r="B8" s="1139"/>
      <c r="C8" s="1139"/>
      <c r="D8" s="1139"/>
      <c r="E8" s="1139"/>
      <c r="F8" s="1139"/>
      <c r="G8" s="1139"/>
      <c r="H8" s="1139"/>
      <c r="I8" s="1139"/>
      <c r="J8" s="1139"/>
      <c r="K8" s="4"/>
      <c r="L8" s="4"/>
      <c r="M8" s="4"/>
      <c r="N8" s="4"/>
      <c r="O8" s="17" t="s">
        <v>77</v>
      </c>
      <c r="P8" s="69"/>
      <c r="Q8" s="31"/>
      <c r="R8" s="1139"/>
      <c r="S8" s="1139"/>
      <c r="T8" s="1139"/>
      <c r="U8" s="1139"/>
      <c r="V8" s="1139"/>
      <c r="W8" s="1139"/>
      <c r="X8" s="1139"/>
      <c r="Y8" s="1139"/>
      <c r="Z8" s="17" t="s">
        <v>280</v>
      </c>
      <c r="AA8" s="17" t="s">
        <v>450</v>
      </c>
      <c r="AB8" s="108" t="s">
        <v>263</v>
      </c>
      <c r="AC8" s="31"/>
      <c r="AD8" s="1139"/>
      <c r="AE8" s="1139"/>
      <c r="AF8" s="1139"/>
      <c r="AG8" s="1139"/>
      <c r="AH8" s="1139"/>
      <c r="AI8" s="1139"/>
      <c r="AJ8" s="1139"/>
      <c r="AK8" s="1139"/>
      <c r="AL8" s="17" t="s">
        <v>280</v>
      </c>
      <c r="AM8" s="17" t="s">
        <v>450</v>
      </c>
      <c r="AN8" s="108" t="s">
        <v>263</v>
      </c>
      <c r="AO8" s="31"/>
      <c r="AP8" s="1139"/>
      <c r="AQ8" s="1139"/>
      <c r="AR8" s="1139"/>
      <c r="AS8" s="1139"/>
      <c r="AT8" s="1139"/>
      <c r="AU8" s="1139"/>
      <c r="AV8" s="1139"/>
      <c r="AW8" s="1139"/>
      <c r="AX8" s="17" t="s">
        <v>280</v>
      </c>
      <c r="AY8" s="17" t="s">
        <v>450</v>
      </c>
      <c r="AZ8" s="108" t="s">
        <v>263</v>
      </c>
      <c r="BA8" s="31"/>
      <c r="BB8" s="1139"/>
      <c r="BC8" s="1139"/>
      <c r="BD8" s="1139"/>
      <c r="BE8" s="1139"/>
      <c r="BF8" s="1139"/>
      <c r="BG8" s="1139"/>
      <c r="BH8" s="1139"/>
      <c r="BI8" s="1139"/>
      <c r="BJ8" s="17" t="s">
        <v>280</v>
      </c>
      <c r="BK8" s="17" t="s">
        <v>450</v>
      </c>
      <c r="BL8" s="108" t="s">
        <v>263</v>
      </c>
    </row>
    <row r="9" spans="1:64" ht="12.75" customHeight="1" thickBot="1">
      <c r="A9" s="237" t="s">
        <v>197</v>
      </c>
      <c r="B9" s="4" t="str">
        <f>direcciondelaobra&amp;", "&amp;ciudaddelaobra&amp;", "&amp;estadodelaobra</f>
        <v xml:space="preserve"> CALLE MAGNOLIA, ESQ. CON CALLE GERANIO, COL SATÉLITE, CUERNAVACA, Morelos</v>
      </c>
      <c r="C9" s="4"/>
      <c r="D9" s="58"/>
      <c r="E9" s="4"/>
      <c r="F9" s="58"/>
      <c r="G9" s="160"/>
      <c r="H9" s="4"/>
      <c r="I9" s="4"/>
      <c r="J9" s="4"/>
      <c r="K9" s="31" t="s">
        <v>22</v>
      </c>
      <c r="L9" s="87">
        <f>fechainicio</f>
        <v>45367</v>
      </c>
      <c r="M9" s="31" t="s">
        <v>159</v>
      </c>
      <c r="N9" s="87">
        <f>fechaterminacion</f>
        <v>45456</v>
      </c>
      <c r="O9" s="4" t="s">
        <v>263</v>
      </c>
      <c r="P9" s="108">
        <f>plazocalculado</f>
        <v>90</v>
      </c>
      <c r="Q9" s="31" t="s">
        <v>197</v>
      </c>
      <c r="R9" s="122" t="str">
        <f>direcciondelaobra&amp;", "&amp;ciudaddelaobra&amp;", "&amp;estadodelaobra</f>
        <v xml:space="preserve"> CALLE MAGNOLIA, ESQ. CON CALLE GERANIO, COL SATÉLITE, CUERNAVACA, Morelos</v>
      </c>
      <c r="S9" s="4"/>
      <c r="T9" s="4"/>
      <c r="U9" s="4"/>
      <c r="V9" s="4"/>
      <c r="W9" s="4"/>
      <c r="X9" s="4"/>
      <c r="Y9" s="4"/>
      <c r="Z9" s="87">
        <f>fechainicio</f>
        <v>45367</v>
      </c>
      <c r="AA9" s="87">
        <f>fechaterminacion</f>
        <v>45456</v>
      </c>
      <c r="AB9" s="108">
        <f>plazocalculado</f>
        <v>90</v>
      </c>
      <c r="AC9" s="31" t="s">
        <v>197</v>
      </c>
      <c r="AD9" s="122" t="str">
        <f>direcciondelaobra&amp;", "&amp;ciudaddelaobra&amp;", "&amp;estadodelaobra</f>
        <v xml:space="preserve"> CALLE MAGNOLIA, ESQ. CON CALLE GERANIO, COL SATÉLITE, CUERNAVACA, Morelos</v>
      </c>
      <c r="AE9" s="4"/>
      <c r="AF9" s="4"/>
      <c r="AG9" s="4"/>
      <c r="AH9" s="4"/>
      <c r="AI9" s="4"/>
      <c r="AJ9" s="4"/>
      <c r="AK9" s="4"/>
      <c r="AL9" s="87">
        <f>fechainicio</f>
        <v>45367</v>
      </c>
      <c r="AM9" s="87">
        <f>fechaterminacion</f>
        <v>45456</v>
      </c>
      <c r="AN9" s="108">
        <f>plazocalculado</f>
        <v>90</v>
      </c>
      <c r="AO9" s="31" t="s">
        <v>197</v>
      </c>
      <c r="AP9" s="122" t="str">
        <f>direcciondelaobra&amp;", "&amp;ciudaddelaobra&amp;", "&amp;estadodelaobra</f>
        <v xml:space="preserve"> CALLE MAGNOLIA, ESQ. CON CALLE GERANIO, COL SATÉLITE, CUERNAVACA, Morelos</v>
      </c>
      <c r="AQ9" s="4"/>
      <c r="AR9" s="4"/>
      <c r="AS9" s="4"/>
      <c r="AT9" s="4"/>
      <c r="AU9" s="4"/>
      <c r="AV9" s="4"/>
      <c r="AW9" s="4"/>
      <c r="AX9" s="87">
        <f>fechainicio</f>
        <v>45367</v>
      </c>
      <c r="AY9" s="87">
        <f>fechaterminacion</f>
        <v>45456</v>
      </c>
      <c r="AZ9" s="108">
        <f>plazocalculado</f>
        <v>90</v>
      </c>
      <c r="BA9" s="31" t="s">
        <v>197</v>
      </c>
      <c r="BB9" s="122" t="str">
        <f>direcciondelaobra&amp;", "&amp;ciudaddelaobra&amp;", "&amp;estadodelaobra</f>
        <v xml:space="preserve"> CALLE MAGNOLIA, ESQ. CON CALLE GERANIO, COL SATÉLITE, CUERNAVACA, Morelos</v>
      </c>
      <c r="BC9" s="4"/>
      <c r="BD9" s="4"/>
      <c r="BE9" s="4"/>
      <c r="BF9" s="4"/>
      <c r="BG9" s="4"/>
      <c r="BH9" s="4"/>
      <c r="BI9" s="4"/>
      <c r="BJ9" s="87">
        <f>fechainicio</f>
        <v>45367</v>
      </c>
      <c r="BK9" s="87">
        <f>fechaterminacion</f>
        <v>45456</v>
      </c>
      <c r="BL9" s="108">
        <f>plazocalculado</f>
        <v>90</v>
      </c>
    </row>
    <row r="10" spans="1:64" ht="12.75" customHeight="1" thickTop="1">
      <c r="A10" s="209" t="str">
        <f>razonsocial</f>
        <v>COMDIFIER S. R. L. DE C.V.</v>
      </c>
      <c r="B10" s="276"/>
      <c r="C10" s="276"/>
      <c r="D10" s="253"/>
      <c r="E10" s="30"/>
      <c r="F10" s="253"/>
      <c r="G10" s="203" t="str">
        <f>responsable</f>
        <v>ARQ. JORGE PULIDO GUZMÁNN</v>
      </c>
      <c r="H10" s="30"/>
      <c r="I10" s="30"/>
      <c r="J10" s="30"/>
      <c r="K10" s="292"/>
      <c r="L10" s="30"/>
      <c r="M10" s="292"/>
      <c r="N10" s="271"/>
      <c r="O10" s="30"/>
      <c r="P10" s="195"/>
      <c r="Q10" s="209" t="str">
        <f>razonsocial</f>
        <v>COMDIFIER S. R. L. DE C.V.</v>
      </c>
      <c r="R10" s="30"/>
      <c r="S10" s="30"/>
      <c r="T10" s="30"/>
      <c r="U10" s="30"/>
      <c r="V10" s="203" t="str">
        <f>responsable</f>
        <v>ARQ. JORGE PULIDO GUZMÁNN</v>
      </c>
      <c r="W10" s="30"/>
      <c r="X10" s="30"/>
      <c r="Y10" s="30"/>
      <c r="Z10" s="98"/>
      <c r="AA10" s="165"/>
      <c r="AB10" s="195"/>
      <c r="AC10" s="209" t="str">
        <f>razonsocial</f>
        <v>COMDIFIER S. R. L. DE C.V.</v>
      </c>
      <c r="AD10" s="30"/>
      <c r="AE10" s="30"/>
      <c r="AF10" s="30"/>
      <c r="AG10" s="30"/>
      <c r="AH10" s="203" t="str">
        <f>responsable</f>
        <v>ARQ. JORGE PULIDO GUZMÁNN</v>
      </c>
      <c r="AI10" s="30"/>
      <c r="AJ10" s="30"/>
      <c r="AK10" s="30"/>
      <c r="AL10" s="98"/>
      <c r="AM10" s="165"/>
      <c r="AN10" s="195"/>
      <c r="AO10" s="209" t="str">
        <f>razonsocial</f>
        <v>COMDIFIER S. R. L. DE C.V.</v>
      </c>
      <c r="AP10" s="30"/>
      <c r="AQ10" s="30"/>
      <c r="AR10" s="30"/>
      <c r="AS10" s="30"/>
      <c r="AT10" s="203" t="str">
        <f>responsable</f>
        <v>ARQ. JORGE PULIDO GUZMÁNN</v>
      </c>
      <c r="AU10" s="30"/>
      <c r="AV10" s="30"/>
      <c r="AW10" s="30"/>
      <c r="AX10" s="98"/>
      <c r="AY10" s="165"/>
      <c r="AZ10" s="195"/>
      <c r="BA10" s="209" t="str">
        <f>razonsocial</f>
        <v>COMDIFIER S. R. L. DE C.V.</v>
      </c>
      <c r="BB10" s="30"/>
      <c r="BC10" s="30"/>
      <c r="BD10" s="30"/>
      <c r="BE10" s="30"/>
      <c r="BF10" s="203" t="str">
        <f>responsable</f>
        <v>ARQ. JORGE PULIDO GUZMÁNN</v>
      </c>
      <c r="BG10" s="30"/>
      <c r="BH10" s="30"/>
      <c r="BI10" s="30"/>
      <c r="BJ10" s="98"/>
      <c r="BK10" s="165"/>
      <c r="BL10" s="195"/>
    </row>
    <row r="11" spans="1:64" ht="12.75" customHeight="1" thickBot="1">
      <c r="A11" s="189" t="s">
        <v>515</v>
      </c>
      <c r="B11" s="4"/>
      <c r="C11" s="4"/>
      <c r="D11" s="4"/>
      <c r="E11" s="4"/>
      <c r="F11" s="4"/>
      <c r="G11" s="76" t="str">
        <f>cargo</f>
        <v>REPRESENTANTE LEGAL</v>
      </c>
      <c r="H11" s="4"/>
      <c r="I11" s="4"/>
      <c r="J11" s="4"/>
      <c r="K11" s="4"/>
      <c r="L11" s="4"/>
      <c r="M11" s="4"/>
      <c r="N11" s="76" t="s">
        <v>60</v>
      </c>
      <c r="O11" s="4"/>
      <c r="P11" s="69"/>
      <c r="Q11" s="189" t="s">
        <v>515</v>
      </c>
      <c r="R11" s="4"/>
      <c r="S11" s="4"/>
      <c r="T11" s="4"/>
      <c r="U11" s="4"/>
      <c r="V11" s="76" t="str">
        <f>cargo</f>
        <v>REPRESENTANTE LEGAL</v>
      </c>
      <c r="W11" s="4"/>
      <c r="X11" s="4"/>
      <c r="Y11" s="4"/>
      <c r="Z11" s="4"/>
      <c r="AA11" s="76" t="s">
        <v>60</v>
      </c>
      <c r="AB11" s="69"/>
      <c r="AC11" s="189" t="s">
        <v>515</v>
      </c>
      <c r="AD11" s="4"/>
      <c r="AE11" s="4"/>
      <c r="AF11" s="4"/>
      <c r="AG11" s="4"/>
      <c r="AH11" s="76" t="str">
        <f>cargo</f>
        <v>REPRESENTANTE LEGAL</v>
      </c>
      <c r="AI11" s="4"/>
      <c r="AJ11" s="4"/>
      <c r="AK11" s="4"/>
      <c r="AL11" s="4"/>
      <c r="AM11" s="76" t="s">
        <v>60</v>
      </c>
      <c r="AN11" s="69"/>
      <c r="AO11" s="189" t="s">
        <v>515</v>
      </c>
      <c r="AP11" s="4"/>
      <c r="AQ11" s="4"/>
      <c r="AR11" s="4"/>
      <c r="AS11" s="4"/>
      <c r="AT11" s="76" t="str">
        <f>cargo</f>
        <v>REPRESENTANTE LEGAL</v>
      </c>
      <c r="AU11" s="4"/>
      <c r="AV11" s="4"/>
      <c r="AW11" s="4"/>
      <c r="AX11" s="4"/>
      <c r="AY11" s="76" t="s">
        <v>60</v>
      </c>
      <c r="AZ11" s="69"/>
      <c r="BA11" s="189" t="s">
        <v>515</v>
      </c>
      <c r="BB11" s="4"/>
      <c r="BC11" s="4"/>
      <c r="BD11" s="4"/>
      <c r="BE11" s="4"/>
      <c r="BF11" s="76" t="str">
        <f>cargo</f>
        <v>REPRESENTANTE LEGAL</v>
      </c>
      <c r="BG11" s="4"/>
      <c r="BH11" s="4"/>
      <c r="BI11" s="4"/>
      <c r="BJ11" s="4"/>
      <c r="BK11" s="76" t="s">
        <v>60</v>
      </c>
      <c r="BL11" s="69"/>
    </row>
    <row r="12" spans="1:64" ht="11.25" customHeight="1" thickTop="1">
      <c r="A12" s="355" t="s">
        <v>257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903"/>
      <c r="Q12" s="95" t="str">
        <f>A12</f>
        <v>PROGRAMA CALENDARIZADO DE UTILIZACION DE PERSONAL PROFESIONAL TECNICO, ADMINISTRATIVO Y DE SERVICIO ENCARGADO DE LA DIRECCION,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1034"/>
      <c r="AC12" s="95" t="str">
        <f>A12</f>
        <v>PROGRAMA CALENDARIZADO DE UTILIZACION DE PERSONAL PROFESIONAL TECNICO, ADMINISTRATIVO Y DE SERVICIO ENCARGADO DE LA DIRECCION,</v>
      </c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183"/>
      <c r="AO12" s="95" t="str">
        <f>A12</f>
        <v>PROGRAMA CALENDARIZADO DE UTILIZACION DE PERSONAL PROFESIONAL TECNICO, ADMINISTRATIVO Y DE SERVICIO ENCARGADO DE LA DIRECCION,</v>
      </c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183"/>
      <c r="BA12" s="95" t="str">
        <f>AO12</f>
        <v>PROGRAMA CALENDARIZADO DE UTILIZACION DE PERSONAL PROFESIONAL TECNICO, ADMINISTRATIVO Y DE SERVICIO ENCARGADO DE LA DIRECCION,</v>
      </c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183"/>
    </row>
    <row r="13" spans="1:64" ht="11.25" customHeight="1">
      <c r="A13" s="386" t="str">
        <f>"SUPERVISION Y ADMINISTRACION DE LOS TRABAJOS"&amp;IF(DatosObra!E64=1,"  en No. De PERSONAS",IF(DatosObra!E64=2," EN JORNALES","  Horas Hombre"))</f>
        <v>SUPERVISION Y ADMINISTRACION DE LOS TRABAJOS  Horas Hombre</v>
      </c>
      <c r="B13" s="109"/>
      <c r="C13" s="109"/>
      <c r="D13" s="109"/>
      <c r="E13" s="109"/>
      <c r="F13" s="109"/>
      <c r="G13" s="236"/>
      <c r="H13" s="109"/>
      <c r="I13" s="236"/>
      <c r="J13" s="109"/>
      <c r="K13" s="236"/>
      <c r="L13" s="109"/>
      <c r="M13" s="236"/>
      <c r="N13" s="109"/>
      <c r="O13" s="236"/>
      <c r="P13" s="731"/>
      <c r="Q13" s="97" t="str">
        <f>A13</f>
        <v>SUPERVISION Y ADMINISTRACION DE LOS TRABAJOS  Horas Hombre</v>
      </c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36"/>
      <c r="AC13" s="97" t="str">
        <f>A13</f>
        <v>SUPERVISION Y ADMINISTRACION DE LOS TRABAJOS  Horas Hombre</v>
      </c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175"/>
      <c r="AO13" s="97" t="str">
        <f>A13</f>
        <v>SUPERVISION Y ADMINISTRACION DE LOS TRABAJOS  Horas Hombre</v>
      </c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175"/>
      <c r="BA13" s="97" t="str">
        <f>AO13</f>
        <v>SUPERVISION Y ADMINISTRACION DE LOS TRABAJOS  Horas Hombre</v>
      </c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175"/>
    </row>
    <row r="14" spans="1:64" ht="11.25" customHeight="1">
      <c r="A14" s="461"/>
      <c r="B14" s="549"/>
      <c r="C14" s="549"/>
      <c r="D14" s="24" t="s">
        <v>100</v>
      </c>
      <c r="E14" s="24">
        <f>Programa!$G13</f>
        <v>2022</v>
      </c>
      <c r="F14" s="24">
        <f>Programa!$G14</f>
        <v>2022</v>
      </c>
      <c r="G14" s="24">
        <f>Programa!$G15</f>
        <v>2022</v>
      </c>
      <c r="H14" s="24">
        <f>Programa!$G16</f>
        <v>0</v>
      </c>
      <c r="I14" s="24">
        <f>Programa!$G17</f>
        <v>0</v>
      </c>
      <c r="J14" s="24">
        <f>Programa!$G18</f>
        <v>0</v>
      </c>
      <c r="K14" s="24">
        <f>Programa!$G19</f>
        <v>0</v>
      </c>
      <c r="L14" s="24">
        <f>Programa!$G20</f>
        <v>0</v>
      </c>
      <c r="M14" s="24">
        <f>Programa!$G21</f>
        <v>0</v>
      </c>
      <c r="N14" s="24">
        <f>Programa!$G22</f>
        <v>0</v>
      </c>
      <c r="O14" s="24">
        <f>Programa!$G23</f>
        <v>0</v>
      </c>
      <c r="P14" s="192">
        <f>Programa!$G24</f>
        <v>0</v>
      </c>
      <c r="Q14" s="260">
        <f>Programa!$G25</f>
        <v>0</v>
      </c>
      <c r="R14" s="24">
        <f>Programa!$G26</f>
        <v>0</v>
      </c>
      <c r="S14" s="24">
        <f>Programa!$G27</f>
        <v>0</v>
      </c>
      <c r="T14" s="24">
        <f>Programa!$G28</f>
        <v>0</v>
      </c>
      <c r="U14" s="24">
        <f>Programa!$G29</f>
        <v>0</v>
      </c>
      <c r="V14" s="24">
        <f>Programa!$G30</f>
        <v>0</v>
      </c>
      <c r="W14" s="24">
        <f>Programa!$G31</f>
        <v>0</v>
      </c>
      <c r="X14" s="24">
        <f>Programa!$G32</f>
        <v>0</v>
      </c>
      <c r="Y14" s="24">
        <f>Programa!$G33</f>
        <v>0</v>
      </c>
      <c r="Z14" s="24">
        <f>Programa!$G34</f>
        <v>0</v>
      </c>
      <c r="AA14" s="24">
        <f>Programa!$G35</f>
        <v>0</v>
      </c>
      <c r="AB14" s="192">
        <f>Programa!$G36</f>
        <v>0</v>
      </c>
      <c r="AC14" s="260">
        <f>Programa!$G37</f>
        <v>0</v>
      </c>
      <c r="AD14" s="24">
        <f>Programa!$G38</f>
        <v>0</v>
      </c>
      <c r="AE14" s="24">
        <f>Programa!$G39</f>
        <v>0</v>
      </c>
      <c r="AF14" s="24">
        <f>Programa!$G40</f>
        <v>0</v>
      </c>
      <c r="AG14" s="24">
        <f>Programa!$G41</f>
        <v>0</v>
      </c>
      <c r="AH14" s="24">
        <f>Programa!$G42</f>
        <v>0</v>
      </c>
      <c r="AI14" s="24">
        <f>Programa!$G43</f>
        <v>0</v>
      </c>
      <c r="AJ14" s="24">
        <f>Programa!$G44</f>
        <v>0</v>
      </c>
      <c r="AK14" s="24">
        <f>Programa!$G45</f>
        <v>0</v>
      </c>
      <c r="AL14" s="24">
        <f>Programa!$G46</f>
        <v>0</v>
      </c>
      <c r="AM14" s="24">
        <f>Programa!$G47</f>
        <v>0</v>
      </c>
      <c r="AN14" s="192">
        <f>Programa!$G48</f>
        <v>0</v>
      </c>
      <c r="AO14" s="260">
        <f>Programa!$G49</f>
        <v>0</v>
      </c>
      <c r="AP14" s="24">
        <f>Programa!$G50</f>
        <v>0</v>
      </c>
      <c r="AQ14" s="24">
        <f>Programa!$G51</f>
        <v>0</v>
      </c>
      <c r="AR14" s="24">
        <f>Programa!$G52</f>
        <v>0</v>
      </c>
      <c r="AS14" s="24">
        <f>Programa!$G53</f>
        <v>0</v>
      </c>
      <c r="AT14" s="24">
        <f>Programa!$G54</f>
        <v>0</v>
      </c>
      <c r="AU14" s="24">
        <f>Programa!$G55</f>
        <v>0</v>
      </c>
      <c r="AV14" s="24">
        <f>Programa!$G56</f>
        <v>0</v>
      </c>
      <c r="AW14" s="24">
        <f>Programa!$G57</f>
        <v>0</v>
      </c>
      <c r="AX14" s="24">
        <f>Programa!$G58</f>
        <v>0</v>
      </c>
      <c r="AY14" s="24">
        <f>Programa!$G59</f>
        <v>0</v>
      </c>
      <c r="AZ14" s="192">
        <f>Programa!$G60</f>
        <v>0</v>
      </c>
      <c r="BA14" s="260">
        <f>Programa!$G61</f>
        <v>0</v>
      </c>
      <c r="BB14" s="24">
        <f>Programa!$G62</f>
        <v>0</v>
      </c>
      <c r="BC14" s="24">
        <f>Programa!$G63</f>
        <v>0</v>
      </c>
      <c r="BD14" s="24">
        <f>Programa!$G64</f>
        <v>0</v>
      </c>
      <c r="BE14" s="24">
        <f>Programa!$G65</f>
        <v>0</v>
      </c>
      <c r="BF14" s="24">
        <f>Programa!$G66</f>
        <v>0</v>
      </c>
      <c r="BG14" s="24">
        <f>Programa!$G67</f>
        <v>0</v>
      </c>
      <c r="BH14" s="24">
        <f>Programa!$G68</f>
        <v>0</v>
      </c>
      <c r="BI14" s="24">
        <f>Programa!$G69</f>
        <v>0</v>
      </c>
      <c r="BJ14" s="24">
        <f>Programa!$G70</f>
        <v>0</v>
      </c>
      <c r="BK14" s="24">
        <f>Programa!$G71</f>
        <v>0</v>
      </c>
      <c r="BL14" s="192">
        <f>Programa!$G72</f>
        <v>0</v>
      </c>
    </row>
    <row r="15" spans="1:64" ht="11.25" customHeight="1" thickBot="1">
      <c r="A15" s="797" t="s">
        <v>84</v>
      </c>
      <c r="B15" s="368" t="s">
        <v>445</v>
      </c>
      <c r="C15" s="520" t="s">
        <v>135</v>
      </c>
      <c r="D15" s="520" t="s">
        <v>112</v>
      </c>
      <c r="E15" s="43" t="str">
        <f>Programa!C13</f>
        <v>Mes1</v>
      </c>
      <c r="F15" s="43" t="str">
        <f>Programa!$C14</f>
        <v>Mes2</v>
      </c>
      <c r="G15" s="43" t="str">
        <f>Programa!$C15</f>
        <v>Mes3</v>
      </c>
      <c r="H15" s="43">
        <f>Programa!$C16</f>
        <v>0</v>
      </c>
      <c r="I15" s="43">
        <f>Programa!$C17</f>
        <v>0</v>
      </c>
      <c r="J15" s="43">
        <f>Programa!$C18</f>
        <v>0</v>
      </c>
      <c r="K15" s="43">
        <f>Programa!$C19</f>
        <v>0</v>
      </c>
      <c r="L15" s="43">
        <f>Programa!$C20</f>
        <v>0</v>
      </c>
      <c r="M15" s="43">
        <f>Programa!$C21</f>
        <v>0</v>
      </c>
      <c r="N15" s="43">
        <f>Programa!$C22</f>
        <v>0</v>
      </c>
      <c r="O15" s="43">
        <f>Programa!$C23</f>
        <v>0</v>
      </c>
      <c r="P15" s="217">
        <f>Programa!$C24</f>
        <v>0</v>
      </c>
      <c r="Q15" s="43">
        <f>Programa!$C25</f>
        <v>0</v>
      </c>
      <c r="R15" s="43">
        <f>Programa!$C26</f>
        <v>0</v>
      </c>
      <c r="S15" s="43">
        <f>Programa!$C27</f>
        <v>0</v>
      </c>
      <c r="T15" s="43">
        <f>Programa!$C28</f>
        <v>0</v>
      </c>
      <c r="U15" s="43">
        <f>Programa!$C29</f>
        <v>0</v>
      </c>
      <c r="V15" s="43">
        <f>Programa!$C30</f>
        <v>0</v>
      </c>
      <c r="W15" s="43">
        <f>Programa!$C31</f>
        <v>0</v>
      </c>
      <c r="X15" s="43">
        <f>Programa!$C32</f>
        <v>0</v>
      </c>
      <c r="Y15" s="43">
        <f>Programa!$C33</f>
        <v>0</v>
      </c>
      <c r="Z15" s="43">
        <f>Programa!$C34</f>
        <v>0</v>
      </c>
      <c r="AA15" s="43">
        <f>Programa!$C35</f>
        <v>0</v>
      </c>
      <c r="AB15" s="217">
        <f>Programa!$C36</f>
        <v>0</v>
      </c>
      <c r="AC15" s="43">
        <f>Programa!$C37</f>
        <v>0</v>
      </c>
      <c r="AD15" s="43">
        <f>Programa!$C38</f>
        <v>0</v>
      </c>
      <c r="AE15" s="43">
        <f>Programa!$C39</f>
        <v>0</v>
      </c>
      <c r="AF15" s="43">
        <f>Programa!$C40</f>
        <v>0</v>
      </c>
      <c r="AG15" s="43">
        <f>Programa!$C41</f>
        <v>0</v>
      </c>
      <c r="AH15" s="43">
        <f>Programa!$C42</f>
        <v>0</v>
      </c>
      <c r="AI15" s="43">
        <f>Programa!$C43</f>
        <v>0</v>
      </c>
      <c r="AJ15" s="43">
        <f>Programa!$C44</f>
        <v>0</v>
      </c>
      <c r="AK15" s="43">
        <f>Programa!$C45</f>
        <v>0</v>
      </c>
      <c r="AL15" s="43">
        <f>Programa!$C46</f>
        <v>0</v>
      </c>
      <c r="AM15" s="43">
        <f>Programa!$C47</f>
        <v>0</v>
      </c>
      <c r="AN15" s="217">
        <f>Programa!$C48</f>
        <v>0</v>
      </c>
      <c r="AO15" s="43">
        <f>Programa!$C49</f>
        <v>0</v>
      </c>
      <c r="AP15" s="43">
        <f>Programa!$C50</f>
        <v>0</v>
      </c>
      <c r="AQ15" s="43">
        <f>Programa!$C51</f>
        <v>0</v>
      </c>
      <c r="AR15" s="43">
        <f>Programa!$C52</f>
        <v>0</v>
      </c>
      <c r="AS15" s="43">
        <f>Programa!$C53</f>
        <v>0</v>
      </c>
      <c r="AT15" s="43">
        <f>Programa!$C54</f>
        <v>0</v>
      </c>
      <c r="AU15" s="43">
        <f>Programa!$C55</f>
        <v>0</v>
      </c>
      <c r="AV15" s="43">
        <f>Programa!$C56</f>
        <v>0</v>
      </c>
      <c r="AW15" s="43">
        <f>Programa!$C57</f>
        <v>0</v>
      </c>
      <c r="AX15" s="43">
        <f>Programa!$C58</f>
        <v>0</v>
      </c>
      <c r="AY15" s="43">
        <f>Programa!$C59</f>
        <v>0</v>
      </c>
      <c r="AZ15" s="217">
        <f>Programa!$C60</f>
        <v>0</v>
      </c>
      <c r="BA15" s="43">
        <f>Programa!$C61</f>
        <v>0</v>
      </c>
      <c r="BB15" s="43">
        <f>Programa!$C62</f>
        <v>0</v>
      </c>
      <c r="BC15" s="43">
        <f>Programa!$C63</f>
        <v>0</v>
      </c>
      <c r="BD15" s="43">
        <f>Programa!$C64</f>
        <v>0</v>
      </c>
      <c r="BE15" s="43">
        <f>Programa!$C65</f>
        <v>0</v>
      </c>
      <c r="BF15" s="43">
        <f>Programa!$C66</f>
        <v>0</v>
      </c>
      <c r="BG15" s="43">
        <f>Programa!$C67</f>
        <v>0</v>
      </c>
      <c r="BH15" s="43">
        <f>Programa!$C68</f>
        <v>0</v>
      </c>
      <c r="BI15" s="43">
        <f>Programa!$C69</f>
        <v>0</v>
      </c>
      <c r="BJ15" s="43">
        <f>Programa!$C70</f>
        <v>0</v>
      </c>
      <c r="BK15" s="43">
        <f>Programa!$C71</f>
        <v>0</v>
      </c>
      <c r="BL15" s="217">
        <f>Programa!$C72</f>
        <v>0</v>
      </c>
    </row>
    <row r="16" spans="1:64" ht="12.75" customHeight="1" thickTop="1">
      <c r="A16" s="894" t="str">
        <f>'a)Plantilla'!B3</f>
        <v>PERSONAL DE OFICINA DE CAMPO</v>
      </c>
      <c r="B16" s="33"/>
      <c r="C16" s="33"/>
      <c r="D16" s="614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64" ht="12.75" hidden="1" customHeight="1">
      <c r="A17" s="249"/>
      <c r="B17" s="4"/>
      <c r="C17" s="4"/>
      <c r="D17" s="27"/>
      <c r="E17" s="38">
        <f>Programa!$B13</f>
        <v>1</v>
      </c>
      <c r="F17" s="38">
        <f>Programa!$B14</f>
        <v>2</v>
      </c>
      <c r="G17" s="38">
        <f>Programa!$B15</f>
        <v>3</v>
      </c>
      <c r="H17" s="38">
        <f>Programa!$B16</f>
        <v>0</v>
      </c>
      <c r="I17" s="38">
        <f>Programa!$B17</f>
        <v>0</v>
      </c>
      <c r="J17" s="38">
        <f>Programa!$B18</f>
        <v>0</v>
      </c>
      <c r="K17" s="38">
        <f>Programa!$B19</f>
        <v>0</v>
      </c>
      <c r="L17" s="38">
        <f>Programa!$B20</f>
        <v>0</v>
      </c>
      <c r="M17" s="38">
        <f>Programa!$B21</f>
        <v>0</v>
      </c>
      <c r="N17" s="38">
        <f>Programa!$B22</f>
        <v>0</v>
      </c>
      <c r="O17" s="38">
        <f>Programa!$B23</f>
        <v>0</v>
      </c>
      <c r="P17" s="38">
        <f>Programa!$B24</f>
        <v>0</v>
      </c>
      <c r="Q17" s="38">
        <f>Programa!$B25</f>
        <v>0</v>
      </c>
      <c r="R17" s="38">
        <f>Programa!$B26</f>
        <v>0</v>
      </c>
      <c r="S17" s="38">
        <f>Programa!$B27</f>
        <v>0</v>
      </c>
      <c r="T17" s="38">
        <f>Programa!$B28</f>
        <v>0</v>
      </c>
      <c r="U17" s="38">
        <f>Programa!$B29</f>
        <v>0</v>
      </c>
      <c r="V17" s="38">
        <f>Programa!$B30</f>
        <v>0</v>
      </c>
      <c r="W17" s="38">
        <f>Programa!$B31</f>
        <v>0</v>
      </c>
      <c r="X17" s="38">
        <f>Programa!$B32</f>
        <v>0</v>
      </c>
      <c r="Y17" s="38">
        <f>Programa!$B33</f>
        <v>0</v>
      </c>
      <c r="Z17" s="38">
        <f>Programa!$B34</f>
        <v>0</v>
      </c>
      <c r="AA17" s="38">
        <f>Programa!$B35</f>
        <v>0</v>
      </c>
      <c r="AB17" s="38">
        <f>Programa!$B36</f>
        <v>0</v>
      </c>
      <c r="AC17" s="38">
        <f>Programa!$B37</f>
        <v>0</v>
      </c>
      <c r="AD17" s="38">
        <f>Programa!$B38</f>
        <v>0</v>
      </c>
      <c r="AE17" s="38">
        <f>Programa!$B39</f>
        <v>0</v>
      </c>
      <c r="AF17" s="38">
        <f>Programa!$B40</f>
        <v>0</v>
      </c>
      <c r="AG17" s="38">
        <f>Programa!$B41</f>
        <v>0</v>
      </c>
      <c r="AH17" s="38">
        <f>Programa!$B42</f>
        <v>0</v>
      </c>
      <c r="AI17" s="38">
        <f>Programa!$B43</f>
        <v>0</v>
      </c>
      <c r="AJ17" s="38">
        <f>Programa!$B44</f>
        <v>0</v>
      </c>
      <c r="AK17" s="38">
        <f>Programa!$B45</f>
        <v>0</v>
      </c>
      <c r="AL17" s="38">
        <f>Programa!$B46</f>
        <v>0</v>
      </c>
      <c r="AM17" s="38">
        <f>Programa!$B47</f>
        <v>0</v>
      </c>
      <c r="AN17" s="38">
        <f>Programa!$B48</f>
        <v>0</v>
      </c>
      <c r="AO17" s="38">
        <f>Programa!$B49</f>
        <v>0</v>
      </c>
      <c r="AP17" s="38">
        <f>Programa!$B50</f>
        <v>0</v>
      </c>
      <c r="AQ17" s="38">
        <f>Programa!$B51</f>
        <v>0</v>
      </c>
      <c r="AR17" s="38">
        <f>Programa!$B52</f>
        <v>0</v>
      </c>
      <c r="AS17" s="38">
        <f>Programa!$B53</f>
        <v>0</v>
      </c>
      <c r="AT17" s="38">
        <f>Programa!$B54</f>
        <v>0</v>
      </c>
      <c r="AU17" s="38">
        <f>Programa!$B55</f>
        <v>0</v>
      </c>
      <c r="AV17" s="38">
        <f>Programa!$B56</f>
        <v>0</v>
      </c>
      <c r="AW17" s="38">
        <f>Programa!$B57</f>
        <v>0</v>
      </c>
      <c r="AX17" s="38">
        <f>Programa!$B58</f>
        <v>0</v>
      </c>
      <c r="AY17" s="38">
        <f>Programa!$B59</f>
        <v>0</v>
      </c>
      <c r="AZ17" s="38">
        <f>Programa!$B60</f>
        <v>0</v>
      </c>
      <c r="BA17" s="38">
        <f>Programa!$B61</f>
        <v>0</v>
      </c>
      <c r="BB17" s="38">
        <f>Programa!$B62</f>
        <v>0</v>
      </c>
      <c r="BC17" s="38">
        <f>Programa!$B63</f>
        <v>0</v>
      </c>
      <c r="BD17" s="38">
        <f>Programa!$B64</f>
        <v>0</v>
      </c>
      <c r="BE17" s="38">
        <f>Programa!$B65</f>
        <v>0</v>
      </c>
      <c r="BF17" s="38">
        <f>Programa!$B66</f>
        <v>0</v>
      </c>
      <c r="BG17" s="38">
        <f>Programa!$B67</f>
        <v>0</v>
      </c>
      <c r="BH17" s="38">
        <f>Programa!$B68</f>
        <v>0</v>
      </c>
      <c r="BI17" s="38">
        <f>Programa!$B69</f>
        <v>0</v>
      </c>
      <c r="BJ17" s="38">
        <f>Programa!$B70</f>
        <v>0</v>
      </c>
      <c r="BK17" s="38">
        <f>Programa!$B71</f>
        <v>0</v>
      </c>
      <c r="BL17" s="38">
        <f>Programa!$B72</f>
        <v>0</v>
      </c>
    </row>
    <row r="18" spans="1:64" ht="12.75" customHeight="1">
      <c r="A18" s="178" t="str">
        <f>+'b)Indirectos Desglosados'!B19</f>
        <v>Personal técnico incluye: Prestaciones</v>
      </c>
      <c r="B18" s="4"/>
      <c r="C18" s="4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</row>
    <row r="19" spans="1:64" ht="8.1" customHeight="1">
      <c r="A19" s="204"/>
      <c r="B19" s="30"/>
      <c r="C19" s="30"/>
      <c r="D19" s="72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9"/>
      <c r="Q19" s="27"/>
      <c r="R19" s="6"/>
      <c r="S19" s="6"/>
      <c r="T19" s="6"/>
      <c r="U19" s="6"/>
      <c r="V19" s="6"/>
      <c r="W19" s="6"/>
      <c r="X19" s="6"/>
      <c r="Y19" s="6"/>
      <c r="Z19" s="6"/>
      <c r="AA19" s="6"/>
      <c r="AB19" s="79"/>
      <c r="AC19" s="27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79"/>
      <c r="AO19" s="27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79"/>
    </row>
    <row r="20" spans="1:64">
      <c r="A20" s="133"/>
      <c r="B20" s="46" t="str">
        <f>IF('a)Plantilla'!C7&gt;0,'a)Plantilla'!B7,"")</f>
        <v>SUPERINTENDENTE</v>
      </c>
      <c r="C20" s="17" t="str">
        <f>IF('a)Plantilla'!C$7&gt;0,IF(TipoProgramaPersonalTecnico=1,"Personas",IF(TipoProgramaPersonalTecnico=2,"Jornal","horas-Hombre")),"")</f>
        <v>horas-Hombre</v>
      </c>
      <c r="D20" s="226">
        <f>ROUND(SUM(E20:BL20),RedondeoPersonalTecnico)</f>
        <v>48</v>
      </c>
      <c r="E20" s="6">
        <f>IF(Programa!D$13&gt;0,IF(TipoProgramaPersonalTecnico=1,ROUND(Programa!F$13*'a)Plantilla'!$C7,RedondeoPersonalTecnico),IF(TipoProgramaPersonalTecnico=2,ROUND(Programa!D$13*'a)Plantilla'!$C7,RedondeoPersonalTecnico),ROUND(Programa!D$13*Hjor*'a)Plantilla'!$C7,RedondeoPersonalTecnico))),0)</f>
        <v>10.24</v>
      </c>
      <c r="F20" s="6">
        <f>IF(Programa!D$14&gt;0,IF(TipoProgramaPersonalTecnico=1,ROUND(Programa!F$14*'a)Plantilla'!$C7,RedondeoPersonalTecnico),IF(TipoProgramaPersonalTecnico=2,ROUND(Programa!D$14*'a)Plantilla'!$C7,RedondeoPersonalTecnico),ROUND(Programa!D$14*Hjor*'a)Plantilla'!$C7,RedondeoPersonalTecnico))),0)</f>
        <v>19.2</v>
      </c>
      <c r="G20" s="6">
        <f>IF(Programa!D$15&gt;0,IF(TipoProgramaPersonalTecnico=1,ROUND(Programa!F$15*'a)Plantilla'!$C7,RedondeoPersonalTecnico),IF(TipoProgramaPersonalTecnico=2,ROUND(Programa!D$15*'a)Plantilla'!$C7,RedondeoPersonalTecnico),ROUND(Programa!D$15*Hjor*'a)Plantilla'!$C7,RedondeoPersonalTecnico))),0)</f>
        <v>18.559999999999999</v>
      </c>
      <c r="H20" s="6">
        <f>IF(Programa!D$16&gt;0,IF(TipoProgramaPersonalTecnico=1,ROUND(Programa!F$16*'a)Plantilla'!$C7,RedondeoPersonalTecnico),IF(TipoProgramaPersonalTecnico=2,ROUND(Programa!D$16*'a)Plantilla'!$C7,RedondeoPersonalTecnico),ROUND(Programa!D$16*Hjor*'a)Plantilla'!$C7,RedondeoPersonalTecnico))),0)</f>
        <v>0</v>
      </c>
      <c r="I20" s="6">
        <f>IF(Programa!D$17&gt;0,IF(TipoProgramaPersonalTecnico=1,ROUND(Programa!F$17*'a)Plantilla'!$C7,RedondeoPersonalTecnico),IF(TipoProgramaPersonalTecnico=2,ROUND(Programa!D$17*'a)Plantilla'!$C7,RedondeoPersonalTecnico),ROUND(Programa!D$17*Hjor*'a)Plantilla'!$C7,RedondeoPersonalTecnico))),0)</f>
        <v>0</v>
      </c>
      <c r="J20" s="6">
        <f>IF(Programa!D$18&gt;0,IF(TipoProgramaPersonalTecnico=1,ROUND(Programa!F$18*'a)Plantilla'!$C7,RedondeoPersonalTecnico),IF(TipoProgramaPersonalTecnico=2,ROUND(Programa!D$18*'a)Plantilla'!$C7,RedondeoPersonalTecnico),ROUND(Programa!D$18*Hjor*'a)Plantilla'!$C7,RedondeoPersonalTecnico))),0)</f>
        <v>0</v>
      </c>
      <c r="K20" s="6">
        <f>IF(Programa!D$19&gt;0,IF(TipoProgramaPersonalTecnico=1,ROUND(Programa!F$19*'a)Plantilla'!$C7,RedondeoPersonalTecnico),IF(TipoProgramaPersonalTecnico=2,ROUND(Programa!D$19*'a)Plantilla'!$C7,RedondeoPersonalTecnico),ROUND(Programa!D$19*Hjor*'a)Plantilla'!$C7,RedondeoPersonalTecnico))),0)</f>
        <v>0</v>
      </c>
      <c r="L20" s="6">
        <f>IF(Programa!D$20&gt;0,IF(TipoProgramaPersonalTecnico=1,ROUND(Programa!F$20*'a)Plantilla'!$C7,RedondeoPersonalTecnico),IF(TipoProgramaPersonalTecnico=2,ROUND(Programa!D$20*'a)Plantilla'!$C7,RedondeoPersonalTecnico),ROUND(Programa!D$20*Hjor*'a)Plantilla'!$C7,RedondeoPersonalTecnico))),0)</f>
        <v>0</v>
      </c>
      <c r="M20" s="6">
        <f>IF(Programa!D$21&gt;0,IF(TipoProgramaPersonalTecnico=1,ROUND(Programa!F$21*'a)Plantilla'!$C7,RedondeoPersonalTecnico),IF(TipoProgramaPersonalTecnico=2,ROUND(Programa!D$21*'a)Plantilla'!$C7,RedondeoPersonalTecnico),ROUND(Programa!D$21*Hjor*'a)Plantilla'!$C7,RedondeoPersonalTecnico))),0)</f>
        <v>0</v>
      </c>
      <c r="N20" s="6">
        <f>IF(Programa!D$22&gt;0,IF(TipoProgramaPersonalTecnico=1,ROUND(Programa!F$22*'a)Plantilla'!$C7,RedondeoPersonalTecnico),IF(TipoProgramaPersonalTecnico=2,ROUND(Programa!D$22*'a)Plantilla'!$C7,RedondeoPersonalTecnico),ROUND(Programa!D$22*Hjor*'a)Plantilla'!$C7,RedondeoPersonalTecnico))),0)</f>
        <v>0</v>
      </c>
      <c r="O20" s="6">
        <f>IF(Programa!D$23&gt;0,IF(TipoProgramaPersonalTecnico=1,ROUND(Programa!F$23*'a)Plantilla'!$C7,RedondeoPersonalTecnico),IF(TipoProgramaPersonalTecnico=2,ROUND(Programa!D$23*'a)Plantilla'!$C7,RedondeoPersonalTecnico),ROUND(Programa!D$23*Hjor*'a)Plantilla'!$C7,RedondeoPersonalTecnico))),0)</f>
        <v>0</v>
      </c>
      <c r="P20" s="78">
        <f>IF(Programa!D$24&gt;0,IF(TipoProgramaPersonalTecnico=1,ROUND(Programa!F$24*'a)Plantilla'!$C7,RedondeoPersonalTecnico),IF(TipoProgramaPersonalTecnico=2,ROUND(Programa!D$24*'a)Plantilla'!$C7,RedondeoPersonalTecnico),ROUND(Programa!D$24*Hjor*'a)Plantilla'!$C7,RedondeoPersonalTecnico))),0)</f>
        <v>0</v>
      </c>
      <c r="Q20" s="27">
        <f>IF(Programa!D$25&gt;0,IF(TipoProgramaPersonalTecnico=1,ROUND(Programa!F$25*'a)Plantilla'!$C7,RedondeoPersonalTecnico),IF(TipoProgramaPersonalTecnico=2,ROUND(Programa!D$25*'a)Plantilla'!$C7,RedondeoPersonalTecnico),ROUND(Programa!D$25*Hjor*'a)Plantilla'!$C7,RedondeoPersonalTecnico))),0)</f>
        <v>0</v>
      </c>
      <c r="R20" s="6">
        <f>IF(Programa!D$26&gt;0,IF(TipoProgramaPersonalTecnico=1,ROUND(Programa!F$26*'a)Plantilla'!$C7,RedondeoPersonalTecnico),IF(TipoProgramaPersonalTecnico=2,ROUND(Programa!D$26*'a)Plantilla'!$C7,RedondeoPersonalTecnico),ROUND(Programa!D$26*Hjor*'a)Plantilla'!$C7,RedondeoPersonalTecnico))),0)</f>
        <v>0</v>
      </c>
      <c r="S20" s="6">
        <f>IF(Programa!D$27&gt;0,IF(TipoProgramaPersonalTecnico=1,ROUND(Programa!F$27*'a)Plantilla'!$C7,RedondeoPersonalTecnico),IF(TipoProgramaPersonalTecnico=2,ROUND(Programa!D$27*'a)Plantilla'!$C7,RedondeoPersonalTecnico),ROUND(Programa!D$27*Hjor*'a)Plantilla'!$C7,RedondeoPersonalTecnico))),0)</f>
        <v>0</v>
      </c>
      <c r="T20" s="6">
        <f>IF(Programa!D$28&gt;0,IF(TipoProgramaPersonalTecnico=1,ROUND(Programa!F$28*'a)Plantilla'!$C7,RedondeoPersonalTecnico),IF(TipoProgramaPersonalTecnico=2,ROUND(Programa!D$28*'a)Plantilla'!$C7,RedondeoPersonalTecnico),ROUND(Programa!D$28*Hjor*'a)Plantilla'!$C7,RedondeoPersonalTecnico))),0)</f>
        <v>0</v>
      </c>
      <c r="U20" s="6">
        <f>IF(Programa!D$29&gt;0,IF(TipoProgramaPersonalTecnico=1,ROUND(Programa!F$29*'a)Plantilla'!$C7,RedondeoPersonalTecnico),IF(TipoProgramaPersonalTecnico=2,ROUND(Programa!D$29*'a)Plantilla'!$C7,RedondeoPersonalTecnico),ROUND(Programa!D$29*Hjor*'a)Plantilla'!$C7,RedondeoPersonalTecnico))),0)</f>
        <v>0</v>
      </c>
      <c r="V20" s="6">
        <f>IF(Programa!D$30&gt;0,IF(TipoProgramaPersonalTecnico=1,ROUND(Programa!F$30*'a)Plantilla'!$C7,RedondeoPersonalTecnico),IF(TipoProgramaPersonalTecnico=2,ROUND(Programa!D$30*'a)Plantilla'!$C7,RedondeoPersonalTecnico),ROUND(Programa!D$30*Hjor*'a)Plantilla'!$C7,RedondeoPersonalTecnico))),0)</f>
        <v>0</v>
      </c>
      <c r="W20" s="6">
        <f>IF(Programa!D$31&gt;0,IF(TipoProgramaPersonalTecnico=1,ROUND(Programa!F$31*'a)Plantilla'!$C7,RedondeoPersonalTecnico),IF(TipoProgramaPersonalTecnico=2,ROUND(Programa!D$31*'a)Plantilla'!$C7,RedondeoPersonalTecnico),ROUND(Programa!D$31*Hjor*'a)Plantilla'!$C7,RedondeoPersonalTecnico))),0)</f>
        <v>0</v>
      </c>
      <c r="X20" s="6">
        <f>IF(Programa!D$32&gt;0,IF(TipoProgramaPersonalTecnico=1,ROUND(Programa!F$32*'a)Plantilla'!$C7,RedondeoPersonalTecnico),IF(TipoProgramaPersonalTecnico=2,ROUND(Programa!D$32*'a)Plantilla'!$C7,RedondeoPersonalTecnico),ROUND(Programa!D$32*Hjor*'a)Plantilla'!$C7,RedondeoPersonalTecnico))),0)</f>
        <v>0</v>
      </c>
      <c r="Y20" s="6">
        <f>IF(Programa!D$33&gt;0,IF(TipoProgramaPersonalTecnico=1,ROUND(Programa!F$33*'a)Plantilla'!$C7,RedondeoPersonalTecnico),IF(TipoProgramaPersonalTecnico=2,ROUND(Programa!D$33*'a)Plantilla'!$C7,RedondeoPersonalTecnico),ROUND(Programa!D$33*Hjor*'a)Plantilla'!$C7,RedondeoPersonalTecnico))),0)</f>
        <v>0</v>
      </c>
      <c r="Z20" s="6">
        <f>IF(Programa!D$34&gt;0,IF(TipoProgramaPersonalTecnico=1,ROUND(Programa!F$34*'a)Plantilla'!$C7,RedondeoPersonalTecnico),IF(TipoProgramaPersonalTecnico=2,ROUND(Programa!D$34*'a)Plantilla'!$C7,RedondeoPersonalTecnico),ROUND(Programa!D$34*Hjor*'a)Plantilla'!$C7,RedondeoPersonalTecnico))),0)</f>
        <v>0</v>
      </c>
      <c r="AA20" s="6">
        <f>IF(Programa!D$35&gt;0,IF(TipoProgramaPersonalTecnico=1,ROUND(Programa!F$35*'a)Plantilla'!$C7,RedondeoPersonalTecnico),IF(TipoProgramaPersonalTecnico=2,ROUND(Programa!D$35*'a)Plantilla'!$C7,RedondeoPersonalTecnico),ROUND(Programa!D$35*Hjor*'a)Plantilla'!$C7,RedondeoPersonalTecnico))),0)</f>
        <v>0</v>
      </c>
      <c r="AB20" s="78">
        <f>IF(Programa!D$36&gt;0,IF(TipoProgramaPersonalTecnico=1,ROUND(Programa!F$36*'a)Plantilla'!$C7,RedondeoPersonalTecnico),IF(TipoProgramaPersonalTecnico=2,ROUND(Programa!D$36*'a)Plantilla'!$C7,RedondeoPersonalTecnico),ROUND(Programa!D$36*Hjor*'a)Plantilla'!$C7,RedondeoPersonalTecnico))),0)</f>
        <v>0</v>
      </c>
      <c r="AC20" s="27">
        <f>IF(Programa!D$37&gt;0,IF(TipoProgramaPersonalTecnico=1,ROUND(Programa!F$37*'a)Plantilla'!$C7,RedondeoPersonalTecnico),IF(TipoProgramaPersonalTecnico=2,ROUND(Programa!D$37*'a)Plantilla'!$C7,RedondeoPersonalTecnico),ROUND(Programa!D$37*Hjor*'a)Plantilla'!$C7,RedondeoPersonalTecnico))),0)</f>
        <v>0</v>
      </c>
      <c r="AD20" s="6">
        <f>IF(Programa!D$38&gt;0,IF(TipoProgramaPersonalTecnico=1,ROUND(Programa!F$38*'a)Plantilla'!$C7,RedondeoPersonalTecnico),IF(TipoProgramaPersonalTecnico=2,ROUND(Programa!D$38*'a)Plantilla'!$C7,RedondeoPersonalTecnico),ROUND(Programa!D$38*Hjor*'a)Plantilla'!$C7,RedondeoPersonalTecnico))),0)</f>
        <v>0</v>
      </c>
      <c r="AE20" s="6">
        <f>IF(Programa!D$39&gt;0,IF(TipoProgramaPersonalTecnico=1,ROUND(Programa!F$39*'a)Plantilla'!$C7,RedondeoPersonalTecnico),IF(TipoProgramaPersonalTecnico=2,ROUND(Programa!D$39*'a)Plantilla'!$C7,RedondeoPersonalTecnico),ROUND(Programa!D$39*Hjor*'a)Plantilla'!$C7,RedondeoPersonalTecnico))),0)</f>
        <v>0</v>
      </c>
      <c r="AF20" s="6">
        <f>IF(Programa!D$40&gt;0,IF(TipoProgramaPersonalTecnico=1,ROUND(Programa!F$40*'a)Plantilla'!$C7,RedondeoPersonalTecnico),IF(TipoProgramaPersonalTecnico=2,ROUND(Programa!D$40*'a)Plantilla'!$C7,RedondeoPersonalTecnico),ROUND(Programa!D$40*Hjor*'a)Plantilla'!$C7,RedondeoPersonalTecnico))),0)</f>
        <v>0</v>
      </c>
      <c r="AG20" s="6">
        <f>IF(Programa!D$41&gt;0,IF(TipoProgramaPersonalTecnico=1,ROUND(Programa!F$41*'a)Plantilla'!$C7,RedondeoPersonalTecnico),IF(TipoProgramaPersonalTecnico=2,ROUND(Programa!D$41*'a)Plantilla'!$C7,RedondeoPersonalTecnico),ROUND(Programa!D$41*Hjor*'a)Plantilla'!$C7,RedondeoPersonalTecnico))),0)</f>
        <v>0</v>
      </c>
      <c r="AH20" s="6">
        <f>IF(Programa!D$42&gt;0,IF(TipoProgramaPersonalTecnico=1,ROUND(Programa!F$42*'a)Plantilla'!$C7,RedondeoPersonalTecnico),IF(TipoProgramaPersonalTecnico=2,ROUND(Programa!D$42*'a)Plantilla'!$C7,RedondeoPersonalTecnico),ROUND(Programa!D$42*Hjor*'a)Plantilla'!$C7,RedondeoPersonalTecnico))),0)</f>
        <v>0</v>
      </c>
      <c r="AI20" s="6">
        <f>IF(Programa!D$43&gt;0,IF(TipoProgramaPersonalTecnico=1,ROUND(Programa!F$43*'a)Plantilla'!$C7,RedondeoPersonalTecnico),IF(TipoProgramaPersonalTecnico=2,ROUND(Programa!D$43*'a)Plantilla'!$C7,RedondeoPersonalTecnico),ROUND(Programa!D$43*Hjor*'a)Plantilla'!$C7,RedondeoPersonalTecnico))),0)</f>
        <v>0</v>
      </c>
      <c r="AJ20" s="6">
        <f>IF(Programa!D$44&gt;0,IF(TipoProgramaPersonalTecnico=1,ROUND(Programa!F$44*'a)Plantilla'!$C7,RedondeoPersonalTecnico),IF(TipoProgramaPersonalTecnico=2,ROUND(Programa!D$44*'a)Plantilla'!$C7,RedondeoPersonalTecnico),ROUND(Programa!D$44*Hjor*'a)Plantilla'!$C7,RedondeoPersonalTecnico))),0)</f>
        <v>0</v>
      </c>
      <c r="AK20" s="6">
        <f>IF(Programa!D$45&gt;0,IF(TipoProgramaPersonalTecnico=1,ROUND(Programa!F$45*'a)Plantilla'!$C7,RedondeoPersonalTecnico),IF(TipoProgramaPersonalTecnico=2,ROUND(Programa!D$45*'a)Plantilla'!$C7,RedondeoPersonalTecnico),ROUND(Programa!D$45*Hjor*'a)Plantilla'!$C7,RedondeoPersonalTecnico))),0)</f>
        <v>0</v>
      </c>
      <c r="AL20" s="6">
        <f>IF(Programa!D$46&gt;0,IF(TipoProgramaPersonalTecnico=1,ROUND(Programa!F$46*'a)Plantilla'!$C7,RedondeoPersonalTecnico),IF(TipoProgramaPersonalTecnico=2,ROUND(Programa!D$46*'a)Plantilla'!$C7,RedondeoPersonalTecnico),ROUND(Programa!D$46*Hjor*'a)Plantilla'!$C7,RedondeoPersonalTecnico))),0)</f>
        <v>0</v>
      </c>
      <c r="AM20" s="6">
        <f>IF(Programa!D$47&gt;0,IF(TipoProgramaPersonalTecnico=1,ROUND(Programa!F$47*'a)Plantilla'!$C7,RedondeoPersonalTecnico),IF(TipoProgramaPersonalTecnico=2,ROUND(Programa!D$47*'a)Plantilla'!$C7,RedondeoPersonalTecnico),ROUND(Programa!D$47*Hjor*'a)Plantilla'!$C7,RedondeoPersonalTecnico))),0)</f>
        <v>0</v>
      </c>
      <c r="AN20" s="78">
        <f>IF(Programa!D$48&gt;0,IF(TipoProgramaPersonalTecnico=1,ROUND(Programa!F$48*'a)Plantilla'!$C7,RedondeoPersonalTecnico),IF(TipoProgramaPersonalTecnico=2,ROUND(Programa!D$48*'a)Plantilla'!$C7,RedondeoPersonalTecnico),ROUND(Programa!D$48*Hjor*'a)Plantilla'!$C7,RedondeoPersonalTecnico))),0)</f>
        <v>0</v>
      </c>
      <c r="AO20" s="27">
        <f>IF(Programa!D$49&gt;0,IF(TipoProgramaPersonalTecnico=1,ROUND(Programa!F$49*'a)Plantilla'!$C7,RedondeoPersonalTecnico),IF(TipoProgramaPersonalTecnico=2,ROUND(Programa!D$49*'a)Plantilla'!$C7,RedondeoPersonalTecnico),ROUND(Programa!D$49*Hjor*'a)Plantilla'!$C7,RedondeoPersonalTecnico))),0)</f>
        <v>0</v>
      </c>
      <c r="AP20" s="6">
        <f>IF(Programa!D$50&gt;0,IF(TipoProgramaPersonalTecnico=1,ROUND(Programa!F$50*'a)Plantilla'!$C7,RedondeoPersonalTecnico),IF(TipoProgramaPersonalTecnico=2,ROUND(Programa!D$50*'a)Plantilla'!$C7,RedondeoPersonalTecnico),ROUND(Programa!D$50*Hjor*'a)Plantilla'!$C7,RedondeoPersonalTecnico))),0)</f>
        <v>0</v>
      </c>
      <c r="AQ20" s="6">
        <f>IF(Programa!D$51&gt;0,IF(TipoProgramaPersonalTecnico=1,ROUND(Programa!F$51*'a)Plantilla'!$C7,RedondeoPersonalTecnico),IF(TipoProgramaPersonalTecnico=2,ROUND(Programa!D$51*'a)Plantilla'!$C7,RedondeoPersonalTecnico),ROUND(Programa!D$51*Hjor*'a)Plantilla'!$C7,RedondeoPersonalTecnico))),0)</f>
        <v>0</v>
      </c>
      <c r="AR20" s="6">
        <f>IF(Programa!D$52&gt;0,IF(TipoProgramaPersonalTecnico=1,ROUND(Programa!F$52*'a)Plantilla'!$C7,RedondeoPersonalTecnico),IF(TipoProgramaPersonalTecnico=2,ROUND(Programa!D$52*'a)Plantilla'!$C7,RedondeoPersonalTecnico),ROUND(Programa!D$52*Hjor*'a)Plantilla'!$C7,RedondeoPersonalTecnico))),0)</f>
        <v>0</v>
      </c>
      <c r="AS20" s="6">
        <f>IF(Programa!D$53&gt;0,IF(TipoProgramaPersonalTecnico=1,ROUND(Programa!F$53*'a)Plantilla'!$C7,RedondeoPersonalTecnico),IF(TipoProgramaPersonalTecnico=2,ROUND(Programa!D$53*'a)Plantilla'!$C7,RedondeoPersonalTecnico),ROUND(Programa!D$53*Hjor*'a)Plantilla'!$C7,RedondeoPersonalTecnico))),0)</f>
        <v>0</v>
      </c>
      <c r="AT20" s="6">
        <f>IF(Programa!D$54&gt;0,IF(TipoProgramaPersonalTecnico=1,ROUND(Programa!F$54*'a)Plantilla'!$C7,RedondeoPersonalTecnico),IF(TipoProgramaPersonalTecnico=2,ROUND(Programa!D$54*'a)Plantilla'!$C7,RedondeoPersonalTecnico),ROUND(Programa!D$54*Hjor*'a)Plantilla'!$C7,RedondeoPersonalTecnico))),0)</f>
        <v>0</v>
      </c>
      <c r="AU20" s="6">
        <f>IF(Programa!D$55&gt;0,IF(TipoProgramaPersonalTecnico=1,ROUND(Programa!F$55*'a)Plantilla'!$C7,RedondeoPersonalTecnico),IF(TipoProgramaPersonalTecnico=2,ROUND(Programa!D$55*'a)Plantilla'!$C7,RedondeoPersonalTecnico),ROUND(Programa!D$55*Hjor*'a)Plantilla'!$C7,RedondeoPersonalTecnico))),0)</f>
        <v>0</v>
      </c>
      <c r="AV20" s="6">
        <f>IF(Programa!D$56&gt;0,IF(TipoProgramaPersonalTecnico=1,ROUND(Programa!F$56*'a)Plantilla'!$C7,RedondeoPersonalTecnico),IF(TipoProgramaPersonalTecnico=2,ROUND(Programa!D$56*'a)Plantilla'!$C7,RedondeoPersonalTecnico),ROUND(Programa!D$56*Hjor*'a)Plantilla'!$C7,RedondeoPersonalTecnico))),0)</f>
        <v>0</v>
      </c>
      <c r="AW20" s="6">
        <f>IF(Programa!D$57&gt;0,IF(TipoProgramaPersonalTecnico=1,ROUND(Programa!F$57*'a)Plantilla'!$C7,RedondeoPersonalTecnico),IF(TipoProgramaPersonalTecnico=2,ROUND(Programa!D$57*'a)Plantilla'!$C7,RedondeoPersonalTecnico),ROUND(Programa!D$57*Hjor*'a)Plantilla'!$C7,RedondeoPersonalTecnico))),0)</f>
        <v>0</v>
      </c>
      <c r="AX20" s="6">
        <f>IF(Programa!D$58&gt;0,IF(TipoProgramaPersonalTecnico=1,ROUND(Programa!F$58*'a)Plantilla'!$C7,RedondeoPersonalTecnico),IF(TipoProgramaPersonalTecnico=2,ROUND(Programa!D$58*'a)Plantilla'!$C7,RedondeoPersonalTecnico),ROUND(Programa!D$58*Hjor*'a)Plantilla'!$C7,RedondeoPersonalTecnico))),0)</f>
        <v>0</v>
      </c>
      <c r="AY20" s="6">
        <f>IF(Programa!D$59&gt;0,IF(TipoProgramaPersonalTecnico=1,ROUND(Programa!F$59*'a)Plantilla'!$C7,RedondeoPersonalTecnico),IF(TipoProgramaPersonalTecnico=2,ROUND(Programa!D$59*'a)Plantilla'!$C7,RedondeoPersonalTecnico),ROUND(Programa!D$59*Hjor*'a)Plantilla'!$C7,RedondeoPersonalTecnico))),0)</f>
        <v>0</v>
      </c>
      <c r="AZ20" s="6">
        <f>IF(Programa!D$60&gt;0,IF(TipoProgramaPersonalTecnico=1,ROUND(Programa!F$60*'a)Plantilla'!$C7,RedondeoPersonalTecnico),IF(TipoProgramaPersonalTecnico=2,ROUND(Programa!D$60*'a)Plantilla'!$C7,RedondeoPersonalTecnico),ROUND(Programa!D$60*Hjor*'a)Plantilla'!$C7,RedondeoPersonalTecnico))),0)</f>
        <v>0</v>
      </c>
      <c r="BA20" s="6">
        <f>IF(Programa!D$61&gt;0,IF(TipoProgramaPersonalTecnico=1,ROUND(Programa!F$61*'a)Plantilla'!$C7,RedondeoPersonalTecnico),IF(TipoProgramaPersonalTecnico=2,ROUND(Programa!D$61*'a)Plantilla'!$C7,RedondeoPersonalTecnico),ROUND(Programa!D$61*Hjor*'a)Plantilla'!$C7,RedondeoPersonalTecnico))),0)</f>
        <v>0</v>
      </c>
      <c r="BB20" s="6">
        <f>IF(Programa!D$62&gt;0,IF(TipoProgramaPersonalTecnico=1,ROUND(Programa!F$62*'a)Plantilla'!$C7,RedondeoPersonalTecnico),IF(TipoProgramaPersonalTecnico=2,ROUND(Programa!D$62*'a)Plantilla'!$C7,RedondeoPersonalTecnico),ROUND(Programa!D$62*Hjor*'a)Plantilla'!$C7,RedondeoPersonalTecnico))),0)</f>
        <v>0</v>
      </c>
      <c r="BC20" s="6">
        <f>IF(Programa!D$63&gt;0,IF(TipoProgramaPersonalTecnico=1,ROUND(Programa!F$63*'a)Plantilla'!$C7,RedondeoPersonalTecnico),IF(TipoProgramaPersonalTecnico=2,ROUND(Programa!D$63*'a)Plantilla'!$C7,RedondeoPersonalTecnico),ROUND(Programa!D$63*Hjor*'a)Plantilla'!$C7,RedondeoPersonalTecnico))),0)</f>
        <v>0</v>
      </c>
      <c r="BD20" s="6">
        <f>IF(Programa!D$64&gt;0,IF(TipoProgramaPersonalTecnico=1,ROUND(Programa!F$64*'a)Plantilla'!$C7,RedondeoPersonalTecnico),IF(TipoProgramaPersonalTecnico=2,ROUND(Programa!D$64*'a)Plantilla'!$C7,RedondeoPersonalTecnico),ROUND(Programa!D$64*Hjor*'a)Plantilla'!$C7,RedondeoPersonalTecnico))),0)</f>
        <v>0</v>
      </c>
      <c r="BE20" s="6">
        <f>IF(Programa!D$65&gt;0,IF(TipoProgramaPersonalTecnico=1,ROUND(Programa!F$65*'a)Plantilla'!$C7,RedondeoPersonalTecnico),IF(TipoProgramaPersonalTecnico=2,ROUND(Programa!D$65*'a)Plantilla'!$C7,RedondeoPersonalTecnico),ROUND(Programa!D$65*Hjor*'a)Plantilla'!$C7,RedondeoPersonalTecnico))),0)</f>
        <v>0</v>
      </c>
      <c r="BF20" s="6">
        <f>IF(Programa!D$66&gt;0,IF(TipoProgramaPersonalTecnico=1,ROUND(Programa!F$66*'a)Plantilla'!$C7,RedondeoPersonalTecnico),IF(TipoProgramaPersonalTecnico=2,ROUND(Programa!D$66*'a)Plantilla'!$C7,RedondeoPersonalTecnico),ROUND(Programa!D$66*Hjor*'a)Plantilla'!$C7,RedondeoPersonalTecnico))),0)</f>
        <v>0</v>
      </c>
      <c r="BG20" s="6">
        <f>IF(Programa!D$67&gt;0,IF(TipoProgramaPersonalTecnico=1,ROUND(Programa!F$67*'a)Plantilla'!$C7,RedondeoPersonalTecnico),IF(TipoProgramaPersonalTecnico=2,ROUND(Programa!D$67*'a)Plantilla'!$C7,RedondeoPersonalTecnico),ROUND(Programa!D$67*Hjor*'a)Plantilla'!$C7,RedondeoPersonalTecnico))),0)</f>
        <v>0</v>
      </c>
      <c r="BH20" s="6">
        <f>IF(Programa!D$68&gt;0,IF(TipoProgramaPersonalTecnico=1,ROUND(Programa!F$68*'a)Plantilla'!$C7,RedondeoPersonalTecnico),IF(TipoProgramaPersonalTecnico=2,ROUND(Programa!D$68*'a)Plantilla'!$C7,RedondeoPersonalTecnico),ROUND(Programa!D$68*Hjor*'a)Plantilla'!$C7,RedondeoPersonalTecnico))),0)</f>
        <v>0</v>
      </c>
      <c r="BI20" s="6">
        <f>IF(Programa!D$69&gt;0,IF(TipoProgramaPersonalTecnico=1,ROUND(Programa!F$69*'a)Plantilla'!$C7,RedondeoPersonalTecnico),IF(TipoProgramaPersonalTecnico=2,ROUND(Programa!D$69*'a)Plantilla'!$C7,RedondeoPersonalTecnico),ROUND(Programa!D$69*Hjor*'a)Plantilla'!$C7,RedondeoPersonalTecnico))),0)</f>
        <v>0</v>
      </c>
      <c r="BJ20" s="6">
        <f>IF(Programa!D$70&gt;0,IF(TipoProgramaPersonalTecnico=1,ROUND(Programa!F$70*'a)Plantilla'!$C7,RedondeoPersonalTecnico),IF(TipoProgramaPersonalTecnico=2,ROUND(Programa!D$70*'a)Plantilla'!$C7,RedondeoPersonalTecnico),ROUND(Programa!D$70*Hjor*'a)Plantilla'!$C7,RedondeoPersonalTecnico))),0)</f>
        <v>0</v>
      </c>
      <c r="BK20" s="6">
        <f>IF(Programa!D$71&gt;0,IF(TipoProgramaPersonalTecnico=1,ROUND(Programa!F$71*'a)Plantilla'!$C7,RedondeoPersonalTecnico),IF(TipoProgramaPersonalTecnico=2,ROUND(Programa!D$71*'a)Plantilla'!$C7,RedondeoPersonalTecnico),ROUND(Programa!D$71*Hjor*'a)Plantilla'!$C7,RedondeoPersonalTecnico))),0)</f>
        <v>0</v>
      </c>
      <c r="BL20" s="78">
        <f>IF(Programa!D$72&gt;0,IF(TipoProgramaPersonalTecnico=1,ROUND(Programa!F$72*'a)Plantilla'!$C7,RedondeoPersonalTecnico),IF(TipoProgramaPersonalTecnico=2,ROUND(Programa!D$72*'a)Plantilla'!$C7,RedondeoPersonalTecnico),ROUND(Programa!D$72*Hjor*'a)Plantilla'!$C7,RedondeoPersonalTecnico))),0)</f>
        <v>0</v>
      </c>
    </row>
    <row r="21" spans="1:64" ht="8.1" customHeight="1">
      <c r="A21" s="133"/>
      <c r="B21" s="46"/>
      <c r="C21" s="31"/>
      <c r="D21" s="22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8"/>
      <c r="Q21" s="27"/>
      <c r="R21" s="6"/>
      <c r="S21" s="6"/>
      <c r="T21" s="6"/>
      <c r="U21" s="6"/>
      <c r="V21" s="6"/>
      <c r="W21" s="6"/>
      <c r="X21" s="6"/>
      <c r="Y21" s="6"/>
      <c r="Z21" s="6"/>
      <c r="AA21" s="6"/>
      <c r="AB21" s="78"/>
      <c r="AC21" s="27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78"/>
      <c r="AO21" s="27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78"/>
    </row>
    <row r="22" spans="1:64" ht="12.75" customHeight="1">
      <c r="A22" s="67"/>
      <c r="B22" s="46" t="str">
        <f>IF('a)Plantilla'!C8&gt;0,'a)Plantilla'!B8,"")</f>
        <v>AUXILIAR SUPERINTENDENTE</v>
      </c>
      <c r="C22" s="17" t="str">
        <f>IF('a)Plantilla'!C$8&gt;0,IF(TipoProgramaPersonalTecnico=1,"Personas",IF(TipoProgramaPersonalTecnico=2,"Jornal","horas-Hombre")),"")</f>
        <v>horas-Hombre</v>
      </c>
      <c r="D22" s="226">
        <f>ROUND(SUM(E22:BL22),RedondeoPersonalTecnico)</f>
        <v>60</v>
      </c>
      <c r="E22" s="6">
        <f>IF(Programa!D$13&gt;0,IF(TipoProgramaPersonalTecnico=1,ROUND(Programa!F$13*'a)Plantilla'!$C8,RedondeoPersonalTecnico),IF(TipoProgramaPersonalTecnico=2,ROUND(Programa!D$13*'a)Plantilla'!$C8,RedondeoPersonalTecnico),ROUND(Programa!D$13*Hjor*'a)Plantilla'!$C8,RedondeoPersonalTecnico))),0)</f>
        <v>12.8</v>
      </c>
      <c r="F22" s="6">
        <f>IF(Programa!D$14&gt;0,IF(TipoProgramaPersonalTecnico=1,ROUND(Programa!F$14*'a)Plantilla'!$C8,RedondeoPersonalTecnico),IF(TipoProgramaPersonalTecnico=2,ROUND(Programa!D$14*'a)Plantilla'!$C8,RedondeoPersonalTecnico),ROUND(Programa!D$14*Hjor*'a)Plantilla'!$C8,RedondeoPersonalTecnico))),0)</f>
        <v>24</v>
      </c>
      <c r="G22" s="6">
        <f>IF(Programa!D$15&gt;0,IF(TipoProgramaPersonalTecnico=1,ROUND(Programa!F$15*'a)Plantilla'!$C8,RedondeoPersonalTecnico),IF(TipoProgramaPersonalTecnico=2,ROUND(Programa!D$15*'a)Plantilla'!$C8,RedondeoPersonalTecnico),ROUND(Programa!D$15*Hjor*'a)Plantilla'!$C8,RedondeoPersonalTecnico))),0)</f>
        <v>23.2</v>
      </c>
      <c r="H22" s="6">
        <f>IF(Programa!D$16&gt;0,IF(TipoProgramaPersonalTecnico=1,ROUND(Programa!F$16*'a)Plantilla'!$C8,RedondeoPersonalTecnico),IF(TipoProgramaPersonalTecnico=2,ROUND(Programa!D$16*'a)Plantilla'!$C8,RedondeoPersonalTecnico),ROUND(Programa!D$16*Hjor*'a)Plantilla'!$C8,RedondeoPersonalTecnico))),0)</f>
        <v>0</v>
      </c>
      <c r="I22" s="6">
        <f>IF(Programa!D$17&gt;0,IF(TipoProgramaPersonalTecnico=1,ROUND(Programa!F$17*'a)Plantilla'!$C8,RedondeoPersonalTecnico),IF(TipoProgramaPersonalTecnico=2,ROUND(Programa!D$17*'a)Plantilla'!$C8,RedondeoPersonalTecnico),ROUND(Programa!D$17*Hjor*'a)Plantilla'!$C8,RedondeoPersonalTecnico))),0)</f>
        <v>0</v>
      </c>
      <c r="J22" s="6">
        <f>IF(Programa!D$18&gt;0,IF(TipoProgramaPersonalTecnico=1,ROUND(Programa!F$18*'a)Plantilla'!$C8,RedondeoPersonalTecnico),IF(TipoProgramaPersonalTecnico=2,ROUND(Programa!D$18*'a)Plantilla'!$C8,RedondeoPersonalTecnico),ROUND(Programa!D$18*Hjor*'a)Plantilla'!$C8,RedondeoPersonalTecnico))),0)</f>
        <v>0</v>
      </c>
      <c r="K22" s="6">
        <f>IF(Programa!D$19&gt;0,IF(TipoProgramaPersonalTecnico=1,ROUND(Programa!F$19*'a)Plantilla'!$C8,RedondeoPersonalTecnico),IF(TipoProgramaPersonalTecnico=2,ROUND(Programa!D$19*'a)Plantilla'!$C8,RedondeoPersonalTecnico),ROUND(Programa!D$19*Hjor*'a)Plantilla'!$C8,RedondeoPersonalTecnico))),0)</f>
        <v>0</v>
      </c>
      <c r="L22" s="6">
        <f>IF(Programa!D$20&gt;0,IF(TipoProgramaPersonalTecnico=1,ROUND(Programa!F$20*'a)Plantilla'!$C8,RedondeoPersonalTecnico),IF(TipoProgramaPersonalTecnico=2,ROUND(Programa!D$20*'a)Plantilla'!$C8,RedondeoPersonalTecnico),ROUND(Programa!D$20*Hjor*'a)Plantilla'!$C8,RedondeoPersonalTecnico))),0)</f>
        <v>0</v>
      </c>
      <c r="M22" s="6">
        <f>IF(Programa!D$21&gt;0,IF(TipoProgramaPersonalTecnico=1,ROUND(Programa!F$21*'a)Plantilla'!$C8,RedondeoPersonalTecnico),IF(TipoProgramaPersonalTecnico=2,ROUND(Programa!D$21*'a)Plantilla'!$C8,RedondeoPersonalTecnico),ROUND(Programa!D$21*Hjor*'a)Plantilla'!$C8,RedondeoPersonalTecnico))),0)</f>
        <v>0</v>
      </c>
      <c r="N22" s="6">
        <f>IF(Programa!D$22&gt;0,IF(TipoProgramaPersonalTecnico=1,ROUND(Programa!F$22*'a)Plantilla'!$C8,RedondeoPersonalTecnico),IF(TipoProgramaPersonalTecnico=2,ROUND(Programa!D$22*'a)Plantilla'!$C8,RedondeoPersonalTecnico),ROUND(Programa!D$22*Hjor*'a)Plantilla'!$C8,RedondeoPersonalTecnico))),0)</f>
        <v>0</v>
      </c>
      <c r="O22" s="6">
        <f>IF(Programa!D$23&gt;0,IF(TipoProgramaPersonalTecnico=1,ROUND(Programa!F$23*'a)Plantilla'!$C8,RedondeoPersonalTecnico),IF(TipoProgramaPersonalTecnico=2,ROUND(Programa!D$23*'a)Plantilla'!$C8,RedondeoPersonalTecnico),ROUND(Programa!D$23*Hjor*'a)Plantilla'!$C8,RedondeoPersonalTecnico))),0)</f>
        <v>0</v>
      </c>
      <c r="P22" s="78">
        <f>IF(Programa!D$24&gt;0,IF(TipoProgramaPersonalTecnico=1,ROUND(Programa!F$24*'a)Plantilla'!$C8,RedondeoPersonalTecnico),IF(TipoProgramaPersonalTecnico=2,ROUND(Programa!D$24*'a)Plantilla'!$C8,RedondeoPersonalTecnico),ROUND(Programa!D$24*Hjor*'a)Plantilla'!$C8,RedondeoPersonalTecnico))),0)</f>
        <v>0</v>
      </c>
      <c r="Q22" s="27">
        <f>IF(Programa!D$25&gt;0,IF(TipoProgramaPersonalTecnico=1,ROUND(Programa!F$25*'a)Plantilla'!$C8,RedondeoPersonalTecnico),IF(TipoProgramaPersonalTecnico=2,ROUND(Programa!D$25*'a)Plantilla'!$C8,RedondeoPersonalTecnico),ROUND(Programa!D$25*Hjor*'a)Plantilla'!$C8,RedondeoPersonalTecnico))),0)</f>
        <v>0</v>
      </c>
      <c r="R22" s="6">
        <f>IF(Programa!D$26&gt;0,IF(TipoProgramaPersonalTecnico=1,ROUND(Programa!F$26*'a)Plantilla'!$C8,RedondeoPersonalTecnico),IF(TipoProgramaPersonalTecnico=2,ROUND(Programa!D$26*'a)Plantilla'!$C8,RedondeoPersonalTecnico),ROUND(Programa!D$26*Hjor*'a)Plantilla'!$C8,RedondeoPersonalTecnico))),0)</f>
        <v>0</v>
      </c>
      <c r="S22" s="6">
        <f>IF(Programa!D$27&gt;0,IF(TipoProgramaPersonalTecnico=1,ROUND(Programa!F$27*'a)Plantilla'!$C8,RedondeoPersonalTecnico),IF(TipoProgramaPersonalTecnico=2,ROUND(Programa!D$27*'a)Plantilla'!$C8,RedondeoPersonalTecnico),ROUND(Programa!D$27*Hjor*'a)Plantilla'!$C8,RedondeoPersonalTecnico))),0)</f>
        <v>0</v>
      </c>
      <c r="T22" s="6">
        <f>IF(Programa!D$28&gt;0,IF(TipoProgramaPersonalTecnico=1,ROUND(Programa!F$28*'a)Plantilla'!$C8,RedondeoPersonalTecnico),IF(TipoProgramaPersonalTecnico=2,ROUND(Programa!D$28*'a)Plantilla'!$C8,RedondeoPersonalTecnico),ROUND(Programa!D$28*Hjor*'a)Plantilla'!$C8,RedondeoPersonalTecnico))),0)</f>
        <v>0</v>
      </c>
      <c r="U22" s="6">
        <f>IF(Programa!D$29&gt;0,IF(TipoProgramaPersonalTecnico=1,ROUND(Programa!F$29*'a)Plantilla'!$C8,RedondeoPersonalTecnico),IF(TipoProgramaPersonalTecnico=2,ROUND(Programa!D$29*'a)Plantilla'!$C8,RedondeoPersonalTecnico),ROUND(Programa!D$29*Hjor*'a)Plantilla'!$C8,RedondeoPersonalTecnico))),0)</f>
        <v>0</v>
      </c>
      <c r="V22" s="6">
        <f>IF(Programa!D$30&gt;0,IF(TipoProgramaPersonalTecnico=1,ROUND(Programa!F$30*'a)Plantilla'!$C8,RedondeoPersonalTecnico),IF(TipoProgramaPersonalTecnico=2,ROUND(Programa!D$30*'a)Plantilla'!$C8,RedondeoPersonalTecnico),ROUND(Programa!D$30*Hjor*'a)Plantilla'!$C8,RedondeoPersonalTecnico))),0)</f>
        <v>0</v>
      </c>
      <c r="W22" s="6">
        <f>IF(Programa!D$31&gt;0,IF(TipoProgramaPersonalTecnico=1,ROUND(Programa!F$31*'a)Plantilla'!$C8,RedondeoPersonalTecnico),IF(TipoProgramaPersonalTecnico=2,ROUND(Programa!D$31*'a)Plantilla'!$C8,RedondeoPersonalTecnico),ROUND(Programa!D$31*Hjor*'a)Plantilla'!$C8,RedondeoPersonalTecnico))),0)</f>
        <v>0</v>
      </c>
      <c r="X22" s="6">
        <f>IF(Programa!D$32&gt;0,IF(TipoProgramaPersonalTecnico=1,ROUND(Programa!F$32*'a)Plantilla'!$C8,RedondeoPersonalTecnico),IF(TipoProgramaPersonalTecnico=2,ROUND(Programa!D$32*'a)Plantilla'!$C8,RedondeoPersonalTecnico),ROUND(Programa!D$32*Hjor*'a)Plantilla'!$C8,RedondeoPersonalTecnico))),0)</f>
        <v>0</v>
      </c>
      <c r="Y22" s="6">
        <f>IF(Programa!D$33&gt;0,IF(TipoProgramaPersonalTecnico=1,ROUND(Programa!F$33*'a)Plantilla'!$C8,RedondeoPersonalTecnico),IF(TipoProgramaPersonalTecnico=2,ROUND(Programa!D$33*'a)Plantilla'!$C8,RedondeoPersonalTecnico),ROUND(Programa!D$33*Hjor*'a)Plantilla'!$C8,RedondeoPersonalTecnico))),0)</f>
        <v>0</v>
      </c>
      <c r="Z22" s="6">
        <f>IF(Programa!D$34&gt;0,IF(TipoProgramaPersonalTecnico=1,ROUND(Programa!F$34*'a)Plantilla'!$C8,RedondeoPersonalTecnico),IF(TipoProgramaPersonalTecnico=2,ROUND(Programa!D$34*'a)Plantilla'!$C8,RedondeoPersonalTecnico),ROUND(Programa!D$34*Hjor*'a)Plantilla'!$C8,RedondeoPersonalTecnico))),0)</f>
        <v>0</v>
      </c>
      <c r="AA22" s="6">
        <f>IF(Programa!D$35&gt;0,IF(TipoProgramaPersonalTecnico=1,ROUND(Programa!F$35*'a)Plantilla'!$C8,RedondeoPersonalTecnico),IF(TipoProgramaPersonalTecnico=2,ROUND(Programa!D$35*'a)Plantilla'!$C8,RedondeoPersonalTecnico),ROUND(Programa!D$35*Hjor*'a)Plantilla'!$C8,RedondeoPersonalTecnico))),0)</f>
        <v>0</v>
      </c>
      <c r="AB22" s="78">
        <f>IF(Programa!D$36&gt;0,IF(TipoProgramaPersonalTecnico=1,ROUND(Programa!F$36*'a)Plantilla'!$C8,RedondeoPersonalTecnico),IF(TipoProgramaPersonalTecnico=2,ROUND(Programa!D$36*'a)Plantilla'!$C8,RedondeoPersonalTecnico),ROUND(Programa!D$36*Hjor*'a)Plantilla'!$C8,RedondeoPersonalTecnico))),0)</f>
        <v>0</v>
      </c>
      <c r="AC22" s="27">
        <f>IF(Programa!D$37&gt;0,IF(TipoProgramaPersonalTecnico=1,ROUND(Programa!F$37*'a)Plantilla'!$C8,RedondeoPersonalTecnico),IF(TipoProgramaPersonalTecnico=2,ROUND(Programa!D$37*'a)Plantilla'!$C8,RedondeoPersonalTecnico),ROUND(Programa!D$37*Hjor*'a)Plantilla'!$C8,RedondeoPersonalTecnico))),0)</f>
        <v>0</v>
      </c>
      <c r="AD22" s="6">
        <f>IF(Programa!D$38&gt;0,IF(TipoProgramaPersonalTecnico=1,ROUND(Programa!F$38*'a)Plantilla'!$C8,RedondeoPersonalTecnico),IF(TipoProgramaPersonalTecnico=2,ROUND(Programa!D$38*'a)Plantilla'!$C8,RedondeoPersonalTecnico),ROUND(Programa!D$38*Hjor*'a)Plantilla'!$C8,RedondeoPersonalTecnico))),0)</f>
        <v>0</v>
      </c>
      <c r="AE22" s="6">
        <f>IF(Programa!D$39&gt;0,IF(TipoProgramaPersonalTecnico=1,ROUND(Programa!F$39*'a)Plantilla'!$C8,RedondeoPersonalTecnico),IF(TipoProgramaPersonalTecnico=2,ROUND(Programa!D$39*'a)Plantilla'!$C8,RedondeoPersonalTecnico),ROUND(Programa!D$39*Hjor*'a)Plantilla'!$C8,RedondeoPersonalTecnico))),0)</f>
        <v>0</v>
      </c>
      <c r="AF22" s="6">
        <f>IF(Programa!D$40&gt;0,IF(TipoProgramaPersonalTecnico=1,ROUND(Programa!F$40*'a)Plantilla'!$C8,RedondeoPersonalTecnico),IF(TipoProgramaPersonalTecnico=2,ROUND(Programa!D$40*'a)Plantilla'!$C8,RedondeoPersonalTecnico),ROUND(Programa!D$40*Hjor*'a)Plantilla'!$C8,RedondeoPersonalTecnico))),0)</f>
        <v>0</v>
      </c>
      <c r="AG22" s="6">
        <f>IF(Programa!D$41&gt;0,IF(TipoProgramaPersonalTecnico=1,ROUND(Programa!F$41*'a)Plantilla'!$C8,RedondeoPersonalTecnico),IF(TipoProgramaPersonalTecnico=2,ROUND(Programa!D$41*'a)Plantilla'!$C8,RedondeoPersonalTecnico),ROUND(Programa!D$41*Hjor*'a)Plantilla'!$C8,RedondeoPersonalTecnico))),0)</f>
        <v>0</v>
      </c>
      <c r="AH22" s="6">
        <f>IF(Programa!D$42&gt;0,IF(TipoProgramaPersonalTecnico=1,ROUND(Programa!F$42*'a)Plantilla'!$C8,RedondeoPersonalTecnico),IF(TipoProgramaPersonalTecnico=2,ROUND(Programa!D$42*'a)Plantilla'!$C8,RedondeoPersonalTecnico),ROUND(Programa!D$42*Hjor*'a)Plantilla'!$C8,RedondeoPersonalTecnico))),0)</f>
        <v>0</v>
      </c>
      <c r="AI22" s="6">
        <f>IF(Programa!D$43&gt;0,IF(TipoProgramaPersonalTecnico=1,ROUND(Programa!F$43*'a)Plantilla'!$C8,RedondeoPersonalTecnico),IF(TipoProgramaPersonalTecnico=2,ROUND(Programa!D$43*'a)Plantilla'!$C8,RedondeoPersonalTecnico),ROUND(Programa!D$43*Hjor*'a)Plantilla'!$C8,RedondeoPersonalTecnico))),0)</f>
        <v>0</v>
      </c>
      <c r="AJ22" s="6">
        <f>IF(Programa!D$44&gt;0,IF(TipoProgramaPersonalTecnico=1,ROUND(Programa!F$44*'a)Plantilla'!$C8,RedondeoPersonalTecnico),IF(TipoProgramaPersonalTecnico=2,ROUND(Programa!D$44*'a)Plantilla'!$C8,RedondeoPersonalTecnico),ROUND(Programa!D$44*Hjor*'a)Plantilla'!$C8,RedondeoPersonalTecnico))),0)</f>
        <v>0</v>
      </c>
      <c r="AK22" s="6">
        <f>IF(Programa!D$45&gt;0,IF(TipoProgramaPersonalTecnico=1,ROUND(Programa!F$45*'a)Plantilla'!$C8,RedondeoPersonalTecnico),IF(TipoProgramaPersonalTecnico=2,ROUND(Programa!D$45*'a)Plantilla'!$C8,RedondeoPersonalTecnico),ROUND(Programa!D$45*Hjor*'a)Plantilla'!$C8,RedondeoPersonalTecnico))),0)</f>
        <v>0</v>
      </c>
      <c r="AL22" s="6">
        <f>IF(Programa!D$46&gt;0,IF(TipoProgramaPersonalTecnico=1,ROUND(Programa!F$46*'a)Plantilla'!$C8,RedondeoPersonalTecnico),IF(TipoProgramaPersonalTecnico=2,ROUND(Programa!D$46*'a)Plantilla'!$C8,RedondeoPersonalTecnico),ROUND(Programa!D$46*Hjor*'a)Plantilla'!$C8,RedondeoPersonalTecnico))),0)</f>
        <v>0</v>
      </c>
      <c r="AM22" s="6">
        <f>IF(Programa!D$47&gt;0,IF(TipoProgramaPersonalTecnico=1,ROUND(Programa!F$47*'a)Plantilla'!$C8,RedondeoPersonalTecnico),IF(TipoProgramaPersonalTecnico=2,ROUND(Programa!D$47*'a)Plantilla'!$C8,RedondeoPersonalTecnico),ROUND(Programa!D$47*Hjor*'a)Plantilla'!$C8,RedondeoPersonalTecnico))),0)</f>
        <v>0</v>
      </c>
      <c r="AN22" s="78">
        <f>IF(Programa!D$48&gt;0,IF(TipoProgramaPersonalTecnico=1,ROUND(Programa!F$48*'a)Plantilla'!$C8,RedondeoPersonalTecnico),IF(TipoProgramaPersonalTecnico=2,ROUND(Programa!D$48*'a)Plantilla'!$C8,RedondeoPersonalTecnico),ROUND(Programa!D$48*Hjor*'a)Plantilla'!$C8,RedondeoPersonalTecnico))),0)</f>
        <v>0</v>
      </c>
      <c r="AO22" s="27">
        <f>IF(Programa!D$49&gt;0,IF(TipoProgramaPersonalTecnico=1,ROUND(Programa!F$49*'a)Plantilla'!$C8,RedondeoPersonalTecnico),IF(TipoProgramaPersonalTecnico=2,ROUND(Programa!D$49*'a)Plantilla'!$C8,RedondeoPersonalTecnico),ROUND(Programa!D$49*Hjor*'a)Plantilla'!$C8,RedondeoPersonalTecnico))),0)</f>
        <v>0</v>
      </c>
      <c r="AP22" s="6">
        <f>IF(Programa!D$50&gt;0,IF(TipoProgramaPersonalTecnico=1,ROUND(Programa!F$50*'a)Plantilla'!$C8,RedondeoPersonalTecnico),IF(TipoProgramaPersonalTecnico=2,ROUND(Programa!D$50*'a)Plantilla'!$C8,RedondeoPersonalTecnico),ROUND(Programa!D$50*Hjor*'a)Plantilla'!$C8,RedondeoPersonalTecnico))),0)</f>
        <v>0</v>
      </c>
      <c r="AQ22" s="6">
        <f>IF(Programa!D$51&gt;0,IF(TipoProgramaPersonalTecnico=1,ROUND(Programa!F$51*'a)Plantilla'!$C8,RedondeoPersonalTecnico),IF(TipoProgramaPersonalTecnico=2,ROUND(Programa!D$51*'a)Plantilla'!$C8,RedondeoPersonalTecnico),ROUND(Programa!D$51*Hjor*'a)Plantilla'!$C8,RedondeoPersonalTecnico))),0)</f>
        <v>0</v>
      </c>
      <c r="AR22" s="6">
        <f>IF(Programa!D$52&gt;0,IF(TipoProgramaPersonalTecnico=1,ROUND(Programa!F$52*'a)Plantilla'!$C8,RedondeoPersonalTecnico),IF(TipoProgramaPersonalTecnico=2,ROUND(Programa!D$52*'a)Plantilla'!$C8,RedondeoPersonalTecnico),ROUND(Programa!D$52*Hjor*'a)Plantilla'!$C8,RedondeoPersonalTecnico))),0)</f>
        <v>0</v>
      </c>
      <c r="AS22" s="6">
        <f>IF(Programa!D$53&gt;0,IF(TipoProgramaPersonalTecnico=1,ROUND(Programa!F$53*'a)Plantilla'!$C8,RedondeoPersonalTecnico),IF(TipoProgramaPersonalTecnico=2,ROUND(Programa!D$53*'a)Plantilla'!$C8,RedondeoPersonalTecnico),ROUND(Programa!D$53*Hjor*'a)Plantilla'!$C8,RedondeoPersonalTecnico))),0)</f>
        <v>0</v>
      </c>
      <c r="AT22" s="6">
        <f>IF(Programa!D$54&gt;0,IF(TipoProgramaPersonalTecnico=1,ROUND(Programa!F$54*'a)Plantilla'!$C8,RedondeoPersonalTecnico),IF(TipoProgramaPersonalTecnico=2,ROUND(Programa!D$54*'a)Plantilla'!$C8,RedondeoPersonalTecnico),ROUND(Programa!D$54*Hjor*'a)Plantilla'!$C8,RedondeoPersonalTecnico))),0)</f>
        <v>0</v>
      </c>
      <c r="AU22" s="6">
        <f>IF(Programa!D$55&gt;0,IF(TipoProgramaPersonalTecnico=1,ROUND(Programa!F$55*'a)Plantilla'!$C8,RedondeoPersonalTecnico),IF(TipoProgramaPersonalTecnico=2,ROUND(Programa!D$55*'a)Plantilla'!$C8,RedondeoPersonalTecnico),ROUND(Programa!D$55*Hjor*'a)Plantilla'!$C8,RedondeoPersonalTecnico))),0)</f>
        <v>0</v>
      </c>
      <c r="AV22" s="6">
        <f>IF(Programa!D$56&gt;0,IF(TipoProgramaPersonalTecnico=1,ROUND(Programa!F$56*'a)Plantilla'!$C8,RedondeoPersonalTecnico),IF(TipoProgramaPersonalTecnico=2,ROUND(Programa!D$56*'a)Plantilla'!$C8,RedondeoPersonalTecnico),ROUND(Programa!D$56*Hjor*'a)Plantilla'!$C8,RedondeoPersonalTecnico))),0)</f>
        <v>0</v>
      </c>
      <c r="AW22" s="6">
        <f>IF(Programa!D$57&gt;0,IF(TipoProgramaPersonalTecnico=1,ROUND(Programa!F$57*'a)Plantilla'!$C8,RedondeoPersonalTecnico),IF(TipoProgramaPersonalTecnico=2,ROUND(Programa!D$57*'a)Plantilla'!$C8,RedondeoPersonalTecnico),ROUND(Programa!D$57*Hjor*'a)Plantilla'!$C8,RedondeoPersonalTecnico))),0)</f>
        <v>0</v>
      </c>
      <c r="AX22" s="6">
        <f>IF(Programa!D$58&gt;0,IF(TipoProgramaPersonalTecnico=1,ROUND(Programa!F$58*'a)Plantilla'!$C8,RedondeoPersonalTecnico),IF(TipoProgramaPersonalTecnico=2,ROUND(Programa!D$58*'a)Plantilla'!$C8,RedondeoPersonalTecnico),ROUND(Programa!D$58*Hjor*'a)Plantilla'!$C8,RedondeoPersonalTecnico))),0)</f>
        <v>0</v>
      </c>
      <c r="AY22" s="6">
        <f>IF(Programa!D$59&gt;0,IF(TipoProgramaPersonalTecnico=1,ROUND(Programa!F$59*'a)Plantilla'!$C8,RedondeoPersonalTecnico),IF(TipoProgramaPersonalTecnico=2,ROUND(Programa!D$59*'a)Plantilla'!$C8,RedondeoPersonalTecnico),ROUND(Programa!D$59*Hjor*'a)Plantilla'!$C8,RedondeoPersonalTecnico))),0)</f>
        <v>0</v>
      </c>
      <c r="AZ22" s="6">
        <f>IF(Programa!D$60&gt;0,IF(TipoProgramaPersonalTecnico=1,ROUND(Programa!F$60*'a)Plantilla'!$C8,RedondeoPersonalTecnico),IF(TipoProgramaPersonalTecnico=2,ROUND(Programa!D$60*'a)Plantilla'!$C8,RedondeoPersonalTecnico),ROUND(Programa!D$60*Hjor*'a)Plantilla'!$C8,RedondeoPersonalTecnico))),0)</f>
        <v>0</v>
      </c>
      <c r="BA22" s="6">
        <f>IF(Programa!D$61&gt;0,IF(TipoProgramaPersonalTecnico=1,ROUND(Programa!F$61*'a)Plantilla'!$C8,RedondeoPersonalTecnico),IF(TipoProgramaPersonalTecnico=2,ROUND(Programa!D$61*'a)Plantilla'!$C8,RedondeoPersonalTecnico),ROUND(Programa!D$61*Hjor*'a)Plantilla'!$C8,RedondeoPersonalTecnico))),0)</f>
        <v>0</v>
      </c>
      <c r="BB22" s="6">
        <f>IF(Programa!D$62&gt;0,IF(TipoProgramaPersonalTecnico=1,ROUND(Programa!F$62*'a)Plantilla'!$C8,RedondeoPersonalTecnico),IF(TipoProgramaPersonalTecnico=2,ROUND(Programa!D$62*'a)Plantilla'!$C8,RedondeoPersonalTecnico),ROUND(Programa!D$62*Hjor*'a)Plantilla'!$C8,RedondeoPersonalTecnico))),0)</f>
        <v>0</v>
      </c>
      <c r="BC22" s="6">
        <f>IF(Programa!D$63&gt;0,IF(TipoProgramaPersonalTecnico=1,ROUND(Programa!F$63*'a)Plantilla'!$C8,RedondeoPersonalTecnico),IF(TipoProgramaPersonalTecnico=2,ROUND(Programa!D$63*'a)Plantilla'!$C8,RedondeoPersonalTecnico),ROUND(Programa!D$63*Hjor*'a)Plantilla'!$C8,RedondeoPersonalTecnico))),0)</f>
        <v>0</v>
      </c>
      <c r="BD22" s="6">
        <f>IF(Programa!D$64&gt;0,IF(TipoProgramaPersonalTecnico=1,ROUND(Programa!F$64*'a)Plantilla'!$C8,RedondeoPersonalTecnico),IF(TipoProgramaPersonalTecnico=2,ROUND(Programa!D$64*'a)Plantilla'!$C8,RedondeoPersonalTecnico),ROUND(Programa!D$64*Hjor*'a)Plantilla'!$C8,RedondeoPersonalTecnico))),0)</f>
        <v>0</v>
      </c>
      <c r="BE22" s="6">
        <f>IF(Programa!D$65&gt;0,IF(TipoProgramaPersonalTecnico=1,ROUND(Programa!F$65*'a)Plantilla'!$C8,RedondeoPersonalTecnico),IF(TipoProgramaPersonalTecnico=2,ROUND(Programa!D$65*'a)Plantilla'!$C8,RedondeoPersonalTecnico),ROUND(Programa!D$65*Hjor*'a)Plantilla'!$C8,RedondeoPersonalTecnico))),0)</f>
        <v>0</v>
      </c>
      <c r="BF22" s="6">
        <f>IF(Programa!D$66&gt;0,IF(TipoProgramaPersonalTecnico=1,ROUND(Programa!F$66*'a)Plantilla'!$C8,RedondeoPersonalTecnico),IF(TipoProgramaPersonalTecnico=2,ROUND(Programa!D$66*'a)Plantilla'!$C8,RedondeoPersonalTecnico),ROUND(Programa!D$66*Hjor*'a)Plantilla'!$C8,RedondeoPersonalTecnico))),0)</f>
        <v>0</v>
      </c>
      <c r="BG22" s="6">
        <f>IF(Programa!D$67&gt;0,IF(TipoProgramaPersonalTecnico=1,ROUND(Programa!F$67*'a)Plantilla'!$C8,RedondeoPersonalTecnico),IF(TipoProgramaPersonalTecnico=2,ROUND(Programa!D$67*'a)Plantilla'!$C8,RedondeoPersonalTecnico),ROUND(Programa!D$67*Hjor*'a)Plantilla'!$C8,RedondeoPersonalTecnico))),0)</f>
        <v>0</v>
      </c>
      <c r="BH22" s="6">
        <f>IF(Programa!D$68&gt;0,IF(TipoProgramaPersonalTecnico=1,ROUND(Programa!F$68*'a)Plantilla'!$C8,RedondeoPersonalTecnico),IF(TipoProgramaPersonalTecnico=2,ROUND(Programa!D$68*'a)Plantilla'!$C8,RedondeoPersonalTecnico),ROUND(Programa!D$68*Hjor*'a)Plantilla'!$C8,RedondeoPersonalTecnico))),0)</f>
        <v>0</v>
      </c>
      <c r="BI22" s="6">
        <f>IF(Programa!D$69&gt;0,IF(TipoProgramaPersonalTecnico=1,ROUND(Programa!F$69*'a)Plantilla'!$C8,RedondeoPersonalTecnico),IF(TipoProgramaPersonalTecnico=2,ROUND(Programa!D$69*'a)Plantilla'!$C8,RedondeoPersonalTecnico),ROUND(Programa!D$69*Hjor*'a)Plantilla'!$C8,RedondeoPersonalTecnico))),0)</f>
        <v>0</v>
      </c>
      <c r="BJ22" s="6">
        <f>IF(Programa!D$70&gt;0,IF(TipoProgramaPersonalTecnico=1,ROUND(Programa!F$70*'a)Plantilla'!$C8,RedondeoPersonalTecnico),IF(TipoProgramaPersonalTecnico=2,ROUND(Programa!D$70*'a)Plantilla'!$C8,RedondeoPersonalTecnico),ROUND(Programa!D$70*Hjor*'a)Plantilla'!$C8,RedondeoPersonalTecnico))),0)</f>
        <v>0</v>
      </c>
      <c r="BK22" s="6">
        <f>IF(Programa!D$71&gt;0,IF(TipoProgramaPersonalTecnico=1,ROUND(Programa!F$71*'a)Plantilla'!$C8,RedondeoPersonalTecnico),IF(TipoProgramaPersonalTecnico=2,ROUND(Programa!D$71*'a)Plantilla'!$C8,RedondeoPersonalTecnico),ROUND(Programa!D$71*Hjor*'a)Plantilla'!$C8,RedondeoPersonalTecnico))),0)</f>
        <v>0</v>
      </c>
      <c r="BL22" s="78">
        <f>IF(Programa!D$72&gt;0,IF(TipoProgramaPersonalTecnico=1,ROUND(Programa!F$72*'a)Plantilla'!$C8,RedondeoPersonalTecnico),IF(TipoProgramaPersonalTecnico=2,ROUND(Programa!D$72*'a)Plantilla'!$C8,RedondeoPersonalTecnico),ROUND(Programa!D$72*Hjor*'a)Plantilla'!$C8,RedondeoPersonalTecnico))),0)</f>
        <v>0</v>
      </c>
    </row>
    <row r="23" spans="1:64" ht="8.1" customHeight="1">
      <c r="A23" s="67"/>
      <c r="B23" s="46"/>
      <c r="C23" s="31"/>
      <c r="D23" s="22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8"/>
      <c r="Q23" s="27"/>
      <c r="R23" s="6"/>
      <c r="S23" s="6"/>
      <c r="T23" s="6"/>
      <c r="U23" s="6"/>
      <c r="V23" s="6"/>
      <c r="W23" s="6"/>
      <c r="X23" s="6"/>
      <c r="Y23" s="6"/>
      <c r="Z23" s="6"/>
      <c r="AA23" s="6"/>
      <c r="AB23" s="78"/>
      <c r="AC23" s="27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78"/>
      <c r="AO23" s="27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78"/>
    </row>
    <row r="24" spans="1:64" ht="12.75" customHeight="1">
      <c r="A24" s="67"/>
      <c r="B24" s="46" t="str">
        <f>IF('a)Plantilla'!C9&gt;0,'a)Plantilla'!B9,"")</f>
        <v/>
      </c>
      <c r="C24" s="17" t="str">
        <f>IF('a)Plantilla'!C$9&gt;0,IF(TipoProgramaPersonalTecnico=1,"Personas",IF(TipoProgramaPersonalTecnico=2,"Jornal","horas-Hombre")),"")</f>
        <v/>
      </c>
      <c r="D24" s="226">
        <f>ROUND(SUM(E24:BL24),RedondeoPersonalTecnico)</f>
        <v>0</v>
      </c>
      <c r="E24" s="6">
        <f>IF(Programa!D$13&gt;0,IF(TipoProgramaPersonalTecnico=1,ROUND(Programa!F$13*'a)Plantilla'!$C9,RedondeoPersonalTecnico),IF(TipoProgramaPersonalTecnico=2,ROUND(Programa!D$13*'a)Plantilla'!$C9,RedondeoPersonalTecnico),ROUND(Programa!D$13*Hjor*'a)Plantilla'!$C9,RedondeoPersonalTecnico))),0)</f>
        <v>0</v>
      </c>
      <c r="F24" s="6">
        <f>IF(Programa!D$14&gt;0,IF(TipoProgramaPersonalTecnico=1,ROUND(Programa!F$14*'a)Plantilla'!$C9,RedondeoPersonalTecnico),IF(TipoProgramaPersonalTecnico=2,ROUND(Programa!D$14*'a)Plantilla'!$C9,RedondeoPersonalTecnico),ROUND(Programa!D$14*Hjor*'a)Plantilla'!$C9,RedondeoPersonalTecnico))),0)</f>
        <v>0</v>
      </c>
      <c r="G24" s="6">
        <f>IF(Programa!D$15&gt;0,IF(TipoProgramaPersonalTecnico=1,ROUND(Programa!F$15*'a)Plantilla'!$C9,RedondeoPersonalTecnico),IF(TipoProgramaPersonalTecnico=2,ROUND(Programa!D$15*'a)Plantilla'!$C9,RedondeoPersonalTecnico),ROUND(Programa!D$15*Hjor*'a)Plantilla'!$C9,RedondeoPersonalTecnico))),0)</f>
        <v>0</v>
      </c>
      <c r="H24" s="6">
        <f>IF(Programa!D$16&gt;0,IF(TipoProgramaPersonalTecnico=1,ROUND(Programa!F$16*'a)Plantilla'!$C9,RedondeoPersonalTecnico),IF(TipoProgramaPersonalTecnico=2,ROUND(Programa!D$16*'a)Plantilla'!$C9,RedondeoPersonalTecnico),ROUND(Programa!D$16*Hjor*'a)Plantilla'!$C9,RedondeoPersonalTecnico))),0)</f>
        <v>0</v>
      </c>
      <c r="I24" s="6">
        <f>IF(Programa!D$17&gt;0,IF(TipoProgramaPersonalTecnico=1,ROUND(Programa!F$17*'a)Plantilla'!$C9,RedondeoPersonalTecnico),IF(TipoProgramaPersonalTecnico=2,ROUND(Programa!D$17*'a)Plantilla'!$C9,RedondeoPersonalTecnico),ROUND(Programa!D$17*Hjor*'a)Plantilla'!$C9,RedondeoPersonalTecnico))),0)</f>
        <v>0</v>
      </c>
      <c r="J24" s="6">
        <f>IF(Programa!D$18&gt;0,IF(TipoProgramaPersonalTecnico=1,ROUND(Programa!F$18*'a)Plantilla'!$C9,RedondeoPersonalTecnico),IF(TipoProgramaPersonalTecnico=2,ROUND(Programa!D$18*'a)Plantilla'!$C9,RedondeoPersonalTecnico),ROUND(Programa!D$18*Hjor*'a)Plantilla'!$C9,RedondeoPersonalTecnico))),0)</f>
        <v>0</v>
      </c>
      <c r="K24" s="6">
        <f>IF(Programa!D$19&gt;0,IF(TipoProgramaPersonalTecnico=1,ROUND(Programa!F$19*'a)Plantilla'!$C9,RedondeoPersonalTecnico),IF(TipoProgramaPersonalTecnico=2,ROUND(Programa!D$19*'a)Plantilla'!$C9,RedondeoPersonalTecnico),ROUND(Programa!D$19*Hjor*'a)Plantilla'!$C9,RedondeoPersonalTecnico))),0)</f>
        <v>0</v>
      </c>
      <c r="L24" s="6">
        <f>IF(Programa!D$20&gt;0,IF(TipoProgramaPersonalTecnico=1,ROUND(Programa!F$20*'a)Plantilla'!$C9,RedondeoPersonalTecnico),IF(TipoProgramaPersonalTecnico=2,ROUND(Programa!D$20*'a)Plantilla'!$C9,RedondeoPersonalTecnico),ROUND(Programa!D$20*Hjor*'a)Plantilla'!$C9,RedondeoPersonalTecnico))),0)</f>
        <v>0</v>
      </c>
      <c r="M24" s="6">
        <f>IF(Programa!D$21&gt;0,IF(TipoProgramaPersonalTecnico=1,ROUND(Programa!F$21*'a)Plantilla'!$C9,RedondeoPersonalTecnico),IF(TipoProgramaPersonalTecnico=2,ROUND(Programa!D$21*'a)Plantilla'!$C9,RedondeoPersonalTecnico),ROUND(Programa!D$21*Hjor*'a)Plantilla'!$C9,RedondeoPersonalTecnico))),0)</f>
        <v>0</v>
      </c>
      <c r="N24" s="6">
        <f>IF(Programa!D$22&gt;0,IF(TipoProgramaPersonalTecnico=1,ROUND(Programa!F$22*'a)Plantilla'!$C9,RedondeoPersonalTecnico),IF(TipoProgramaPersonalTecnico=2,ROUND(Programa!D$22*'a)Plantilla'!$C9,RedondeoPersonalTecnico),ROUND(Programa!D$22*Hjor*'a)Plantilla'!$C9,RedondeoPersonalTecnico))),0)</f>
        <v>0</v>
      </c>
      <c r="O24" s="6">
        <f>IF(Programa!D$23&gt;0,IF(TipoProgramaPersonalTecnico=1,ROUND(Programa!F$23*'a)Plantilla'!$C9,RedondeoPersonalTecnico),IF(TipoProgramaPersonalTecnico=2,ROUND(Programa!D$23*'a)Plantilla'!$C9,RedondeoPersonalTecnico),ROUND(Programa!D$23*Hjor*'a)Plantilla'!$C9,RedondeoPersonalTecnico))),0)</f>
        <v>0</v>
      </c>
      <c r="P24" s="78">
        <f>IF(Programa!D$24&gt;0,IF(TipoProgramaPersonalTecnico=1,ROUND(Programa!F$24*'a)Plantilla'!$C9,RedondeoPersonalTecnico),IF(TipoProgramaPersonalTecnico=2,ROUND(Programa!D$24*'a)Plantilla'!$C9,RedondeoPersonalTecnico),ROUND(Programa!D$24*Hjor*'a)Plantilla'!$C9,RedondeoPersonalTecnico))),0)</f>
        <v>0</v>
      </c>
      <c r="Q24" s="27">
        <f>IF(Programa!D$25&gt;0,IF(TipoProgramaPersonalTecnico=1,ROUND(Programa!F$25*'a)Plantilla'!$C9,RedondeoPersonalTecnico),IF(TipoProgramaPersonalTecnico=2,ROUND(Programa!D$25*'a)Plantilla'!$C9,RedondeoPersonalTecnico),ROUND(Programa!D$25*Hjor*'a)Plantilla'!$C9,RedondeoPersonalTecnico))),0)</f>
        <v>0</v>
      </c>
      <c r="R24" s="6">
        <f>IF(Programa!D$26&gt;0,IF(TipoProgramaPersonalTecnico=1,ROUND(Programa!F$26*'a)Plantilla'!$C9,RedondeoPersonalTecnico),IF(TipoProgramaPersonalTecnico=2,ROUND(Programa!D$26*'a)Plantilla'!$C9,RedondeoPersonalTecnico),ROUND(Programa!D$26*Hjor*'a)Plantilla'!$C9,RedondeoPersonalTecnico))),0)</f>
        <v>0</v>
      </c>
      <c r="S24" s="6">
        <f>IF(Programa!D$27&gt;0,IF(TipoProgramaPersonalTecnico=1,ROUND(Programa!F$27*'a)Plantilla'!$C9,RedondeoPersonalTecnico),IF(TipoProgramaPersonalTecnico=2,ROUND(Programa!D$27*'a)Plantilla'!$C9,RedondeoPersonalTecnico),ROUND(Programa!D$27*Hjor*'a)Plantilla'!$C9,RedondeoPersonalTecnico))),0)</f>
        <v>0</v>
      </c>
      <c r="T24" s="6">
        <f>IF(Programa!D$28&gt;0,IF(TipoProgramaPersonalTecnico=1,ROUND(Programa!F$28*'a)Plantilla'!$C9,RedondeoPersonalTecnico),IF(TipoProgramaPersonalTecnico=2,ROUND(Programa!D$28*'a)Plantilla'!$C9,RedondeoPersonalTecnico),ROUND(Programa!D$28*Hjor*'a)Plantilla'!$C9,RedondeoPersonalTecnico))),0)</f>
        <v>0</v>
      </c>
      <c r="U24" s="6">
        <f>IF(Programa!D$29&gt;0,IF(TipoProgramaPersonalTecnico=1,ROUND(Programa!F$29*'a)Plantilla'!$C9,RedondeoPersonalTecnico),IF(TipoProgramaPersonalTecnico=2,ROUND(Programa!D$29*'a)Plantilla'!$C9,RedondeoPersonalTecnico),ROUND(Programa!D$29*Hjor*'a)Plantilla'!$C9,RedondeoPersonalTecnico))),0)</f>
        <v>0</v>
      </c>
      <c r="V24" s="6">
        <f>IF(Programa!D$30&gt;0,IF(TipoProgramaPersonalTecnico=1,ROUND(Programa!F$30*'a)Plantilla'!$C9,RedondeoPersonalTecnico),IF(TipoProgramaPersonalTecnico=2,ROUND(Programa!D$30*'a)Plantilla'!$C9,RedondeoPersonalTecnico),ROUND(Programa!D$30*Hjor*'a)Plantilla'!$C9,RedondeoPersonalTecnico))),0)</f>
        <v>0</v>
      </c>
      <c r="W24" s="6">
        <f>IF(Programa!D$31&gt;0,IF(TipoProgramaPersonalTecnico=1,ROUND(Programa!F$31*'a)Plantilla'!$C9,RedondeoPersonalTecnico),IF(TipoProgramaPersonalTecnico=2,ROUND(Programa!D$31*'a)Plantilla'!$C9,RedondeoPersonalTecnico),ROUND(Programa!D$31*Hjor*'a)Plantilla'!$C9,RedondeoPersonalTecnico))),0)</f>
        <v>0</v>
      </c>
      <c r="X24" s="6">
        <f>IF(Programa!D$32&gt;0,IF(TipoProgramaPersonalTecnico=1,ROUND(Programa!F$32*'a)Plantilla'!$C9,RedondeoPersonalTecnico),IF(TipoProgramaPersonalTecnico=2,ROUND(Programa!D$32*'a)Plantilla'!$C9,RedondeoPersonalTecnico),ROUND(Programa!D$32*Hjor*'a)Plantilla'!$C9,RedondeoPersonalTecnico))),0)</f>
        <v>0</v>
      </c>
      <c r="Y24" s="6">
        <f>IF(Programa!D$33&gt;0,IF(TipoProgramaPersonalTecnico=1,ROUND(Programa!F$33*'a)Plantilla'!$C9,RedondeoPersonalTecnico),IF(TipoProgramaPersonalTecnico=2,ROUND(Programa!D$33*'a)Plantilla'!$C9,RedondeoPersonalTecnico),ROUND(Programa!D$33*Hjor*'a)Plantilla'!$C9,RedondeoPersonalTecnico))),0)</f>
        <v>0</v>
      </c>
      <c r="Z24" s="6">
        <f>IF(Programa!D$34&gt;0,IF(TipoProgramaPersonalTecnico=1,ROUND(Programa!F$34*'a)Plantilla'!$C9,RedondeoPersonalTecnico),IF(TipoProgramaPersonalTecnico=2,ROUND(Programa!D$34*'a)Plantilla'!$C9,RedondeoPersonalTecnico),ROUND(Programa!D$34*Hjor*'a)Plantilla'!$C9,RedondeoPersonalTecnico))),0)</f>
        <v>0</v>
      </c>
      <c r="AA24" s="6">
        <f>IF(Programa!D$35&gt;0,IF(TipoProgramaPersonalTecnico=1,ROUND(Programa!F$35*'a)Plantilla'!$C9,RedondeoPersonalTecnico),IF(TipoProgramaPersonalTecnico=2,ROUND(Programa!D$35*'a)Plantilla'!$C9,RedondeoPersonalTecnico),ROUND(Programa!D$35*Hjor*'a)Plantilla'!$C9,RedondeoPersonalTecnico))),0)</f>
        <v>0</v>
      </c>
      <c r="AB24" s="78">
        <f>IF(Programa!D$36&gt;0,IF(TipoProgramaPersonalTecnico=1,ROUND(Programa!F$36*'a)Plantilla'!$C9,RedondeoPersonalTecnico),IF(TipoProgramaPersonalTecnico=2,ROUND(Programa!D$36*'a)Plantilla'!$C9,RedondeoPersonalTecnico),ROUND(Programa!D$36*Hjor*'a)Plantilla'!$C9,RedondeoPersonalTecnico))),0)</f>
        <v>0</v>
      </c>
      <c r="AC24" s="27">
        <f>IF(Programa!D$37&gt;0,IF(TipoProgramaPersonalTecnico=1,ROUND(Programa!F$37*'a)Plantilla'!$C9,RedondeoPersonalTecnico),IF(TipoProgramaPersonalTecnico=2,ROUND(Programa!D$37*'a)Plantilla'!$C9,RedondeoPersonalTecnico),ROUND(Programa!D$37*Hjor*'a)Plantilla'!$C9,RedondeoPersonalTecnico))),0)</f>
        <v>0</v>
      </c>
      <c r="AD24" s="6">
        <f>IF(Programa!D$38&gt;0,IF(TipoProgramaPersonalTecnico=1,ROUND(Programa!F$38*'a)Plantilla'!$C9,RedondeoPersonalTecnico),IF(TipoProgramaPersonalTecnico=2,ROUND(Programa!D$38*'a)Plantilla'!$C9,RedondeoPersonalTecnico),ROUND(Programa!D$38*Hjor*'a)Plantilla'!$C9,RedondeoPersonalTecnico))),0)</f>
        <v>0</v>
      </c>
      <c r="AE24" s="6">
        <f>IF(Programa!D$39&gt;0,IF(TipoProgramaPersonalTecnico=1,ROUND(Programa!F$39*'a)Plantilla'!$C9,RedondeoPersonalTecnico),IF(TipoProgramaPersonalTecnico=2,ROUND(Programa!D$39*'a)Plantilla'!$C9,RedondeoPersonalTecnico),ROUND(Programa!D$39*Hjor*'a)Plantilla'!$C9,RedondeoPersonalTecnico))),0)</f>
        <v>0</v>
      </c>
      <c r="AF24" s="6">
        <f>IF(Programa!D$40&gt;0,IF(TipoProgramaPersonalTecnico=1,ROUND(Programa!F$40*'a)Plantilla'!$C9,RedondeoPersonalTecnico),IF(TipoProgramaPersonalTecnico=2,ROUND(Programa!D$40*'a)Plantilla'!$C9,RedondeoPersonalTecnico),ROUND(Programa!D$40*Hjor*'a)Plantilla'!$C9,RedondeoPersonalTecnico))),0)</f>
        <v>0</v>
      </c>
      <c r="AG24" s="6">
        <f>IF(Programa!D$41&gt;0,IF(TipoProgramaPersonalTecnico=1,ROUND(Programa!F$41*'a)Plantilla'!$C9,RedondeoPersonalTecnico),IF(TipoProgramaPersonalTecnico=2,ROUND(Programa!D$41*'a)Plantilla'!$C9,RedondeoPersonalTecnico),ROUND(Programa!D$41*Hjor*'a)Plantilla'!$C9,RedondeoPersonalTecnico))),0)</f>
        <v>0</v>
      </c>
      <c r="AH24" s="6">
        <f>IF(Programa!D$42&gt;0,IF(TipoProgramaPersonalTecnico=1,ROUND(Programa!F$42*'a)Plantilla'!$C9,RedondeoPersonalTecnico),IF(TipoProgramaPersonalTecnico=2,ROUND(Programa!D$42*'a)Plantilla'!$C9,RedondeoPersonalTecnico),ROUND(Programa!D$42*Hjor*'a)Plantilla'!$C9,RedondeoPersonalTecnico))),0)</f>
        <v>0</v>
      </c>
      <c r="AI24" s="6">
        <f>IF(Programa!D$43&gt;0,IF(TipoProgramaPersonalTecnico=1,ROUND(Programa!F$43*'a)Plantilla'!$C9,RedondeoPersonalTecnico),IF(TipoProgramaPersonalTecnico=2,ROUND(Programa!D$43*'a)Plantilla'!$C9,RedondeoPersonalTecnico),ROUND(Programa!D$43*Hjor*'a)Plantilla'!$C9,RedondeoPersonalTecnico))),0)</f>
        <v>0</v>
      </c>
      <c r="AJ24" s="6">
        <f>IF(Programa!D$44&gt;0,IF(TipoProgramaPersonalTecnico=1,ROUND(Programa!F$44*'a)Plantilla'!$C9,RedondeoPersonalTecnico),IF(TipoProgramaPersonalTecnico=2,ROUND(Programa!D$44*'a)Plantilla'!$C9,RedondeoPersonalTecnico),ROUND(Programa!D$44*Hjor*'a)Plantilla'!$C9,RedondeoPersonalTecnico))),0)</f>
        <v>0</v>
      </c>
      <c r="AK24" s="6">
        <f>IF(Programa!D$45&gt;0,IF(TipoProgramaPersonalTecnico=1,ROUND(Programa!F$45*'a)Plantilla'!$C9,RedondeoPersonalTecnico),IF(TipoProgramaPersonalTecnico=2,ROUND(Programa!D$45*'a)Plantilla'!$C9,RedondeoPersonalTecnico),ROUND(Programa!D$45*Hjor*'a)Plantilla'!$C9,RedondeoPersonalTecnico))),0)</f>
        <v>0</v>
      </c>
      <c r="AL24" s="6">
        <f>IF(Programa!D$46&gt;0,IF(TipoProgramaPersonalTecnico=1,ROUND(Programa!F$46*'a)Plantilla'!$C9,RedondeoPersonalTecnico),IF(TipoProgramaPersonalTecnico=2,ROUND(Programa!D$46*'a)Plantilla'!$C9,RedondeoPersonalTecnico),ROUND(Programa!D$46*Hjor*'a)Plantilla'!$C9,RedondeoPersonalTecnico))),0)</f>
        <v>0</v>
      </c>
      <c r="AM24" s="6">
        <f>IF(Programa!D$47&gt;0,IF(TipoProgramaPersonalTecnico=1,ROUND(Programa!F$47*'a)Plantilla'!$C9,RedondeoPersonalTecnico),IF(TipoProgramaPersonalTecnico=2,ROUND(Programa!D$47*'a)Plantilla'!$C9,RedondeoPersonalTecnico),ROUND(Programa!D$47*Hjor*'a)Plantilla'!$C9,RedondeoPersonalTecnico))),0)</f>
        <v>0</v>
      </c>
      <c r="AN24" s="78">
        <f>IF(Programa!D$48&gt;0,IF(TipoProgramaPersonalTecnico=1,ROUND(Programa!F$48*'a)Plantilla'!$C9,RedondeoPersonalTecnico),IF(TipoProgramaPersonalTecnico=2,ROUND(Programa!D$48*'a)Plantilla'!$C9,RedondeoPersonalTecnico),ROUND(Programa!D$48*Hjor*'a)Plantilla'!$C9,RedondeoPersonalTecnico))),0)</f>
        <v>0</v>
      </c>
      <c r="AO24" s="27">
        <f>IF(Programa!D$49&gt;0,IF(TipoProgramaPersonalTecnico=1,ROUND(Programa!F$49*'a)Plantilla'!$C9,RedondeoPersonalTecnico),IF(TipoProgramaPersonalTecnico=2,ROUND(Programa!D$49*'a)Plantilla'!$C9,RedondeoPersonalTecnico),ROUND(Programa!D$49*Hjor*'a)Plantilla'!$C9,RedondeoPersonalTecnico))),0)</f>
        <v>0</v>
      </c>
      <c r="AP24" s="6">
        <f>IF(Programa!D$50&gt;0,IF(TipoProgramaPersonalTecnico=1,ROUND(Programa!F$50*'a)Plantilla'!$C9,RedondeoPersonalTecnico),IF(TipoProgramaPersonalTecnico=2,ROUND(Programa!D$50*'a)Plantilla'!$C9,RedondeoPersonalTecnico),ROUND(Programa!D$50*Hjor*'a)Plantilla'!$C9,RedondeoPersonalTecnico))),0)</f>
        <v>0</v>
      </c>
      <c r="AQ24" s="6">
        <f>IF(Programa!D$51&gt;0,IF(TipoProgramaPersonalTecnico=1,ROUND(Programa!F$51*'a)Plantilla'!$C9,RedondeoPersonalTecnico),IF(TipoProgramaPersonalTecnico=2,ROUND(Programa!D$51*'a)Plantilla'!$C9,RedondeoPersonalTecnico),ROUND(Programa!D$51*Hjor*'a)Plantilla'!$C9,RedondeoPersonalTecnico))),0)</f>
        <v>0</v>
      </c>
      <c r="AR24" s="6">
        <f>IF(Programa!D$52&gt;0,IF(TipoProgramaPersonalTecnico=1,ROUND(Programa!F$52*'a)Plantilla'!$C9,RedondeoPersonalTecnico),IF(TipoProgramaPersonalTecnico=2,ROUND(Programa!D$52*'a)Plantilla'!$C9,RedondeoPersonalTecnico),ROUND(Programa!D$52*Hjor*'a)Plantilla'!$C9,RedondeoPersonalTecnico))),0)</f>
        <v>0</v>
      </c>
      <c r="AS24" s="6">
        <f>IF(Programa!D$53&gt;0,IF(TipoProgramaPersonalTecnico=1,ROUND(Programa!F$53*'a)Plantilla'!$C9,RedondeoPersonalTecnico),IF(TipoProgramaPersonalTecnico=2,ROUND(Programa!D$53*'a)Plantilla'!$C9,RedondeoPersonalTecnico),ROUND(Programa!D$53*Hjor*'a)Plantilla'!$C9,RedondeoPersonalTecnico))),0)</f>
        <v>0</v>
      </c>
      <c r="AT24" s="6">
        <f>IF(Programa!D$54&gt;0,IF(TipoProgramaPersonalTecnico=1,ROUND(Programa!F$54*'a)Plantilla'!$C9,RedondeoPersonalTecnico),IF(TipoProgramaPersonalTecnico=2,ROUND(Programa!D$54*'a)Plantilla'!$C9,RedondeoPersonalTecnico),ROUND(Programa!D$54*Hjor*'a)Plantilla'!$C9,RedondeoPersonalTecnico))),0)</f>
        <v>0</v>
      </c>
      <c r="AU24" s="6">
        <f>IF(Programa!D$55&gt;0,IF(TipoProgramaPersonalTecnico=1,ROUND(Programa!F$55*'a)Plantilla'!$C9,RedondeoPersonalTecnico),IF(TipoProgramaPersonalTecnico=2,ROUND(Programa!D$55*'a)Plantilla'!$C9,RedondeoPersonalTecnico),ROUND(Programa!D$55*Hjor*'a)Plantilla'!$C9,RedondeoPersonalTecnico))),0)</f>
        <v>0</v>
      </c>
      <c r="AV24" s="6">
        <f>IF(Programa!D$56&gt;0,IF(TipoProgramaPersonalTecnico=1,ROUND(Programa!F$56*'a)Plantilla'!$C9,RedondeoPersonalTecnico),IF(TipoProgramaPersonalTecnico=2,ROUND(Programa!D$56*'a)Plantilla'!$C9,RedondeoPersonalTecnico),ROUND(Programa!D$56*Hjor*'a)Plantilla'!$C9,RedondeoPersonalTecnico))),0)</f>
        <v>0</v>
      </c>
      <c r="AW24" s="6">
        <f>IF(Programa!D$57&gt;0,IF(TipoProgramaPersonalTecnico=1,ROUND(Programa!F$57*'a)Plantilla'!$C9,RedondeoPersonalTecnico),IF(TipoProgramaPersonalTecnico=2,ROUND(Programa!D$57*'a)Plantilla'!$C9,RedondeoPersonalTecnico),ROUND(Programa!D$57*Hjor*'a)Plantilla'!$C9,RedondeoPersonalTecnico))),0)</f>
        <v>0</v>
      </c>
      <c r="AX24" s="6">
        <f>IF(Programa!D$58&gt;0,IF(TipoProgramaPersonalTecnico=1,ROUND(Programa!F$58*'a)Plantilla'!$C9,RedondeoPersonalTecnico),IF(TipoProgramaPersonalTecnico=2,ROUND(Programa!D$58*'a)Plantilla'!$C9,RedondeoPersonalTecnico),ROUND(Programa!D$58*Hjor*'a)Plantilla'!$C9,RedondeoPersonalTecnico))),0)</f>
        <v>0</v>
      </c>
      <c r="AY24" s="6">
        <f>IF(Programa!D$59&gt;0,IF(TipoProgramaPersonalTecnico=1,ROUND(Programa!F$59*'a)Plantilla'!$C9,RedondeoPersonalTecnico),IF(TipoProgramaPersonalTecnico=2,ROUND(Programa!D$59*'a)Plantilla'!$C9,RedondeoPersonalTecnico),ROUND(Programa!D$59*Hjor*'a)Plantilla'!$C9,RedondeoPersonalTecnico))),0)</f>
        <v>0</v>
      </c>
      <c r="AZ24" s="6">
        <f>IF(Programa!D$60&gt;0,IF(TipoProgramaPersonalTecnico=1,ROUND(Programa!F$60*'a)Plantilla'!$C9,RedondeoPersonalTecnico),IF(TipoProgramaPersonalTecnico=2,ROUND(Programa!D$60*'a)Plantilla'!$C9,RedondeoPersonalTecnico),ROUND(Programa!D$60*Hjor*'a)Plantilla'!$C9,RedondeoPersonalTecnico))),0)</f>
        <v>0</v>
      </c>
      <c r="BA24" s="6">
        <f>IF(Programa!D$61&gt;0,IF(TipoProgramaPersonalTecnico=1,ROUND(Programa!F$61*'a)Plantilla'!$C9,RedondeoPersonalTecnico),IF(TipoProgramaPersonalTecnico=2,ROUND(Programa!D$61*'a)Plantilla'!$C9,RedondeoPersonalTecnico),ROUND(Programa!D$61*Hjor*'a)Plantilla'!$C9,RedondeoPersonalTecnico))),0)</f>
        <v>0</v>
      </c>
      <c r="BB24" s="6">
        <f>IF(Programa!D$62&gt;0,IF(TipoProgramaPersonalTecnico=1,ROUND(Programa!F$62*'a)Plantilla'!$C9,RedondeoPersonalTecnico),IF(TipoProgramaPersonalTecnico=2,ROUND(Programa!D$62*'a)Plantilla'!$C9,RedondeoPersonalTecnico),ROUND(Programa!D$62*Hjor*'a)Plantilla'!$C9,RedondeoPersonalTecnico))),0)</f>
        <v>0</v>
      </c>
      <c r="BC24" s="6">
        <f>IF(Programa!D$63&gt;0,IF(TipoProgramaPersonalTecnico=1,ROUND(Programa!F$63*'a)Plantilla'!$C9,RedondeoPersonalTecnico),IF(TipoProgramaPersonalTecnico=2,ROUND(Programa!D$63*'a)Plantilla'!$C9,RedondeoPersonalTecnico),ROUND(Programa!D$63*Hjor*'a)Plantilla'!$C9,RedondeoPersonalTecnico))),0)</f>
        <v>0</v>
      </c>
      <c r="BD24" s="6">
        <f>IF(Programa!D$64&gt;0,IF(TipoProgramaPersonalTecnico=1,ROUND(Programa!F$64*'a)Plantilla'!$C9,RedondeoPersonalTecnico),IF(TipoProgramaPersonalTecnico=2,ROUND(Programa!D$64*'a)Plantilla'!$C9,RedondeoPersonalTecnico),ROUND(Programa!D$64*Hjor*'a)Plantilla'!$C9,RedondeoPersonalTecnico))),0)</f>
        <v>0</v>
      </c>
      <c r="BE24" s="6">
        <f>IF(Programa!D$65&gt;0,IF(TipoProgramaPersonalTecnico=1,ROUND(Programa!F$65*'a)Plantilla'!$C9,RedondeoPersonalTecnico),IF(TipoProgramaPersonalTecnico=2,ROUND(Programa!D$65*'a)Plantilla'!$C9,RedondeoPersonalTecnico),ROUND(Programa!D$65*Hjor*'a)Plantilla'!$C9,RedondeoPersonalTecnico))),0)</f>
        <v>0</v>
      </c>
      <c r="BF24" s="6">
        <f>IF(Programa!D$66&gt;0,IF(TipoProgramaPersonalTecnico=1,ROUND(Programa!F$66*'a)Plantilla'!$C9,RedondeoPersonalTecnico),IF(TipoProgramaPersonalTecnico=2,ROUND(Programa!D$66*'a)Plantilla'!$C9,RedondeoPersonalTecnico),ROUND(Programa!D$66*Hjor*'a)Plantilla'!$C9,RedondeoPersonalTecnico))),0)</f>
        <v>0</v>
      </c>
      <c r="BG24" s="6">
        <f>IF(Programa!D$67&gt;0,IF(TipoProgramaPersonalTecnico=1,ROUND(Programa!F$67*'a)Plantilla'!$C9,RedondeoPersonalTecnico),IF(TipoProgramaPersonalTecnico=2,ROUND(Programa!D$67*'a)Plantilla'!$C9,RedondeoPersonalTecnico),ROUND(Programa!D$67*Hjor*'a)Plantilla'!$C9,RedondeoPersonalTecnico))),0)</f>
        <v>0</v>
      </c>
      <c r="BH24" s="6">
        <f>IF(Programa!D$68&gt;0,IF(TipoProgramaPersonalTecnico=1,ROUND(Programa!F$68*'a)Plantilla'!$C9,RedondeoPersonalTecnico),IF(TipoProgramaPersonalTecnico=2,ROUND(Programa!D$68*'a)Plantilla'!$C9,RedondeoPersonalTecnico),ROUND(Programa!D$68*Hjor*'a)Plantilla'!$C9,RedondeoPersonalTecnico))),0)</f>
        <v>0</v>
      </c>
      <c r="BI24" s="6">
        <f>IF(Programa!D$69&gt;0,IF(TipoProgramaPersonalTecnico=1,ROUND(Programa!F$69*'a)Plantilla'!$C9,RedondeoPersonalTecnico),IF(TipoProgramaPersonalTecnico=2,ROUND(Programa!D$69*'a)Plantilla'!$C9,RedondeoPersonalTecnico),ROUND(Programa!D$69*Hjor*'a)Plantilla'!$C9,RedondeoPersonalTecnico))),0)</f>
        <v>0</v>
      </c>
      <c r="BJ24" s="6">
        <f>IF(Programa!D$70&gt;0,IF(TipoProgramaPersonalTecnico=1,ROUND(Programa!F$70*'a)Plantilla'!$C9,RedondeoPersonalTecnico),IF(TipoProgramaPersonalTecnico=2,ROUND(Programa!D$70*'a)Plantilla'!$C9,RedondeoPersonalTecnico),ROUND(Programa!D$70*Hjor*'a)Plantilla'!$C9,RedondeoPersonalTecnico))),0)</f>
        <v>0</v>
      </c>
      <c r="BK24" s="6">
        <f>IF(Programa!D$71&gt;0,IF(TipoProgramaPersonalTecnico=1,ROUND(Programa!F$71*'a)Plantilla'!$C9,RedondeoPersonalTecnico),IF(TipoProgramaPersonalTecnico=2,ROUND(Programa!D$71*'a)Plantilla'!$C9,RedondeoPersonalTecnico),ROUND(Programa!D$71*Hjor*'a)Plantilla'!$C9,RedondeoPersonalTecnico))),0)</f>
        <v>0</v>
      </c>
      <c r="BL24" s="78">
        <f>IF(Programa!D$72&gt;0,IF(TipoProgramaPersonalTecnico=1,ROUND(Programa!F$72*'a)Plantilla'!$C9,RedondeoPersonalTecnico),IF(TipoProgramaPersonalTecnico=2,ROUND(Programa!D$72*'a)Plantilla'!$C9,RedondeoPersonalTecnico),ROUND(Programa!D$72*Hjor*'a)Plantilla'!$C9,RedondeoPersonalTecnico))),0)</f>
        <v>0</v>
      </c>
    </row>
    <row r="25" spans="1:64" ht="8.1" customHeight="1">
      <c r="A25" s="67"/>
      <c r="B25" s="46"/>
      <c r="C25" s="31"/>
      <c r="D25" s="22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8"/>
      <c r="Q25" s="27"/>
      <c r="R25" s="6"/>
      <c r="S25" s="6"/>
      <c r="T25" s="6"/>
      <c r="U25" s="6"/>
      <c r="V25" s="6"/>
      <c r="W25" s="6"/>
      <c r="X25" s="6"/>
      <c r="Y25" s="6"/>
      <c r="Z25" s="6"/>
      <c r="AA25" s="6"/>
      <c r="AB25" s="78"/>
      <c r="AC25" s="27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78"/>
      <c r="AO25" s="27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78"/>
    </row>
    <row r="26" spans="1:64" ht="12.75" customHeight="1">
      <c r="A26" s="67"/>
      <c r="B26" s="46" t="str">
        <f>IF('a)Plantilla'!C10&gt;0,'a)Plantilla'!B10,"")</f>
        <v/>
      </c>
      <c r="C26" s="17" t="str">
        <f>IF('a)Plantilla'!C$10&gt;0,IF(TipoProgramaPersonalTecnico=1,"Personas",IF(TipoProgramaPersonalTecnico=2,"Jornal","horas-Hombre")),"")</f>
        <v/>
      </c>
      <c r="D26" s="226">
        <f>ROUND(SUM(E26:BL26),RedondeoPersonalTecnico)</f>
        <v>0</v>
      </c>
      <c r="E26" s="6">
        <f>IF(Programa!D$13&gt;0,IF(TipoProgramaPersonalTecnico=1,ROUND(Programa!F$13*'a)Plantilla'!$C10,RedondeoPersonalTecnico),IF(TipoProgramaPersonalTecnico=2,ROUND(Programa!D$13*'a)Plantilla'!$C10,RedondeoPersonalTecnico),ROUND(Programa!D$13*Hjor*'a)Plantilla'!$C10,RedondeoPersonalTecnico))),0)</f>
        <v>0</v>
      </c>
      <c r="F26" s="6">
        <f>IF(Programa!D$14&gt;0,IF(TipoProgramaPersonalTecnico=1,ROUND(Programa!F$14*'a)Plantilla'!$C10,RedondeoPersonalTecnico),IF(TipoProgramaPersonalTecnico=2,ROUND(Programa!D$14*'a)Plantilla'!$C10,RedondeoPersonalTecnico),ROUND(Programa!D$14*Hjor*'a)Plantilla'!$C10,RedondeoPersonalTecnico))),0)</f>
        <v>0</v>
      </c>
      <c r="G26" s="6">
        <f>IF(Programa!D$15&gt;0,IF(TipoProgramaPersonalTecnico=1,ROUND(Programa!F$15*'a)Plantilla'!$C10,RedondeoPersonalTecnico),IF(TipoProgramaPersonalTecnico=2,ROUND(Programa!D$15*'a)Plantilla'!$C10,RedondeoPersonalTecnico),ROUND(Programa!D$15*Hjor*'a)Plantilla'!$C10,RedondeoPersonalTecnico))),0)</f>
        <v>0</v>
      </c>
      <c r="H26" s="6">
        <f>IF(Programa!D$16&gt;0,IF(TipoProgramaPersonalTecnico=1,ROUND(Programa!F$16*'a)Plantilla'!$C10,RedondeoPersonalTecnico),IF(TipoProgramaPersonalTecnico=2,ROUND(Programa!D$16*'a)Plantilla'!$C10,RedondeoPersonalTecnico),ROUND(Programa!D$16*Hjor*'a)Plantilla'!$C10,RedondeoPersonalTecnico))),0)</f>
        <v>0</v>
      </c>
      <c r="I26" s="6">
        <f>IF(Programa!D$17&gt;0,IF(TipoProgramaPersonalTecnico=1,ROUND(Programa!F$17*'a)Plantilla'!$C10,RedondeoPersonalTecnico),IF(TipoProgramaPersonalTecnico=2,ROUND(Programa!D$17*'a)Plantilla'!$C10,RedondeoPersonalTecnico),ROUND(Programa!D$17*Hjor*'a)Plantilla'!$C10,RedondeoPersonalTecnico))),0)</f>
        <v>0</v>
      </c>
      <c r="J26" s="6">
        <f>IF(Programa!D$18&gt;0,IF(TipoProgramaPersonalTecnico=1,ROUND(Programa!F$18*'a)Plantilla'!$C10,RedondeoPersonalTecnico),IF(TipoProgramaPersonalTecnico=2,ROUND(Programa!D$18*'a)Plantilla'!$C10,RedondeoPersonalTecnico),ROUND(Programa!D$18*Hjor*'a)Plantilla'!$C10,RedondeoPersonalTecnico))),0)</f>
        <v>0</v>
      </c>
      <c r="K26" s="6">
        <f>IF(Programa!D$19&gt;0,IF(TipoProgramaPersonalTecnico=1,ROUND(Programa!F$19*'a)Plantilla'!$C10,RedondeoPersonalTecnico),IF(TipoProgramaPersonalTecnico=2,ROUND(Programa!D$19*'a)Plantilla'!$C10,RedondeoPersonalTecnico),ROUND(Programa!D$19*Hjor*'a)Plantilla'!$C10,RedondeoPersonalTecnico))),0)</f>
        <v>0</v>
      </c>
      <c r="L26" s="6">
        <f>IF(Programa!D$20&gt;0,IF(TipoProgramaPersonalTecnico=1,ROUND(Programa!F$20*'a)Plantilla'!$C10,RedondeoPersonalTecnico),IF(TipoProgramaPersonalTecnico=2,ROUND(Programa!D$20*'a)Plantilla'!$C10,RedondeoPersonalTecnico),ROUND(Programa!D$20*Hjor*'a)Plantilla'!$C10,RedondeoPersonalTecnico))),0)</f>
        <v>0</v>
      </c>
      <c r="M26" s="6">
        <f>IF(Programa!D$21&gt;0,IF(TipoProgramaPersonalTecnico=1,ROUND(Programa!F$21*'a)Plantilla'!$C10,RedondeoPersonalTecnico),IF(TipoProgramaPersonalTecnico=2,ROUND(Programa!D$21*'a)Plantilla'!$C10,RedondeoPersonalTecnico),ROUND(Programa!D$21*Hjor*'a)Plantilla'!$C10,RedondeoPersonalTecnico))),0)</f>
        <v>0</v>
      </c>
      <c r="N26" s="6">
        <f>IF(Programa!D$22&gt;0,IF(TipoProgramaPersonalTecnico=1,ROUND(Programa!F$22*'a)Plantilla'!$C10,RedondeoPersonalTecnico),IF(TipoProgramaPersonalTecnico=2,ROUND(Programa!D$22*'a)Plantilla'!$C10,RedondeoPersonalTecnico),ROUND(Programa!D$22*Hjor*'a)Plantilla'!$C10,RedondeoPersonalTecnico))),0)</f>
        <v>0</v>
      </c>
      <c r="O26" s="6">
        <f>IF(Programa!D$23&gt;0,IF(TipoProgramaPersonalTecnico=1,ROUND(Programa!F$23*'a)Plantilla'!$C10,RedondeoPersonalTecnico),IF(TipoProgramaPersonalTecnico=2,ROUND(Programa!D$23*'a)Plantilla'!$C10,RedondeoPersonalTecnico),ROUND(Programa!D$23*Hjor*'a)Plantilla'!$C10,RedondeoPersonalTecnico))),0)</f>
        <v>0</v>
      </c>
      <c r="P26" s="78">
        <f>IF(Programa!D$24&gt;0,IF(TipoProgramaPersonalTecnico=1,ROUND(Programa!F$24*'a)Plantilla'!$C10,RedondeoPersonalTecnico),IF(TipoProgramaPersonalTecnico=2,ROUND(Programa!D$24*'a)Plantilla'!$C10,RedondeoPersonalTecnico),ROUND(Programa!D$24*Hjor*'a)Plantilla'!$C10,RedondeoPersonalTecnico))),0)</f>
        <v>0</v>
      </c>
      <c r="Q26" s="27">
        <f>IF(Programa!D$25&gt;0,IF(TipoProgramaPersonalTecnico=1,ROUND(Programa!F$25*'a)Plantilla'!$C10,RedondeoPersonalTecnico),IF(TipoProgramaPersonalTecnico=2,ROUND(Programa!D$25*'a)Plantilla'!$C10,RedondeoPersonalTecnico),ROUND(Programa!D$25*Hjor*'a)Plantilla'!$C10,RedondeoPersonalTecnico))),0)</f>
        <v>0</v>
      </c>
      <c r="R26" s="6">
        <f>IF(Programa!D$26&gt;0,IF(TipoProgramaPersonalTecnico=1,ROUND(Programa!F$26*'a)Plantilla'!$C10,RedondeoPersonalTecnico),IF(TipoProgramaPersonalTecnico=2,ROUND(Programa!D$26*'a)Plantilla'!$C10,RedondeoPersonalTecnico),ROUND(Programa!D$26*Hjor*'a)Plantilla'!$C10,RedondeoPersonalTecnico))),0)</f>
        <v>0</v>
      </c>
      <c r="S26" s="6">
        <f>IF(Programa!D$27&gt;0,IF(TipoProgramaPersonalTecnico=1,ROUND(Programa!F$27*'a)Plantilla'!$C10,RedondeoPersonalTecnico),IF(TipoProgramaPersonalTecnico=2,ROUND(Programa!D$27*'a)Plantilla'!$C10,RedondeoPersonalTecnico),ROUND(Programa!D$27*Hjor*'a)Plantilla'!$C10,RedondeoPersonalTecnico))),0)</f>
        <v>0</v>
      </c>
      <c r="T26" s="6">
        <f>IF(Programa!D$28&gt;0,IF(TipoProgramaPersonalTecnico=1,ROUND(Programa!F$28*'a)Plantilla'!$C10,RedondeoPersonalTecnico),IF(TipoProgramaPersonalTecnico=2,ROUND(Programa!D$28*'a)Plantilla'!$C10,RedondeoPersonalTecnico),ROUND(Programa!D$28*Hjor*'a)Plantilla'!$C10,RedondeoPersonalTecnico))),0)</f>
        <v>0</v>
      </c>
      <c r="U26" s="6">
        <f>IF(Programa!D$29&gt;0,IF(TipoProgramaPersonalTecnico=1,ROUND(Programa!F$29*'a)Plantilla'!$C10,RedondeoPersonalTecnico),IF(TipoProgramaPersonalTecnico=2,ROUND(Programa!D$29*'a)Plantilla'!$C10,RedondeoPersonalTecnico),ROUND(Programa!D$29*Hjor*'a)Plantilla'!$C10,RedondeoPersonalTecnico))),0)</f>
        <v>0</v>
      </c>
      <c r="V26" s="6">
        <f>IF(Programa!D$30&gt;0,IF(TipoProgramaPersonalTecnico=1,ROUND(Programa!F$30*'a)Plantilla'!$C10,RedondeoPersonalTecnico),IF(TipoProgramaPersonalTecnico=2,ROUND(Programa!D$30*'a)Plantilla'!$C10,RedondeoPersonalTecnico),ROUND(Programa!D$30*Hjor*'a)Plantilla'!$C10,RedondeoPersonalTecnico))),0)</f>
        <v>0</v>
      </c>
      <c r="W26" s="6">
        <f>IF(Programa!D$31&gt;0,IF(TipoProgramaPersonalTecnico=1,ROUND(Programa!F$31*'a)Plantilla'!$C10,RedondeoPersonalTecnico),IF(TipoProgramaPersonalTecnico=2,ROUND(Programa!D$31*'a)Plantilla'!$C10,RedondeoPersonalTecnico),ROUND(Programa!D$31*Hjor*'a)Plantilla'!$C10,RedondeoPersonalTecnico))),0)</f>
        <v>0</v>
      </c>
      <c r="X26" s="6">
        <f>IF(Programa!D$32&gt;0,IF(TipoProgramaPersonalTecnico=1,ROUND(Programa!F$32*'a)Plantilla'!$C10,RedondeoPersonalTecnico),IF(TipoProgramaPersonalTecnico=2,ROUND(Programa!D$32*'a)Plantilla'!$C10,RedondeoPersonalTecnico),ROUND(Programa!D$32*Hjor*'a)Plantilla'!$C10,RedondeoPersonalTecnico))),0)</f>
        <v>0</v>
      </c>
      <c r="Y26" s="6">
        <f>IF(Programa!D$33&gt;0,IF(TipoProgramaPersonalTecnico=1,ROUND(Programa!F$33*'a)Plantilla'!$C10,RedondeoPersonalTecnico),IF(TipoProgramaPersonalTecnico=2,ROUND(Programa!D$33*'a)Plantilla'!$C10,RedondeoPersonalTecnico),ROUND(Programa!D$33*Hjor*'a)Plantilla'!$C10,RedondeoPersonalTecnico))),0)</f>
        <v>0</v>
      </c>
      <c r="Z26" s="6">
        <f>IF(Programa!D$34&gt;0,IF(TipoProgramaPersonalTecnico=1,ROUND(Programa!F$34*'a)Plantilla'!$C10,RedondeoPersonalTecnico),IF(TipoProgramaPersonalTecnico=2,ROUND(Programa!D$34*'a)Plantilla'!$C10,RedondeoPersonalTecnico),ROUND(Programa!D$34*Hjor*'a)Plantilla'!$C10,RedondeoPersonalTecnico))),0)</f>
        <v>0</v>
      </c>
      <c r="AA26" s="6">
        <f>IF(Programa!D$35&gt;0,IF(TipoProgramaPersonalTecnico=1,ROUND(Programa!F$35*'a)Plantilla'!$C10,RedondeoPersonalTecnico),IF(TipoProgramaPersonalTecnico=2,ROUND(Programa!D$35*'a)Plantilla'!$C10,RedondeoPersonalTecnico),ROUND(Programa!D$35*Hjor*'a)Plantilla'!$C10,RedondeoPersonalTecnico))),0)</f>
        <v>0</v>
      </c>
      <c r="AB26" s="78">
        <f>IF(Programa!D$36&gt;0,IF(TipoProgramaPersonalTecnico=1,ROUND(Programa!F$36*'a)Plantilla'!$C10,RedondeoPersonalTecnico),IF(TipoProgramaPersonalTecnico=2,ROUND(Programa!D$36*'a)Plantilla'!$C10,RedondeoPersonalTecnico),ROUND(Programa!D$36*Hjor*'a)Plantilla'!$C10,RedondeoPersonalTecnico))),0)</f>
        <v>0</v>
      </c>
      <c r="AC26" s="27">
        <f>IF(Programa!D$37&gt;0,IF(TipoProgramaPersonalTecnico=1,ROUND(Programa!F$37*'a)Plantilla'!$C10,RedondeoPersonalTecnico),IF(TipoProgramaPersonalTecnico=2,ROUND(Programa!D$37*'a)Plantilla'!$C10,RedondeoPersonalTecnico),ROUND(Programa!D$37*Hjor*'a)Plantilla'!$C10,RedondeoPersonalTecnico))),0)</f>
        <v>0</v>
      </c>
      <c r="AD26" s="6">
        <f>IF(Programa!D$38&gt;0,IF(TipoProgramaPersonalTecnico=1,ROUND(Programa!F$38*'a)Plantilla'!$C10,RedondeoPersonalTecnico),IF(TipoProgramaPersonalTecnico=2,ROUND(Programa!D$38*'a)Plantilla'!$C10,RedondeoPersonalTecnico),ROUND(Programa!D$38*Hjor*'a)Plantilla'!$C10,RedondeoPersonalTecnico))),0)</f>
        <v>0</v>
      </c>
      <c r="AE26" s="6">
        <f>IF(Programa!D$39&gt;0,IF(TipoProgramaPersonalTecnico=1,ROUND(Programa!F$39*'a)Plantilla'!$C10,RedondeoPersonalTecnico),IF(TipoProgramaPersonalTecnico=2,ROUND(Programa!D$39*'a)Plantilla'!$C10,RedondeoPersonalTecnico),ROUND(Programa!D$39*Hjor*'a)Plantilla'!$C10,RedondeoPersonalTecnico))),0)</f>
        <v>0</v>
      </c>
      <c r="AF26" s="6">
        <f>IF(Programa!D$40&gt;0,IF(TipoProgramaPersonalTecnico=1,ROUND(Programa!F$40*'a)Plantilla'!$C10,RedondeoPersonalTecnico),IF(TipoProgramaPersonalTecnico=2,ROUND(Programa!D$40*'a)Plantilla'!$C10,RedondeoPersonalTecnico),ROUND(Programa!D$40*Hjor*'a)Plantilla'!$C10,RedondeoPersonalTecnico))),0)</f>
        <v>0</v>
      </c>
      <c r="AG26" s="6">
        <f>IF(Programa!D$41&gt;0,IF(TipoProgramaPersonalTecnico=1,ROUND(Programa!F$41*'a)Plantilla'!$C10,RedondeoPersonalTecnico),IF(TipoProgramaPersonalTecnico=2,ROUND(Programa!D$41*'a)Plantilla'!$C10,RedondeoPersonalTecnico),ROUND(Programa!D$41*Hjor*'a)Plantilla'!$C10,RedondeoPersonalTecnico))),0)</f>
        <v>0</v>
      </c>
      <c r="AH26" s="6">
        <f>IF(Programa!D$42&gt;0,IF(TipoProgramaPersonalTecnico=1,ROUND(Programa!F$42*'a)Plantilla'!$C10,RedondeoPersonalTecnico),IF(TipoProgramaPersonalTecnico=2,ROUND(Programa!D$42*'a)Plantilla'!$C10,RedondeoPersonalTecnico),ROUND(Programa!D$42*Hjor*'a)Plantilla'!$C10,RedondeoPersonalTecnico))),0)</f>
        <v>0</v>
      </c>
      <c r="AI26" s="6">
        <f>IF(Programa!D$43&gt;0,IF(TipoProgramaPersonalTecnico=1,ROUND(Programa!F$43*'a)Plantilla'!$C10,RedondeoPersonalTecnico),IF(TipoProgramaPersonalTecnico=2,ROUND(Programa!D$43*'a)Plantilla'!$C10,RedondeoPersonalTecnico),ROUND(Programa!D$43*Hjor*'a)Plantilla'!$C10,RedondeoPersonalTecnico))),0)</f>
        <v>0</v>
      </c>
      <c r="AJ26" s="6">
        <f>IF(Programa!D$44&gt;0,IF(TipoProgramaPersonalTecnico=1,ROUND(Programa!F$44*'a)Plantilla'!$C10,RedondeoPersonalTecnico),IF(TipoProgramaPersonalTecnico=2,ROUND(Programa!D$44*'a)Plantilla'!$C10,RedondeoPersonalTecnico),ROUND(Programa!D$44*Hjor*'a)Plantilla'!$C10,RedondeoPersonalTecnico))),0)</f>
        <v>0</v>
      </c>
      <c r="AK26" s="6">
        <f>IF(Programa!D$45&gt;0,IF(TipoProgramaPersonalTecnico=1,ROUND(Programa!F$45*'a)Plantilla'!$C10,RedondeoPersonalTecnico),IF(TipoProgramaPersonalTecnico=2,ROUND(Programa!D$45*'a)Plantilla'!$C10,RedondeoPersonalTecnico),ROUND(Programa!D$45*Hjor*'a)Plantilla'!$C10,RedondeoPersonalTecnico))),0)</f>
        <v>0</v>
      </c>
      <c r="AL26" s="6">
        <f>IF(Programa!D$46&gt;0,IF(TipoProgramaPersonalTecnico=1,ROUND(Programa!F$46*'a)Plantilla'!$C10,RedondeoPersonalTecnico),IF(TipoProgramaPersonalTecnico=2,ROUND(Programa!D$46*'a)Plantilla'!$C10,RedondeoPersonalTecnico),ROUND(Programa!D$46*Hjor*'a)Plantilla'!$C10,RedondeoPersonalTecnico))),0)</f>
        <v>0</v>
      </c>
      <c r="AM26" s="6">
        <f>IF(Programa!D$47&gt;0,IF(TipoProgramaPersonalTecnico=1,ROUND(Programa!F$47*'a)Plantilla'!$C10,RedondeoPersonalTecnico),IF(TipoProgramaPersonalTecnico=2,ROUND(Programa!D$47*'a)Plantilla'!$C10,RedondeoPersonalTecnico),ROUND(Programa!D$47*Hjor*'a)Plantilla'!$C10,RedondeoPersonalTecnico))),0)</f>
        <v>0</v>
      </c>
      <c r="AN26" s="78">
        <f>IF(Programa!D$48&gt;0,IF(TipoProgramaPersonalTecnico=1,ROUND(Programa!F$48*'a)Plantilla'!$C10,RedondeoPersonalTecnico),IF(TipoProgramaPersonalTecnico=2,ROUND(Programa!D$48*'a)Plantilla'!$C10,RedondeoPersonalTecnico),ROUND(Programa!D$48*Hjor*'a)Plantilla'!$C10,RedondeoPersonalTecnico))),0)</f>
        <v>0</v>
      </c>
      <c r="AO26" s="27">
        <f>IF(Programa!D$49&gt;0,IF(TipoProgramaPersonalTecnico=1,ROUND(Programa!F$49*'a)Plantilla'!$C10,RedondeoPersonalTecnico),IF(TipoProgramaPersonalTecnico=2,ROUND(Programa!D$49*'a)Plantilla'!$C10,RedondeoPersonalTecnico),ROUND(Programa!D$49*Hjor*'a)Plantilla'!$C10,RedondeoPersonalTecnico))),0)</f>
        <v>0</v>
      </c>
      <c r="AP26" s="6">
        <f>IF(Programa!D$50&gt;0,IF(TipoProgramaPersonalTecnico=1,ROUND(Programa!F$50*'a)Plantilla'!$C10,RedondeoPersonalTecnico),IF(TipoProgramaPersonalTecnico=2,ROUND(Programa!D$50*'a)Plantilla'!$C10,RedondeoPersonalTecnico),ROUND(Programa!D$50*Hjor*'a)Plantilla'!$C10,RedondeoPersonalTecnico))),0)</f>
        <v>0</v>
      </c>
      <c r="AQ26" s="6">
        <f>IF(Programa!D$51&gt;0,IF(TipoProgramaPersonalTecnico=1,ROUND(Programa!F$51*'a)Plantilla'!$C10,RedondeoPersonalTecnico),IF(TipoProgramaPersonalTecnico=2,ROUND(Programa!D$51*'a)Plantilla'!$C10,RedondeoPersonalTecnico),ROUND(Programa!D$51*Hjor*'a)Plantilla'!$C10,RedondeoPersonalTecnico))),0)</f>
        <v>0</v>
      </c>
      <c r="AR26" s="6">
        <f>IF(Programa!D$52&gt;0,IF(TipoProgramaPersonalTecnico=1,ROUND(Programa!F$52*'a)Plantilla'!$C10,RedondeoPersonalTecnico),IF(TipoProgramaPersonalTecnico=2,ROUND(Programa!D$52*'a)Plantilla'!$C10,RedondeoPersonalTecnico),ROUND(Programa!D$52*Hjor*'a)Plantilla'!$C10,RedondeoPersonalTecnico))),0)</f>
        <v>0</v>
      </c>
      <c r="AS26" s="6">
        <f>IF(Programa!D$53&gt;0,IF(TipoProgramaPersonalTecnico=1,ROUND(Programa!F$53*'a)Plantilla'!$C10,RedondeoPersonalTecnico),IF(TipoProgramaPersonalTecnico=2,ROUND(Programa!D$53*'a)Plantilla'!$C10,RedondeoPersonalTecnico),ROUND(Programa!D$53*Hjor*'a)Plantilla'!$C10,RedondeoPersonalTecnico))),0)</f>
        <v>0</v>
      </c>
      <c r="AT26" s="6">
        <f>IF(Programa!D$54&gt;0,IF(TipoProgramaPersonalTecnico=1,ROUND(Programa!F$54*'a)Plantilla'!$C10,RedondeoPersonalTecnico),IF(TipoProgramaPersonalTecnico=2,ROUND(Programa!D$54*'a)Plantilla'!$C10,RedondeoPersonalTecnico),ROUND(Programa!D$54*Hjor*'a)Plantilla'!$C10,RedondeoPersonalTecnico))),0)</f>
        <v>0</v>
      </c>
      <c r="AU26" s="6">
        <f>IF(Programa!D$55&gt;0,IF(TipoProgramaPersonalTecnico=1,ROUND(Programa!F$55*'a)Plantilla'!$C10,RedondeoPersonalTecnico),IF(TipoProgramaPersonalTecnico=2,ROUND(Programa!D$55*'a)Plantilla'!$C10,RedondeoPersonalTecnico),ROUND(Programa!D$55*Hjor*'a)Plantilla'!$C10,RedondeoPersonalTecnico))),0)</f>
        <v>0</v>
      </c>
      <c r="AV26" s="6">
        <f>IF(Programa!D$56&gt;0,IF(TipoProgramaPersonalTecnico=1,ROUND(Programa!F$56*'a)Plantilla'!$C10,RedondeoPersonalTecnico),IF(TipoProgramaPersonalTecnico=2,ROUND(Programa!D$56*'a)Plantilla'!$C10,RedondeoPersonalTecnico),ROUND(Programa!D$56*Hjor*'a)Plantilla'!$C10,RedondeoPersonalTecnico))),0)</f>
        <v>0</v>
      </c>
      <c r="AW26" s="6">
        <f>IF(Programa!D$57&gt;0,IF(TipoProgramaPersonalTecnico=1,ROUND(Programa!F$57*'a)Plantilla'!$C10,RedondeoPersonalTecnico),IF(TipoProgramaPersonalTecnico=2,ROUND(Programa!D$57*'a)Plantilla'!$C10,RedondeoPersonalTecnico),ROUND(Programa!D$57*Hjor*'a)Plantilla'!$C10,RedondeoPersonalTecnico))),0)</f>
        <v>0</v>
      </c>
      <c r="AX26" s="6">
        <f>IF(Programa!D$58&gt;0,IF(TipoProgramaPersonalTecnico=1,ROUND(Programa!F$58*'a)Plantilla'!$C10,RedondeoPersonalTecnico),IF(TipoProgramaPersonalTecnico=2,ROUND(Programa!D$58*'a)Plantilla'!$C10,RedondeoPersonalTecnico),ROUND(Programa!D$58*Hjor*'a)Plantilla'!$C10,RedondeoPersonalTecnico))),0)</f>
        <v>0</v>
      </c>
      <c r="AY26" s="6">
        <f>IF(Programa!D$59&gt;0,IF(TipoProgramaPersonalTecnico=1,ROUND(Programa!F$59*'a)Plantilla'!$C10,RedondeoPersonalTecnico),IF(TipoProgramaPersonalTecnico=2,ROUND(Programa!D$59*'a)Plantilla'!$C10,RedondeoPersonalTecnico),ROUND(Programa!D$59*Hjor*'a)Plantilla'!$C10,RedondeoPersonalTecnico))),0)</f>
        <v>0</v>
      </c>
      <c r="AZ26" s="6">
        <f>IF(Programa!D$60&gt;0,IF(TipoProgramaPersonalTecnico=1,ROUND(Programa!F$60*'a)Plantilla'!$C10,RedondeoPersonalTecnico),IF(TipoProgramaPersonalTecnico=2,ROUND(Programa!D$60*'a)Plantilla'!$C10,RedondeoPersonalTecnico),ROUND(Programa!D$60*Hjor*'a)Plantilla'!$C10,RedondeoPersonalTecnico))),0)</f>
        <v>0</v>
      </c>
      <c r="BA26" s="6">
        <f>IF(Programa!D$61&gt;0,IF(TipoProgramaPersonalTecnico=1,ROUND(Programa!F$61*'a)Plantilla'!$C10,RedondeoPersonalTecnico),IF(TipoProgramaPersonalTecnico=2,ROUND(Programa!D$61*'a)Plantilla'!$C10,RedondeoPersonalTecnico),ROUND(Programa!D$61*Hjor*'a)Plantilla'!$C10,RedondeoPersonalTecnico))),0)</f>
        <v>0</v>
      </c>
      <c r="BB26" s="6">
        <f>IF(Programa!D$62&gt;0,IF(TipoProgramaPersonalTecnico=1,ROUND(Programa!F$62*'a)Plantilla'!$C10,RedondeoPersonalTecnico),IF(TipoProgramaPersonalTecnico=2,ROUND(Programa!D$62*'a)Plantilla'!$C10,RedondeoPersonalTecnico),ROUND(Programa!D$62*Hjor*'a)Plantilla'!$C10,RedondeoPersonalTecnico))),0)</f>
        <v>0</v>
      </c>
      <c r="BC26" s="6">
        <f>IF(Programa!D$63&gt;0,IF(TipoProgramaPersonalTecnico=1,ROUND(Programa!F$63*'a)Plantilla'!$C10,RedondeoPersonalTecnico),IF(TipoProgramaPersonalTecnico=2,ROUND(Programa!D$63*'a)Plantilla'!$C10,RedondeoPersonalTecnico),ROUND(Programa!D$63*Hjor*'a)Plantilla'!$C10,RedondeoPersonalTecnico))),0)</f>
        <v>0</v>
      </c>
      <c r="BD26" s="6">
        <f>IF(Programa!D$64&gt;0,IF(TipoProgramaPersonalTecnico=1,ROUND(Programa!F$64*'a)Plantilla'!$C10,RedondeoPersonalTecnico),IF(TipoProgramaPersonalTecnico=2,ROUND(Programa!D$64*'a)Plantilla'!$C10,RedondeoPersonalTecnico),ROUND(Programa!D$64*Hjor*'a)Plantilla'!$C10,RedondeoPersonalTecnico))),0)</f>
        <v>0</v>
      </c>
      <c r="BE26" s="6">
        <f>IF(Programa!D$65&gt;0,IF(TipoProgramaPersonalTecnico=1,ROUND(Programa!F$65*'a)Plantilla'!$C10,RedondeoPersonalTecnico),IF(TipoProgramaPersonalTecnico=2,ROUND(Programa!D$65*'a)Plantilla'!$C10,RedondeoPersonalTecnico),ROUND(Programa!D$65*Hjor*'a)Plantilla'!$C10,RedondeoPersonalTecnico))),0)</f>
        <v>0</v>
      </c>
      <c r="BF26" s="6">
        <f>IF(Programa!D$66&gt;0,IF(TipoProgramaPersonalTecnico=1,ROUND(Programa!F$66*'a)Plantilla'!$C10,RedondeoPersonalTecnico),IF(TipoProgramaPersonalTecnico=2,ROUND(Programa!D$66*'a)Plantilla'!$C10,RedondeoPersonalTecnico),ROUND(Programa!D$66*Hjor*'a)Plantilla'!$C10,RedondeoPersonalTecnico))),0)</f>
        <v>0</v>
      </c>
      <c r="BG26" s="6">
        <f>IF(Programa!D$67&gt;0,IF(TipoProgramaPersonalTecnico=1,ROUND(Programa!F$67*'a)Plantilla'!$C10,RedondeoPersonalTecnico),IF(TipoProgramaPersonalTecnico=2,ROUND(Programa!D$67*'a)Plantilla'!$C10,RedondeoPersonalTecnico),ROUND(Programa!D$67*Hjor*'a)Plantilla'!$C10,RedondeoPersonalTecnico))),0)</f>
        <v>0</v>
      </c>
      <c r="BH26" s="6">
        <f>IF(Programa!D$68&gt;0,IF(TipoProgramaPersonalTecnico=1,ROUND(Programa!F$68*'a)Plantilla'!$C10,RedondeoPersonalTecnico),IF(TipoProgramaPersonalTecnico=2,ROUND(Programa!D$68*'a)Plantilla'!$C10,RedondeoPersonalTecnico),ROUND(Programa!D$68*Hjor*'a)Plantilla'!$C10,RedondeoPersonalTecnico))),0)</f>
        <v>0</v>
      </c>
      <c r="BI26" s="6">
        <f>IF(Programa!D$69&gt;0,IF(TipoProgramaPersonalTecnico=1,ROUND(Programa!F$69*'a)Plantilla'!$C10,RedondeoPersonalTecnico),IF(TipoProgramaPersonalTecnico=2,ROUND(Programa!D$69*'a)Plantilla'!$C10,RedondeoPersonalTecnico),ROUND(Programa!D$69*Hjor*'a)Plantilla'!$C10,RedondeoPersonalTecnico))),0)</f>
        <v>0</v>
      </c>
      <c r="BJ26" s="6">
        <f>IF(Programa!D$70&gt;0,IF(TipoProgramaPersonalTecnico=1,ROUND(Programa!F$70*'a)Plantilla'!$C10,RedondeoPersonalTecnico),IF(TipoProgramaPersonalTecnico=2,ROUND(Programa!D$70*'a)Plantilla'!$C10,RedondeoPersonalTecnico),ROUND(Programa!D$70*Hjor*'a)Plantilla'!$C10,RedondeoPersonalTecnico))),0)</f>
        <v>0</v>
      </c>
      <c r="BK26" s="6">
        <f>IF(Programa!D$71&gt;0,IF(TipoProgramaPersonalTecnico=1,ROUND(Programa!F$71*'a)Plantilla'!$C10,RedondeoPersonalTecnico),IF(TipoProgramaPersonalTecnico=2,ROUND(Programa!D$71*'a)Plantilla'!$C10,RedondeoPersonalTecnico),ROUND(Programa!D$71*Hjor*'a)Plantilla'!$C10,RedondeoPersonalTecnico))),0)</f>
        <v>0</v>
      </c>
      <c r="BL26" s="78">
        <f>IF(Programa!D$72&gt;0,IF(TipoProgramaPersonalTecnico=1,ROUND(Programa!F$72*'a)Plantilla'!$C10,RedondeoPersonalTecnico),IF(TipoProgramaPersonalTecnico=2,ROUND(Programa!D$72*'a)Plantilla'!$C10,RedondeoPersonalTecnico),ROUND(Programa!D$72*Hjor*'a)Plantilla'!$C10,RedondeoPersonalTecnico))),0)</f>
        <v>0</v>
      </c>
    </row>
    <row r="27" spans="1:64" ht="8.1" customHeight="1">
      <c r="A27" s="67"/>
      <c r="B27" s="46"/>
      <c r="C27" s="31"/>
      <c r="D27" s="22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8"/>
      <c r="Q27" s="27"/>
      <c r="R27" s="6"/>
      <c r="S27" s="6"/>
      <c r="T27" s="6"/>
      <c r="U27" s="6"/>
      <c r="V27" s="6"/>
      <c r="W27" s="6"/>
      <c r="X27" s="6"/>
      <c r="Y27" s="6"/>
      <c r="Z27" s="6"/>
      <c r="AA27" s="6"/>
      <c r="AB27" s="78"/>
      <c r="AC27" s="27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78"/>
      <c r="AO27" s="27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78"/>
    </row>
    <row r="28" spans="1:64" ht="11.25" customHeight="1">
      <c r="A28" s="67"/>
      <c r="B28" s="46" t="str">
        <f>IF('a)Plantilla'!C11&gt;0,'a)Plantilla'!B11,"")</f>
        <v/>
      </c>
      <c r="C28" s="17" t="str">
        <f>IF('a)Plantilla'!C$11&gt;0,IF(TipoProgramaPersonalTecnico=1,"Personas",IF(TipoProgramaPersonalTecnico=2,"Jornal","horas-Hombre")),"")</f>
        <v/>
      </c>
      <c r="D28" s="226">
        <f>ROUND(SUM(E28:BL28),RedondeoPersonalTecnico)</f>
        <v>0</v>
      </c>
      <c r="E28" s="6">
        <f>IF(Programa!D$13&gt;0,IF(TipoProgramaPersonalTecnico=1,ROUND(Programa!F$13*'a)Plantilla'!$C11,RedondeoPersonalTecnico),IF(TipoProgramaPersonalTecnico=2,ROUND(Programa!D$13*'a)Plantilla'!$C11,RedondeoPersonalTecnico),ROUND(Programa!D$13*Hjor*'a)Plantilla'!$C11,RedondeoPersonalTecnico))),0)</f>
        <v>0</v>
      </c>
      <c r="F28" s="6">
        <f>IF(Programa!D$14&gt;0,IF(TipoProgramaPersonalTecnico=1,ROUND(Programa!F$14*'a)Plantilla'!$C11,RedondeoPersonalTecnico),IF(TipoProgramaPersonalTecnico=2,ROUND(Programa!D$14*'a)Plantilla'!$C11,RedondeoPersonalTecnico),ROUND(Programa!D$14*Hjor*'a)Plantilla'!$C11,RedondeoPersonalTecnico))),0)</f>
        <v>0</v>
      </c>
      <c r="G28" s="6">
        <f>IF(Programa!D$15&gt;0,IF(TipoProgramaPersonalTecnico=1,ROUND(Programa!F$15*'a)Plantilla'!$C11,RedondeoPersonalTecnico),IF(TipoProgramaPersonalTecnico=2,ROUND(Programa!D$15*'a)Plantilla'!$C11,RedondeoPersonalTecnico),ROUND(Programa!D$15*Hjor*'a)Plantilla'!$C11,RedondeoPersonalTecnico))),0)</f>
        <v>0</v>
      </c>
      <c r="H28" s="6">
        <f>IF(Programa!D$16&gt;0,IF(TipoProgramaPersonalTecnico=1,ROUND(Programa!F$16*'a)Plantilla'!$C11,RedondeoPersonalTecnico),IF(TipoProgramaPersonalTecnico=2,ROUND(Programa!D$16*'a)Plantilla'!$C11,RedondeoPersonalTecnico),ROUND(Programa!D$16*Hjor*'a)Plantilla'!$C11,RedondeoPersonalTecnico))),0)</f>
        <v>0</v>
      </c>
      <c r="I28" s="6">
        <f>IF(Programa!D$17&gt;0,IF(TipoProgramaPersonalTecnico=1,ROUND(Programa!F$17*'a)Plantilla'!$C11,RedondeoPersonalTecnico),IF(TipoProgramaPersonalTecnico=2,ROUND(Programa!D$17*'a)Plantilla'!$C11,RedondeoPersonalTecnico),ROUND(Programa!D$17*Hjor*'a)Plantilla'!$C11,RedondeoPersonalTecnico))),0)</f>
        <v>0</v>
      </c>
      <c r="J28" s="6">
        <f>IF(Programa!D$18&gt;0,IF(TipoProgramaPersonalTecnico=1,ROUND(Programa!F$18*'a)Plantilla'!$C11,RedondeoPersonalTecnico),IF(TipoProgramaPersonalTecnico=2,ROUND(Programa!D$18*'a)Plantilla'!$C11,RedondeoPersonalTecnico),ROUND(Programa!D$18*Hjor*'a)Plantilla'!$C11,RedondeoPersonalTecnico))),0)</f>
        <v>0</v>
      </c>
      <c r="K28" s="6">
        <f>IF(Programa!D$19&gt;0,IF(TipoProgramaPersonalTecnico=1,ROUND(Programa!F$19*'a)Plantilla'!$C11,RedondeoPersonalTecnico),IF(TipoProgramaPersonalTecnico=2,ROUND(Programa!D$19*'a)Plantilla'!$C11,RedondeoPersonalTecnico),ROUND(Programa!D$19*Hjor*'a)Plantilla'!$C11,RedondeoPersonalTecnico))),0)</f>
        <v>0</v>
      </c>
      <c r="L28" s="6">
        <f>IF(Programa!D$20&gt;0,IF(TipoProgramaPersonalTecnico=1,ROUND(Programa!F$20*'a)Plantilla'!$C11,RedondeoPersonalTecnico),IF(TipoProgramaPersonalTecnico=2,ROUND(Programa!D$20*'a)Plantilla'!$C11,RedondeoPersonalTecnico),ROUND(Programa!D$20*Hjor*'a)Plantilla'!$C11,RedondeoPersonalTecnico))),0)</f>
        <v>0</v>
      </c>
      <c r="M28" s="6">
        <f>IF(Programa!D$21&gt;0,IF(TipoProgramaPersonalTecnico=1,ROUND(Programa!F$21*'a)Plantilla'!$C11,RedondeoPersonalTecnico),IF(TipoProgramaPersonalTecnico=2,ROUND(Programa!D$21*'a)Plantilla'!$C11,RedondeoPersonalTecnico),ROUND(Programa!D$21*Hjor*'a)Plantilla'!$C11,RedondeoPersonalTecnico))),0)</f>
        <v>0</v>
      </c>
      <c r="N28" s="6">
        <f>IF(Programa!D$22&gt;0,IF(TipoProgramaPersonalTecnico=1,ROUND(Programa!F$22*'a)Plantilla'!$C11,RedondeoPersonalTecnico),IF(TipoProgramaPersonalTecnico=2,ROUND(Programa!D$22*'a)Plantilla'!$C11,RedondeoPersonalTecnico),ROUND(Programa!D$22*Hjor*'a)Plantilla'!$C11,RedondeoPersonalTecnico))),0)</f>
        <v>0</v>
      </c>
      <c r="O28" s="6">
        <f>IF(Programa!D$23&gt;0,IF(TipoProgramaPersonalTecnico=1,ROUND(Programa!F$23*'a)Plantilla'!$C11,RedondeoPersonalTecnico),IF(TipoProgramaPersonalTecnico=2,ROUND(Programa!D$23*'a)Plantilla'!$C11,RedondeoPersonalTecnico),ROUND(Programa!D$23*Hjor*'a)Plantilla'!$C11,RedondeoPersonalTecnico))),0)</f>
        <v>0</v>
      </c>
      <c r="P28" s="78">
        <f>IF(Programa!D$24&gt;0,IF(TipoProgramaPersonalTecnico=1,ROUND(Programa!F$24*'a)Plantilla'!$C11,RedondeoPersonalTecnico),IF(TipoProgramaPersonalTecnico=2,ROUND(Programa!D$24*'a)Plantilla'!$C11,RedondeoPersonalTecnico),ROUND(Programa!D$24*Hjor*'a)Plantilla'!$C11,RedondeoPersonalTecnico))),0)</f>
        <v>0</v>
      </c>
      <c r="Q28" s="27">
        <f>IF(Programa!D$25&gt;0,IF(TipoProgramaPersonalTecnico=1,ROUND(Programa!F$25*'a)Plantilla'!$C11,RedondeoPersonalTecnico),IF(TipoProgramaPersonalTecnico=2,ROUND(Programa!D$25*'a)Plantilla'!$C11,RedondeoPersonalTecnico),ROUND(Programa!D$25*Hjor*'a)Plantilla'!$C11,RedondeoPersonalTecnico))),0)</f>
        <v>0</v>
      </c>
      <c r="R28" s="6">
        <f>IF(Programa!D$26&gt;0,IF(TipoProgramaPersonalTecnico=1,ROUND(Programa!F$26*'a)Plantilla'!$C11,RedondeoPersonalTecnico),IF(TipoProgramaPersonalTecnico=2,ROUND(Programa!D$26*'a)Plantilla'!$C11,RedondeoPersonalTecnico),ROUND(Programa!D$26*Hjor*'a)Plantilla'!$C11,RedondeoPersonalTecnico))),0)</f>
        <v>0</v>
      </c>
      <c r="S28" s="6">
        <f>IF(Programa!D$27&gt;0,IF(TipoProgramaPersonalTecnico=1,ROUND(Programa!F$27*'a)Plantilla'!$C11,RedondeoPersonalTecnico),IF(TipoProgramaPersonalTecnico=2,ROUND(Programa!D$27*'a)Plantilla'!$C11,RedondeoPersonalTecnico),ROUND(Programa!D$27*Hjor*'a)Plantilla'!$C11,RedondeoPersonalTecnico))),0)</f>
        <v>0</v>
      </c>
      <c r="T28" s="6">
        <f>IF(Programa!D$28&gt;0,IF(TipoProgramaPersonalTecnico=1,ROUND(Programa!F$28*'a)Plantilla'!$C11,RedondeoPersonalTecnico),IF(TipoProgramaPersonalTecnico=2,ROUND(Programa!D$28*'a)Plantilla'!$C11,RedondeoPersonalTecnico),ROUND(Programa!D$28*Hjor*'a)Plantilla'!$C11,RedondeoPersonalTecnico))),0)</f>
        <v>0</v>
      </c>
      <c r="U28" s="6">
        <f>IF(Programa!D$29&gt;0,IF(TipoProgramaPersonalTecnico=1,ROUND(Programa!F$29*'a)Plantilla'!$C11,RedondeoPersonalTecnico),IF(TipoProgramaPersonalTecnico=2,ROUND(Programa!D$29*'a)Plantilla'!$C11,RedondeoPersonalTecnico),ROUND(Programa!D$29*Hjor*'a)Plantilla'!$C11,RedondeoPersonalTecnico))),0)</f>
        <v>0</v>
      </c>
      <c r="V28" s="6">
        <f>IF(Programa!D$30&gt;0,IF(TipoProgramaPersonalTecnico=1,ROUND(Programa!F$30*'a)Plantilla'!$C11,RedondeoPersonalTecnico),IF(TipoProgramaPersonalTecnico=2,ROUND(Programa!D$30*'a)Plantilla'!$C11,RedondeoPersonalTecnico),ROUND(Programa!D$30*Hjor*'a)Plantilla'!$C11,RedondeoPersonalTecnico))),0)</f>
        <v>0</v>
      </c>
      <c r="W28" s="6">
        <f>IF(Programa!D$31&gt;0,IF(TipoProgramaPersonalTecnico=1,ROUND(Programa!F$31*'a)Plantilla'!$C11,RedondeoPersonalTecnico),IF(TipoProgramaPersonalTecnico=2,ROUND(Programa!D$31*'a)Plantilla'!$C11,RedondeoPersonalTecnico),ROUND(Programa!D$31*Hjor*'a)Plantilla'!$C11,RedondeoPersonalTecnico))),0)</f>
        <v>0</v>
      </c>
      <c r="X28" s="6">
        <f>IF(Programa!D$32&gt;0,IF(TipoProgramaPersonalTecnico=1,ROUND(Programa!F$32*'a)Plantilla'!$C11,RedondeoPersonalTecnico),IF(TipoProgramaPersonalTecnico=2,ROUND(Programa!D$32*'a)Plantilla'!$C11,RedondeoPersonalTecnico),ROUND(Programa!D$32*Hjor*'a)Plantilla'!$C11,RedondeoPersonalTecnico))),0)</f>
        <v>0</v>
      </c>
      <c r="Y28" s="6">
        <f>IF(Programa!D$33&gt;0,IF(TipoProgramaPersonalTecnico=1,ROUND(Programa!F$33*'a)Plantilla'!$C11,RedondeoPersonalTecnico),IF(TipoProgramaPersonalTecnico=2,ROUND(Programa!D$33*'a)Plantilla'!$C11,RedondeoPersonalTecnico),ROUND(Programa!D$33*Hjor*'a)Plantilla'!$C11,RedondeoPersonalTecnico))),0)</f>
        <v>0</v>
      </c>
      <c r="Z28" s="6">
        <f>IF(Programa!D$34&gt;0,IF(TipoProgramaPersonalTecnico=1,ROUND(Programa!F$34*'a)Plantilla'!$C11,RedondeoPersonalTecnico),IF(TipoProgramaPersonalTecnico=2,ROUND(Programa!D$34*'a)Plantilla'!$C11,RedondeoPersonalTecnico),ROUND(Programa!D$34*Hjor*'a)Plantilla'!$C11,RedondeoPersonalTecnico))),0)</f>
        <v>0</v>
      </c>
      <c r="AA28" s="6">
        <f>IF(Programa!D$35&gt;0,IF(TipoProgramaPersonalTecnico=1,ROUND(Programa!F$35*'a)Plantilla'!$C11,RedondeoPersonalTecnico),IF(TipoProgramaPersonalTecnico=2,ROUND(Programa!D$35*'a)Plantilla'!$C11,RedondeoPersonalTecnico),ROUND(Programa!D$35*Hjor*'a)Plantilla'!$C11,RedondeoPersonalTecnico))),0)</f>
        <v>0</v>
      </c>
      <c r="AB28" s="78">
        <f>IF(Programa!D$36&gt;0,IF(TipoProgramaPersonalTecnico=1,ROUND(Programa!F$36*'a)Plantilla'!$C11,RedondeoPersonalTecnico),IF(TipoProgramaPersonalTecnico=2,ROUND(Programa!D$36*'a)Plantilla'!$C11,RedondeoPersonalTecnico),ROUND(Programa!D$36*Hjor*'a)Plantilla'!$C11,RedondeoPersonalTecnico))),0)</f>
        <v>0</v>
      </c>
      <c r="AC28" s="27">
        <f>IF(Programa!D$37&gt;0,IF(TipoProgramaPersonalTecnico=1,ROUND(Programa!F$37*'a)Plantilla'!$C11,RedondeoPersonalTecnico),IF(TipoProgramaPersonalTecnico=2,ROUND(Programa!D$37*'a)Plantilla'!$C11,RedondeoPersonalTecnico),ROUND(Programa!D$37*Hjor*'a)Plantilla'!$C11,RedondeoPersonalTecnico))),0)</f>
        <v>0</v>
      </c>
      <c r="AD28" s="6">
        <f>IF(Programa!D$38&gt;0,IF(TipoProgramaPersonalTecnico=1,ROUND(Programa!F$38*'a)Plantilla'!$C11,RedondeoPersonalTecnico),IF(TipoProgramaPersonalTecnico=2,ROUND(Programa!D$38*'a)Plantilla'!$C11,RedondeoPersonalTecnico),ROUND(Programa!D$38*Hjor*'a)Plantilla'!$C11,RedondeoPersonalTecnico))),0)</f>
        <v>0</v>
      </c>
      <c r="AE28" s="6">
        <f>IF(Programa!D$39&gt;0,IF(TipoProgramaPersonalTecnico=1,ROUND(Programa!F$39*'a)Plantilla'!$C11,RedondeoPersonalTecnico),IF(TipoProgramaPersonalTecnico=2,ROUND(Programa!D$39*'a)Plantilla'!$C11,RedondeoPersonalTecnico),ROUND(Programa!D$39*Hjor*'a)Plantilla'!$C11,RedondeoPersonalTecnico))),0)</f>
        <v>0</v>
      </c>
      <c r="AF28" s="6">
        <f>IF(Programa!D$40&gt;0,IF(TipoProgramaPersonalTecnico=1,ROUND(Programa!F$40*'a)Plantilla'!$C11,RedondeoPersonalTecnico),IF(TipoProgramaPersonalTecnico=2,ROUND(Programa!D$40*'a)Plantilla'!$C11,RedondeoPersonalTecnico),ROUND(Programa!D$40*Hjor*'a)Plantilla'!$C11,RedondeoPersonalTecnico))),0)</f>
        <v>0</v>
      </c>
      <c r="AG28" s="6">
        <f>IF(Programa!D$41&gt;0,IF(TipoProgramaPersonalTecnico=1,ROUND(Programa!F$41*'a)Plantilla'!$C11,RedondeoPersonalTecnico),IF(TipoProgramaPersonalTecnico=2,ROUND(Programa!D$41*'a)Plantilla'!$C11,RedondeoPersonalTecnico),ROUND(Programa!D$41*Hjor*'a)Plantilla'!$C11,RedondeoPersonalTecnico))),0)</f>
        <v>0</v>
      </c>
      <c r="AH28" s="6">
        <f>IF(Programa!D$42&gt;0,IF(TipoProgramaPersonalTecnico=1,ROUND(Programa!F$42*'a)Plantilla'!$C11,RedondeoPersonalTecnico),IF(TipoProgramaPersonalTecnico=2,ROUND(Programa!D$42*'a)Plantilla'!$C11,RedondeoPersonalTecnico),ROUND(Programa!D$42*Hjor*'a)Plantilla'!$C11,RedondeoPersonalTecnico))),0)</f>
        <v>0</v>
      </c>
      <c r="AI28" s="6">
        <f>IF(Programa!D$43&gt;0,IF(TipoProgramaPersonalTecnico=1,ROUND(Programa!F$43*'a)Plantilla'!$C11,RedondeoPersonalTecnico),IF(TipoProgramaPersonalTecnico=2,ROUND(Programa!D$43*'a)Plantilla'!$C11,RedondeoPersonalTecnico),ROUND(Programa!D$43*Hjor*'a)Plantilla'!$C11,RedondeoPersonalTecnico))),0)</f>
        <v>0</v>
      </c>
      <c r="AJ28" s="6">
        <f>IF(Programa!D$44&gt;0,IF(TipoProgramaPersonalTecnico=1,ROUND(Programa!F$44*'a)Plantilla'!$C11,RedondeoPersonalTecnico),IF(TipoProgramaPersonalTecnico=2,ROUND(Programa!D$44*'a)Plantilla'!$C11,RedondeoPersonalTecnico),ROUND(Programa!D$44*Hjor*'a)Plantilla'!$C11,RedondeoPersonalTecnico))),0)</f>
        <v>0</v>
      </c>
      <c r="AK28" s="6">
        <f>IF(Programa!D$45&gt;0,IF(TipoProgramaPersonalTecnico=1,ROUND(Programa!F$45*'a)Plantilla'!$C11,RedondeoPersonalTecnico),IF(TipoProgramaPersonalTecnico=2,ROUND(Programa!D$45*'a)Plantilla'!$C11,RedondeoPersonalTecnico),ROUND(Programa!D$45*Hjor*'a)Plantilla'!$C11,RedondeoPersonalTecnico))),0)</f>
        <v>0</v>
      </c>
      <c r="AL28" s="6">
        <f>IF(Programa!D$46&gt;0,IF(TipoProgramaPersonalTecnico=1,ROUND(Programa!F$46*'a)Plantilla'!$C11,RedondeoPersonalTecnico),IF(TipoProgramaPersonalTecnico=2,ROUND(Programa!D$46*'a)Plantilla'!$C11,RedondeoPersonalTecnico),ROUND(Programa!D$46*Hjor*'a)Plantilla'!$C11,RedondeoPersonalTecnico))),0)</f>
        <v>0</v>
      </c>
      <c r="AM28" s="6">
        <f>IF(Programa!D$47&gt;0,IF(TipoProgramaPersonalTecnico=1,ROUND(Programa!F$47*'a)Plantilla'!$C11,RedondeoPersonalTecnico),IF(TipoProgramaPersonalTecnico=2,ROUND(Programa!D$47*'a)Plantilla'!$C11,RedondeoPersonalTecnico),ROUND(Programa!D$47*Hjor*'a)Plantilla'!$C11,RedondeoPersonalTecnico))),0)</f>
        <v>0</v>
      </c>
      <c r="AN28" s="78">
        <f>IF(Programa!D$48&gt;0,IF(TipoProgramaPersonalTecnico=1,ROUND(Programa!F$48*'a)Plantilla'!$C11,RedondeoPersonalTecnico),IF(TipoProgramaPersonalTecnico=2,ROUND(Programa!D$48*'a)Plantilla'!$C11,RedondeoPersonalTecnico),ROUND(Programa!D$48*Hjor*'a)Plantilla'!$C11,RedondeoPersonalTecnico))),0)</f>
        <v>0</v>
      </c>
      <c r="AO28" s="27">
        <f>IF(Programa!D$49&gt;0,IF(TipoProgramaPersonalTecnico=1,ROUND(Programa!F$49*'a)Plantilla'!$C11,RedondeoPersonalTecnico),IF(TipoProgramaPersonalTecnico=2,ROUND(Programa!D$49*'a)Plantilla'!$C11,RedondeoPersonalTecnico),ROUND(Programa!D$49*Hjor*'a)Plantilla'!$C11,RedondeoPersonalTecnico))),0)</f>
        <v>0</v>
      </c>
      <c r="AP28" s="6">
        <f>IF(Programa!D$50&gt;0,IF(TipoProgramaPersonalTecnico=1,ROUND(Programa!F$50*'a)Plantilla'!$C11,RedondeoPersonalTecnico),IF(TipoProgramaPersonalTecnico=2,ROUND(Programa!D$50*'a)Plantilla'!$C11,RedondeoPersonalTecnico),ROUND(Programa!D$50*Hjor*'a)Plantilla'!$C11,RedondeoPersonalTecnico))),0)</f>
        <v>0</v>
      </c>
      <c r="AQ28" s="6">
        <f>IF(Programa!D$51&gt;0,IF(TipoProgramaPersonalTecnico=1,ROUND(Programa!F$51*'a)Plantilla'!$C11,RedondeoPersonalTecnico),IF(TipoProgramaPersonalTecnico=2,ROUND(Programa!D$51*'a)Plantilla'!$C11,RedondeoPersonalTecnico),ROUND(Programa!D$51*Hjor*'a)Plantilla'!$C11,RedondeoPersonalTecnico))),0)</f>
        <v>0</v>
      </c>
      <c r="AR28" s="6">
        <f>IF(Programa!D$52&gt;0,IF(TipoProgramaPersonalTecnico=1,ROUND(Programa!F$52*'a)Plantilla'!$C11,RedondeoPersonalTecnico),IF(TipoProgramaPersonalTecnico=2,ROUND(Programa!D$52*'a)Plantilla'!$C11,RedondeoPersonalTecnico),ROUND(Programa!D$52*Hjor*'a)Plantilla'!$C11,RedondeoPersonalTecnico))),0)</f>
        <v>0</v>
      </c>
      <c r="AS28" s="6">
        <f>IF(Programa!D$53&gt;0,IF(TipoProgramaPersonalTecnico=1,ROUND(Programa!F$53*'a)Plantilla'!$C11,RedondeoPersonalTecnico),IF(TipoProgramaPersonalTecnico=2,ROUND(Programa!D$53*'a)Plantilla'!$C11,RedondeoPersonalTecnico),ROUND(Programa!D$53*Hjor*'a)Plantilla'!$C11,RedondeoPersonalTecnico))),0)</f>
        <v>0</v>
      </c>
      <c r="AT28" s="6">
        <f>IF(Programa!D$54&gt;0,IF(TipoProgramaPersonalTecnico=1,ROUND(Programa!F$54*'a)Plantilla'!$C11,RedondeoPersonalTecnico),IF(TipoProgramaPersonalTecnico=2,ROUND(Programa!D$54*'a)Plantilla'!$C11,RedondeoPersonalTecnico),ROUND(Programa!D$54*Hjor*'a)Plantilla'!$C11,RedondeoPersonalTecnico))),0)</f>
        <v>0</v>
      </c>
      <c r="AU28" s="6">
        <f>IF(Programa!D$55&gt;0,IF(TipoProgramaPersonalTecnico=1,ROUND(Programa!F$55*'a)Plantilla'!$C11,RedondeoPersonalTecnico),IF(TipoProgramaPersonalTecnico=2,ROUND(Programa!D$55*'a)Plantilla'!$C11,RedondeoPersonalTecnico),ROUND(Programa!D$55*Hjor*'a)Plantilla'!$C11,RedondeoPersonalTecnico))),0)</f>
        <v>0</v>
      </c>
      <c r="AV28" s="6">
        <f>IF(Programa!D$56&gt;0,IF(TipoProgramaPersonalTecnico=1,ROUND(Programa!F$56*'a)Plantilla'!$C11,RedondeoPersonalTecnico),IF(TipoProgramaPersonalTecnico=2,ROUND(Programa!D$56*'a)Plantilla'!$C11,RedondeoPersonalTecnico),ROUND(Programa!D$56*Hjor*'a)Plantilla'!$C11,RedondeoPersonalTecnico))),0)</f>
        <v>0</v>
      </c>
      <c r="AW28" s="6">
        <f>IF(Programa!D$57&gt;0,IF(TipoProgramaPersonalTecnico=1,ROUND(Programa!F$57*'a)Plantilla'!$C11,RedondeoPersonalTecnico),IF(TipoProgramaPersonalTecnico=2,ROUND(Programa!D$57*'a)Plantilla'!$C11,RedondeoPersonalTecnico),ROUND(Programa!D$57*Hjor*'a)Plantilla'!$C11,RedondeoPersonalTecnico))),0)</f>
        <v>0</v>
      </c>
      <c r="AX28" s="6">
        <f>IF(Programa!D$58&gt;0,IF(TipoProgramaPersonalTecnico=1,ROUND(Programa!F$58*'a)Plantilla'!$C11,RedondeoPersonalTecnico),IF(TipoProgramaPersonalTecnico=2,ROUND(Programa!D$58*'a)Plantilla'!$C11,RedondeoPersonalTecnico),ROUND(Programa!D$58*Hjor*'a)Plantilla'!$C11,RedondeoPersonalTecnico))),0)</f>
        <v>0</v>
      </c>
      <c r="AY28" s="6">
        <f>IF(Programa!D$59&gt;0,IF(TipoProgramaPersonalTecnico=1,ROUND(Programa!F$59*'a)Plantilla'!$C11,RedondeoPersonalTecnico),IF(TipoProgramaPersonalTecnico=2,ROUND(Programa!D$59*'a)Plantilla'!$C11,RedondeoPersonalTecnico),ROUND(Programa!D$59*Hjor*'a)Plantilla'!$C11,RedondeoPersonalTecnico))),0)</f>
        <v>0</v>
      </c>
      <c r="AZ28" s="6">
        <f>IF(Programa!D$60&gt;0,IF(TipoProgramaPersonalTecnico=1,ROUND(Programa!F$60*'a)Plantilla'!$C11,RedondeoPersonalTecnico),IF(TipoProgramaPersonalTecnico=2,ROUND(Programa!D$60*'a)Plantilla'!$C11,RedondeoPersonalTecnico),ROUND(Programa!D$60*Hjor*'a)Plantilla'!$C11,RedondeoPersonalTecnico))),0)</f>
        <v>0</v>
      </c>
      <c r="BA28" s="6">
        <f>IF(Programa!D$61&gt;0,IF(TipoProgramaPersonalTecnico=1,ROUND(Programa!F$61*'a)Plantilla'!$C11,RedondeoPersonalTecnico),IF(TipoProgramaPersonalTecnico=2,ROUND(Programa!D$61*'a)Plantilla'!$C11,RedondeoPersonalTecnico),ROUND(Programa!D$61*Hjor*'a)Plantilla'!$C11,RedondeoPersonalTecnico))),0)</f>
        <v>0</v>
      </c>
      <c r="BB28" s="6">
        <f>IF(Programa!D$62&gt;0,IF(TipoProgramaPersonalTecnico=1,ROUND(Programa!F$62*'a)Plantilla'!$C11,RedondeoPersonalTecnico),IF(TipoProgramaPersonalTecnico=2,ROUND(Programa!D$62*'a)Plantilla'!$C11,RedondeoPersonalTecnico),ROUND(Programa!D$62*Hjor*'a)Plantilla'!$C11,RedondeoPersonalTecnico))),0)</f>
        <v>0</v>
      </c>
      <c r="BC28" s="6">
        <f>IF(Programa!D$63&gt;0,IF(TipoProgramaPersonalTecnico=1,ROUND(Programa!F$63*'a)Plantilla'!$C11,RedondeoPersonalTecnico),IF(TipoProgramaPersonalTecnico=2,ROUND(Programa!D$63*'a)Plantilla'!$C11,RedondeoPersonalTecnico),ROUND(Programa!D$63*Hjor*'a)Plantilla'!$C11,RedondeoPersonalTecnico))),0)</f>
        <v>0</v>
      </c>
      <c r="BD28" s="6">
        <f>IF(Programa!D$64&gt;0,IF(TipoProgramaPersonalTecnico=1,ROUND(Programa!F$64*'a)Plantilla'!$C11,RedondeoPersonalTecnico),IF(TipoProgramaPersonalTecnico=2,ROUND(Programa!D$64*'a)Plantilla'!$C11,RedondeoPersonalTecnico),ROUND(Programa!D$64*Hjor*'a)Plantilla'!$C11,RedondeoPersonalTecnico))),0)</f>
        <v>0</v>
      </c>
      <c r="BE28" s="6">
        <f>IF(Programa!D$65&gt;0,IF(TipoProgramaPersonalTecnico=1,ROUND(Programa!F$65*'a)Plantilla'!$C11,RedondeoPersonalTecnico),IF(TipoProgramaPersonalTecnico=2,ROUND(Programa!D$65*'a)Plantilla'!$C11,RedondeoPersonalTecnico),ROUND(Programa!D$65*Hjor*'a)Plantilla'!$C11,RedondeoPersonalTecnico))),0)</f>
        <v>0</v>
      </c>
      <c r="BF28" s="6">
        <f>IF(Programa!D$66&gt;0,IF(TipoProgramaPersonalTecnico=1,ROUND(Programa!F$66*'a)Plantilla'!$C11,RedondeoPersonalTecnico),IF(TipoProgramaPersonalTecnico=2,ROUND(Programa!D$66*'a)Plantilla'!$C11,RedondeoPersonalTecnico),ROUND(Programa!D$66*Hjor*'a)Plantilla'!$C11,RedondeoPersonalTecnico))),0)</f>
        <v>0</v>
      </c>
      <c r="BG28" s="6">
        <f>IF(Programa!D$67&gt;0,IF(TipoProgramaPersonalTecnico=1,ROUND(Programa!F$67*'a)Plantilla'!$C11,RedondeoPersonalTecnico),IF(TipoProgramaPersonalTecnico=2,ROUND(Programa!D$67*'a)Plantilla'!$C11,RedondeoPersonalTecnico),ROUND(Programa!D$67*Hjor*'a)Plantilla'!$C11,RedondeoPersonalTecnico))),0)</f>
        <v>0</v>
      </c>
      <c r="BH28" s="6">
        <f>IF(Programa!D$68&gt;0,IF(TipoProgramaPersonalTecnico=1,ROUND(Programa!F$68*'a)Plantilla'!$C11,RedondeoPersonalTecnico),IF(TipoProgramaPersonalTecnico=2,ROUND(Programa!D$68*'a)Plantilla'!$C11,RedondeoPersonalTecnico),ROUND(Programa!D$68*Hjor*'a)Plantilla'!$C11,RedondeoPersonalTecnico))),0)</f>
        <v>0</v>
      </c>
      <c r="BI28" s="6">
        <f>IF(Programa!D$69&gt;0,IF(TipoProgramaPersonalTecnico=1,ROUND(Programa!F$69*'a)Plantilla'!$C11,RedondeoPersonalTecnico),IF(TipoProgramaPersonalTecnico=2,ROUND(Programa!D$69*'a)Plantilla'!$C11,RedondeoPersonalTecnico),ROUND(Programa!D$69*Hjor*'a)Plantilla'!$C11,RedondeoPersonalTecnico))),0)</f>
        <v>0</v>
      </c>
      <c r="BJ28" s="6">
        <f>IF(Programa!D$70&gt;0,IF(TipoProgramaPersonalTecnico=1,ROUND(Programa!F$70*'a)Plantilla'!$C11,RedondeoPersonalTecnico),IF(TipoProgramaPersonalTecnico=2,ROUND(Programa!D$70*'a)Plantilla'!$C11,RedondeoPersonalTecnico),ROUND(Programa!D$70*Hjor*'a)Plantilla'!$C11,RedondeoPersonalTecnico))),0)</f>
        <v>0</v>
      </c>
      <c r="BK28" s="6">
        <f>IF(Programa!D$71&gt;0,IF(TipoProgramaPersonalTecnico=1,ROUND(Programa!F$71*'a)Plantilla'!$C11,RedondeoPersonalTecnico),IF(TipoProgramaPersonalTecnico=2,ROUND(Programa!D$71*'a)Plantilla'!$C11,RedondeoPersonalTecnico),ROUND(Programa!D$71*Hjor*'a)Plantilla'!$C11,RedondeoPersonalTecnico))),0)</f>
        <v>0</v>
      </c>
      <c r="BL28" s="78">
        <f>IF(Programa!D$72&gt;0,IF(TipoProgramaPersonalTecnico=1,ROUND(Programa!F$72*'a)Plantilla'!$C11,RedondeoPersonalTecnico),IF(TipoProgramaPersonalTecnico=2,ROUND(Programa!D$72*'a)Plantilla'!$C11,RedondeoPersonalTecnico),ROUND(Programa!D$72*Hjor*'a)Plantilla'!$C11,RedondeoPersonalTecnico))),0)</f>
        <v>0</v>
      </c>
    </row>
    <row r="29" spans="1:64" ht="8.1" customHeight="1">
      <c r="A29" s="67"/>
      <c r="B29" s="46"/>
      <c r="C29" s="31"/>
      <c r="D29" s="22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8"/>
      <c r="Q29" s="27"/>
      <c r="R29" s="6"/>
      <c r="S29" s="6"/>
      <c r="T29" s="6"/>
      <c r="U29" s="6"/>
      <c r="V29" s="6"/>
      <c r="W29" s="6"/>
      <c r="X29" s="6"/>
      <c r="Y29" s="6"/>
      <c r="Z29" s="6"/>
      <c r="AA29" s="6"/>
      <c r="AB29" s="78"/>
      <c r="AC29" s="27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78"/>
      <c r="AO29" s="27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78"/>
    </row>
    <row r="30" spans="1:64" ht="11.25" customHeight="1">
      <c r="A30" s="67"/>
      <c r="B30" s="46" t="str">
        <f>IF('a)Plantilla'!C12&gt;0,'a)Plantilla'!B12,"")</f>
        <v/>
      </c>
      <c r="C30" s="17" t="str">
        <f>IF('a)Plantilla'!C$12&gt;0,IF(TipoProgramaPersonalTecnico=1,"Personas",IF(TipoProgramaPersonalTecnico=2,"Jornal","horas-Hombre")),"")</f>
        <v/>
      </c>
      <c r="D30" s="226">
        <f>ROUND(SUM(E30:BL30),RedondeoPersonalTecnico)</f>
        <v>0</v>
      </c>
      <c r="E30" s="6">
        <f>IF(Programa!D$13&gt;0,IF(TipoProgramaPersonalTecnico=1,ROUND(Programa!F$13*'a)Plantilla'!$C12,RedondeoPersonalTecnico),IF(TipoProgramaPersonalTecnico=2,ROUND(Programa!D$13*'a)Plantilla'!$C12,RedondeoPersonalTecnico),ROUND(Programa!D$13*Hjor*'a)Plantilla'!$C12,RedondeoPersonalTecnico))),0)</f>
        <v>0</v>
      </c>
      <c r="F30" s="6">
        <f>IF(Programa!D$14&gt;0,IF(TipoProgramaPersonalTecnico=1,ROUND(Programa!F$14*'a)Plantilla'!$C12,RedondeoPersonalTecnico),IF(TipoProgramaPersonalTecnico=2,ROUND(Programa!D$14*'a)Plantilla'!$C12,RedondeoPersonalTecnico),ROUND(Programa!D$14*Hjor*'a)Plantilla'!$C12,RedondeoPersonalTecnico))),0)</f>
        <v>0</v>
      </c>
      <c r="G30" s="6">
        <f>IF(Programa!D$15&gt;0,IF(TipoProgramaPersonalTecnico=1,ROUND(Programa!F$15*'a)Plantilla'!$C12,RedondeoPersonalTecnico),IF(TipoProgramaPersonalTecnico=2,ROUND(Programa!D$15*'a)Plantilla'!$C12,RedondeoPersonalTecnico),ROUND(Programa!D$15*Hjor*'a)Plantilla'!$C12,RedondeoPersonalTecnico))),0)</f>
        <v>0</v>
      </c>
      <c r="H30" s="6">
        <f>IF(Programa!D$16&gt;0,IF(TipoProgramaPersonalTecnico=1,ROUND(Programa!F$16*'a)Plantilla'!$C12,RedondeoPersonalTecnico),IF(TipoProgramaPersonalTecnico=2,ROUND(Programa!D$16*'a)Plantilla'!$C12,RedondeoPersonalTecnico),ROUND(Programa!D$16*Hjor*'a)Plantilla'!$C12,RedondeoPersonalTecnico))),0)</f>
        <v>0</v>
      </c>
      <c r="I30" s="6">
        <f>IF(Programa!D$17&gt;0,IF(TipoProgramaPersonalTecnico=1,ROUND(Programa!F$17*'a)Plantilla'!$C12,RedondeoPersonalTecnico),IF(TipoProgramaPersonalTecnico=2,ROUND(Programa!D$17*'a)Plantilla'!$C12,RedondeoPersonalTecnico),ROUND(Programa!D$17*Hjor*'a)Plantilla'!$C12,RedondeoPersonalTecnico))),0)</f>
        <v>0</v>
      </c>
      <c r="J30" s="6">
        <f>IF(Programa!D$18&gt;0,IF(TipoProgramaPersonalTecnico=1,ROUND(Programa!F$18*'a)Plantilla'!$C12,RedondeoPersonalTecnico),IF(TipoProgramaPersonalTecnico=2,ROUND(Programa!D$18*'a)Plantilla'!$C12,RedondeoPersonalTecnico),ROUND(Programa!D$18*Hjor*'a)Plantilla'!$C12,RedondeoPersonalTecnico))),0)</f>
        <v>0</v>
      </c>
      <c r="K30" s="6">
        <f>IF(Programa!D$19&gt;0,IF(TipoProgramaPersonalTecnico=1,ROUND(Programa!F$19*'a)Plantilla'!$C12,RedondeoPersonalTecnico),IF(TipoProgramaPersonalTecnico=2,ROUND(Programa!D$19*'a)Plantilla'!$C12,RedondeoPersonalTecnico),ROUND(Programa!D$19*Hjor*'a)Plantilla'!$C12,RedondeoPersonalTecnico))),0)</f>
        <v>0</v>
      </c>
      <c r="L30" s="6">
        <f>IF(Programa!D$20&gt;0,IF(TipoProgramaPersonalTecnico=1,ROUND(Programa!F$20*'a)Plantilla'!$C12,RedondeoPersonalTecnico),IF(TipoProgramaPersonalTecnico=2,ROUND(Programa!D$20*'a)Plantilla'!$C12,RedondeoPersonalTecnico),ROUND(Programa!D$20*Hjor*'a)Plantilla'!$C12,RedondeoPersonalTecnico))),0)</f>
        <v>0</v>
      </c>
      <c r="M30" s="6">
        <f>IF(Programa!D$21&gt;0,IF(TipoProgramaPersonalTecnico=1,ROUND(Programa!F$21*'a)Plantilla'!$C12,RedondeoPersonalTecnico),IF(TipoProgramaPersonalTecnico=2,ROUND(Programa!D$21*'a)Plantilla'!$C12,RedondeoPersonalTecnico),ROUND(Programa!D$21*Hjor*'a)Plantilla'!$C12,RedondeoPersonalTecnico))),0)</f>
        <v>0</v>
      </c>
      <c r="N30" s="6">
        <f>IF(Programa!D$22&gt;0,IF(TipoProgramaPersonalTecnico=1,ROUND(Programa!F$22*'a)Plantilla'!$C12,RedondeoPersonalTecnico),IF(TipoProgramaPersonalTecnico=2,ROUND(Programa!D$22*'a)Plantilla'!$C12,RedondeoPersonalTecnico),ROUND(Programa!D$22*Hjor*'a)Plantilla'!$C12,RedondeoPersonalTecnico))),0)</f>
        <v>0</v>
      </c>
      <c r="O30" s="6">
        <f>IF(Programa!D$23&gt;0,IF(TipoProgramaPersonalTecnico=1,ROUND(Programa!F$23*'a)Plantilla'!$C12,RedondeoPersonalTecnico),IF(TipoProgramaPersonalTecnico=2,ROUND(Programa!D$23*'a)Plantilla'!$C12,RedondeoPersonalTecnico),ROUND(Programa!D$23*Hjor*'a)Plantilla'!$C12,RedondeoPersonalTecnico))),0)</f>
        <v>0</v>
      </c>
      <c r="P30" s="78">
        <f>IF(Programa!D$24&gt;0,IF(TipoProgramaPersonalTecnico=1,ROUND(Programa!F$24*'a)Plantilla'!$C12,RedondeoPersonalTecnico),IF(TipoProgramaPersonalTecnico=2,ROUND(Programa!D$24*'a)Plantilla'!$C12,RedondeoPersonalTecnico),ROUND(Programa!D$24*Hjor*'a)Plantilla'!$C12,RedondeoPersonalTecnico))),0)</f>
        <v>0</v>
      </c>
      <c r="Q30" s="27">
        <f>IF(Programa!D$25&gt;0,IF(TipoProgramaPersonalTecnico=1,ROUND(Programa!F$25*'a)Plantilla'!$C12,RedondeoPersonalTecnico),IF(TipoProgramaPersonalTecnico=2,ROUND(Programa!D$25*'a)Plantilla'!$C12,RedondeoPersonalTecnico),ROUND(Programa!D$25*Hjor*'a)Plantilla'!$C12,RedondeoPersonalTecnico))),0)</f>
        <v>0</v>
      </c>
      <c r="R30" s="6">
        <f>IF(Programa!D$26&gt;0,IF(TipoProgramaPersonalTecnico=1,ROUND(Programa!F$26*'a)Plantilla'!$C12,RedondeoPersonalTecnico),IF(TipoProgramaPersonalTecnico=2,ROUND(Programa!D$26*'a)Plantilla'!$C12,RedondeoPersonalTecnico),ROUND(Programa!D$26*Hjor*'a)Plantilla'!$C12,RedondeoPersonalTecnico))),0)</f>
        <v>0</v>
      </c>
      <c r="S30" s="6">
        <f>IF(Programa!D$27&gt;0,IF(TipoProgramaPersonalTecnico=1,ROUND(Programa!F$27*'a)Plantilla'!$C12,RedondeoPersonalTecnico),IF(TipoProgramaPersonalTecnico=2,ROUND(Programa!D$27*'a)Plantilla'!$C12,RedondeoPersonalTecnico),ROUND(Programa!D$27*Hjor*'a)Plantilla'!$C12,RedondeoPersonalTecnico))),0)</f>
        <v>0</v>
      </c>
      <c r="T30" s="6">
        <f>IF(Programa!D$28&gt;0,IF(TipoProgramaPersonalTecnico=1,ROUND(Programa!F$28*'a)Plantilla'!$C12,RedondeoPersonalTecnico),IF(TipoProgramaPersonalTecnico=2,ROUND(Programa!D$28*'a)Plantilla'!$C12,RedondeoPersonalTecnico),ROUND(Programa!D$28*Hjor*'a)Plantilla'!$C12,RedondeoPersonalTecnico))),0)</f>
        <v>0</v>
      </c>
      <c r="U30" s="6">
        <f>IF(Programa!D$29&gt;0,IF(TipoProgramaPersonalTecnico=1,ROUND(Programa!F$29*'a)Plantilla'!$C12,RedondeoPersonalTecnico),IF(TipoProgramaPersonalTecnico=2,ROUND(Programa!D$29*'a)Plantilla'!$C12,RedondeoPersonalTecnico),ROUND(Programa!D$29*Hjor*'a)Plantilla'!$C12,RedondeoPersonalTecnico))),0)</f>
        <v>0</v>
      </c>
      <c r="V30" s="6">
        <f>IF(Programa!D$30&gt;0,IF(TipoProgramaPersonalTecnico=1,ROUND(Programa!F$30*'a)Plantilla'!$C12,RedondeoPersonalTecnico),IF(TipoProgramaPersonalTecnico=2,ROUND(Programa!D$30*'a)Plantilla'!$C12,RedondeoPersonalTecnico),ROUND(Programa!D$30*Hjor*'a)Plantilla'!$C12,RedondeoPersonalTecnico))),0)</f>
        <v>0</v>
      </c>
      <c r="W30" s="6">
        <f>IF(Programa!D$31&gt;0,IF(TipoProgramaPersonalTecnico=1,ROUND(Programa!F$31*'a)Plantilla'!$C12,RedondeoPersonalTecnico),IF(TipoProgramaPersonalTecnico=2,ROUND(Programa!D$31*'a)Plantilla'!$C12,RedondeoPersonalTecnico),ROUND(Programa!D$31*Hjor*'a)Plantilla'!$C12,RedondeoPersonalTecnico))),0)</f>
        <v>0</v>
      </c>
      <c r="X30" s="6">
        <f>IF(Programa!D$32&gt;0,IF(TipoProgramaPersonalTecnico=1,ROUND(Programa!F$32*'a)Plantilla'!$C12,RedondeoPersonalTecnico),IF(TipoProgramaPersonalTecnico=2,ROUND(Programa!D$32*'a)Plantilla'!$C12,RedondeoPersonalTecnico),ROUND(Programa!D$32*Hjor*'a)Plantilla'!$C12,RedondeoPersonalTecnico))),0)</f>
        <v>0</v>
      </c>
      <c r="Y30" s="6">
        <f>IF(Programa!D$33&gt;0,IF(TipoProgramaPersonalTecnico=1,ROUND(Programa!F$33*'a)Plantilla'!$C12,RedondeoPersonalTecnico),IF(TipoProgramaPersonalTecnico=2,ROUND(Programa!D$33*'a)Plantilla'!$C12,RedondeoPersonalTecnico),ROUND(Programa!D$33*Hjor*'a)Plantilla'!$C12,RedondeoPersonalTecnico))),0)</f>
        <v>0</v>
      </c>
      <c r="Z30" s="6">
        <f>IF(Programa!D$34&gt;0,IF(TipoProgramaPersonalTecnico=1,ROUND(Programa!F$34*'a)Plantilla'!$C12,RedondeoPersonalTecnico),IF(TipoProgramaPersonalTecnico=2,ROUND(Programa!D$34*'a)Plantilla'!$C12,RedondeoPersonalTecnico),ROUND(Programa!D$34*Hjor*'a)Plantilla'!$C12,RedondeoPersonalTecnico))),0)</f>
        <v>0</v>
      </c>
      <c r="AA30" s="6">
        <f>IF(Programa!D$35&gt;0,IF(TipoProgramaPersonalTecnico=1,ROUND(Programa!F$35*'a)Plantilla'!$C12,RedondeoPersonalTecnico),IF(TipoProgramaPersonalTecnico=2,ROUND(Programa!D$35*'a)Plantilla'!$C12,RedondeoPersonalTecnico),ROUND(Programa!D$35*Hjor*'a)Plantilla'!$C12,RedondeoPersonalTecnico))),0)</f>
        <v>0</v>
      </c>
      <c r="AB30" s="78">
        <f>IF(Programa!D$36&gt;0,IF(TipoProgramaPersonalTecnico=1,ROUND(Programa!F$36*'a)Plantilla'!$C12,RedondeoPersonalTecnico),IF(TipoProgramaPersonalTecnico=2,ROUND(Programa!D$36*'a)Plantilla'!$C12,RedondeoPersonalTecnico),ROUND(Programa!D$36*Hjor*'a)Plantilla'!$C12,RedondeoPersonalTecnico))),0)</f>
        <v>0</v>
      </c>
      <c r="AC30" s="27">
        <f>IF(Programa!D$37&gt;0,IF(TipoProgramaPersonalTecnico=1,ROUND(Programa!F$37*'a)Plantilla'!$C12,RedondeoPersonalTecnico),IF(TipoProgramaPersonalTecnico=2,ROUND(Programa!D$37*'a)Plantilla'!$C12,RedondeoPersonalTecnico),ROUND(Programa!D$37*Hjor*'a)Plantilla'!$C12,RedondeoPersonalTecnico))),0)</f>
        <v>0</v>
      </c>
      <c r="AD30" s="6">
        <f>IF(Programa!D$38&gt;0,IF(TipoProgramaPersonalTecnico=1,ROUND(Programa!F$38*'a)Plantilla'!$C12,RedondeoPersonalTecnico),IF(TipoProgramaPersonalTecnico=2,ROUND(Programa!D$38*'a)Plantilla'!$C12,RedondeoPersonalTecnico),ROUND(Programa!D$38*Hjor*'a)Plantilla'!$C12,RedondeoPersonalTecnico))),0)</f>
        <v>0</v>
      </c>
      <c r="AE30" s="6">
        <f>IF(Programa!D$39&gt;0,IF(TipoProgramaPersonalTecnico=1,ROUND(Programa!F$39*'a)Plantilla'!$C12,RedondeoPersonalTecnico),IF(TipoProgramaPersonalTecnico=2,ROUND(Programa!D$39*'a)Plantilla'!$C12,RedondeoPersonalTecnico),ROUND(Programa!D$39*Hjor*'a)Plantilla'!$C12,RedondeoPersonalTecnico))),0)</f>
        <v>0</v>
      </c>
      <c r="AF30" s="6">
        <f>IF(Programa!D$40&gt;0,IF(TipoProgramaPersonalTecnico=1,ROUND(Programa!F$40*'a)Plantilla'!$C12,RedondeoPersonalTecnico),IF(TipoProgramaPersonalTecnico=2,ROUND(Programa!D$40*'a)Plantilla'!$C12,RedondeoPersonalTecnico),ROUND(Programa!D$40*Hjor*'a)Plantilla'!$C12,RedondeoPersonalTecnico))),0)</f>
        <v>0</v>
      </c>
      <c r="AG30" s="6">
        <f>IF(Programa!D$41&gt;0,IF(TipoProgramaPersonalTecnico=1,ROUND(Programa!F$41*'a)Plantilla'!$C12,RedondeoPersonalTecnico),IF(TipoProgramaPersonalTecnico=2,ROUND(Programa!D$41*'a)Plantilla'!$C12,RedondeoPersonalTecnico),ROUND(Programa!D$41*Hjor*'a)Plantilla'!$C12,RedondeoPersonalTecnico))),0)</f>
        <v>0</v>
      </c>
      <c r="AH30" s="6">
        <f>IF(Programa!D$42&gt;0,IF(TipoProgramaPersonalTecnico=1,ROUND(Programa!F$42*'a)Plantilla'!$C12,RedondeoPersonalTecnico),IF(TipoProgramaPersonalTecnico=2,ROUND(Programa!D$42*'a)Plantilla'!$C12,RedondeoPersonalTecnico),ROUND(Programa!D$42*Hjor*'a)Plantilla'!$C12,RedondeoPersonalTecnico))),0)</f>
        <v>0</v>
      </c>
      <c r="AI30" s="6">
        <f>IF(Programa!D$43&gt;0,IF(TipoProgramaPersonalTecnico=1,ROUND(Programa!F$43*'a)Plantilla'!$C12,RedondeoPersonalTecnico),IF(TipoProgramaPersonalTecnico=2,ROUND(Programa!D$43*'a)Plantilla'!$C12,RedondeoPersonalTecnico),ROUND(Programa!D$43*Hjor*'a)Plantilla'!$C12,RedondeoPersonalTecnico))),0)</f>
        <v>0</v>
      </c>
      <c r="AJ30" s="6">
        <f>IF(Programa!D$44&gt;0,IF(TipoProgramaPersonalTecnico=1,ROUND(Programa!F$44*'a)Plantilla'!$C12,RedondeoPersonalTecnico),IF(TipoProgramaPersonalTecnico=2,ROUND(Programa!D$44*'a)Plantilla'!$C12,RedondeoPersonalTecnico),ROUND(Programa!D$44*Hjor*'a)Plantilla'!$C12,RedondeoPersonalTecnico))),0)</f>
        <v>0</v>
      </c>
      <c r="AK30" s="6">
        <f>IF(Programa!D$45&gt;0,IF(TipoProgramaPersonalTecnico=1,ROUND(Programa!F$45*'a)Plantilla'!$C12,RedondeoPersonalTecnico),IF(TipoProgramaPersonalTecnico=2,ROUND(Programa!D$45*'a)Plantilla'!$C12,RedondeoPersonalTecnico),ROUND(Programa!D$45*Hjor*'a)Plantilla'!$C12,RedondeoPersonalTecnico))),0)</f>
        <v>0</v>
      </c>
      <c r="AL30" s="6">
        <f>IF(Programa!D$46&gt;0,IF(TipoProgramaPersonalTecnico=1,ROUND(Programa!F$46*'a)Plantilla'!$C12,RedondeoPersonalTecnico),IF(TipoProgramaPersonalTecnico=2,ROUND(Programa!D$46*'a)Plantilla'!$C12,RedondeoPersonalTecnico),ROUND(Programa!D$46*Hjor*'a)Plantilla'!$C12,RedondeoPersonalTecnico))),0)</f>
        <v>0</v>
      </c>
      <c r="AM30" s="6">
        <f>IF(Programa!D$47&gt;0,IF(TipoProgramaPersonalTecnico=1,ROUND(Programa!F$47*'a)Plantilla'!$C12,RedondeoPersonalTecnico),IF(TipoProgramaPersonalTecnico=2,ROUND(Programa!D$47*'a)Plantilla'!$C12,RedondeoPersonalTecnico),ROUND(Programa!D$47*Hjor*'a)Plantilla'!$C12,RedondeoPersonalTecnico))),0)</f>
        <v>0</v>
      </c>
      <c r="AN30" s="78">
        <f>IF(Programa!D$48&gt;0,IF(TipoProgramaPersonalTecnico=1,ROUND(Programa!F$48*'a)Plantilla'!$C12,RedondeoPersonalTecnico),IF(TipoProgramaPersonalTecnico=2,ROUND(Programa!D$48*'a)Plantilla'!$C12,RedondeoPersonalTecnico),ROUND(Programa!D$48*Hjor*'a)Plantilla'!$C12,RedondeoPersonalTecnico))),0)</f>
        <v>0</v>
      </c>
      <c r="AO30" s="27">
        <f>IF(Programa!D$49&gt;0,IF(TipoProgramaPersonalTecnico=1,ROUND(Programa!F$49*'a)Plantilla'!$C12,RedondeoPersonalTecnico),IF(TipoProgramaPersonalTecnico=2,ROUND(Programa!D$49*'a)Plantilla'!$C12,RedondeoPersonalTecnico),ROUND(Programa!D$49*Hjor*'a)Plantilla'!$C12,RedondeoPersonalTecnico))),0)</f>
        <v>0</v>
      </c>
      <c r="AP30" s="6">
        <f>IF(Programa!D$50&gt;0,IF(TipoProgramaPersonalTecnico=1,ROUND(Programa!F$50*'a)Plantilla'!$C12,RedondeoPersonalTecnico),IF(TipoProgramaPersonalTecnico=2,ROUND(Programa!D$50*'a)Plantilla'!$C12,RedondeoPersonalTecnico),ROUND(Programa!D$50*Hjor*'a)Plantilla'!$C12,RedondeoPersonalTecnico))),0)</f>
        <v>0</v>
      </c>
      <c r="AQ30" s="6">
        <f>IF(Programa!D$51&gt;0,IF(TipoProgramaPersonalTecnico=1,ROUND(Programa!F$51*'a)Plantilla'!$C12,RedondeoPersonalTecnico),IF(TipoProgramaPersonalTecnico=2,ROUND(Programa!D$51*'a)Plantilla'!$C12,RedondeoPersonalTecnico),ROUND(Programa!D$51*Hjor*'a)Plantilla'!$C12,RedondeoPersonalTecnico))),0)</f>
        <v>0</v>
      </c>
      <c r="AR30" s="6">
        <f>IF(Programa!D$52&gt;0,IF(TipoProgramaPersonalTecnico=1,ROUND(Programa!F$52*'a)Plantilla'!$C12,RedondeoPersonalTecnico),IF(TipoProgramaPersonalTecnico=2,ROUND(Programa!D$52*'a)Plantilla'!$C12,RedondeoPersonalTecnico),ROUND(Programa!D$52*Hjor*'a)Plantilla'!$C12,RedondeoPersonalTecnico))),0)</f>
        <v>0</v>
      </c>
      <c r="AS30" s="6">
        <f>IF(Programa!D$53&gt;0,IF(TipoProgramaPersonalTecnico=1,ROUND(Programa!F$53*'a)Plantilla'!$C12,RedondeoPersonalTecnico),IF(TipoProgramaPersonalTecnico=2,ROUND(Programa!D$53*'a)Plantilla'!$C12,RedondeoPersonalTecnico),ROUND(Programa!D$53*Hjor*'a)Plantilla'!$C12,RedondeoPersonalTecnico))),0)</f>
        <v>0</v>
      </c>
      <c r="AT30" s="6">
        <f>IF(Programa!D$54&gt;0,IF(TipoProgramaPersonalTecnico=1,ROUND(Programa!F$54*'a)Plantilla'!$C12,RedondeoPersonalTecnico),IF(TipoProgramaPersonalTecnico=2,ROUND(Programa!D$54*'a)Plantilla'!$C12,RedondeoPersonalTecnico),ROUND(Programa!D$54*Hjor*'a)Plantilla'!$C12,RedondeoPersonalTecnico))),0)</f>
        <v>0</v>
      </c>
      <c r="AU30" s="6">
        <f>IF(Programa!D$55&gt;0,IF(TipoProgramaPersonalTecnico=1,ROUND(Programa!F$55*'a)Plantilla'!$C12,RedondeoPersonalTecnico),IF(TipoProgramaPersonalTecnico=2,ROUND(Programa!D$55*'a)Plantilla'!$C12,RedondeoPersonalTecnico),ROUND(Programa!D$55*Hjor*'a)Plantilla'!$C12,RedondeoPersonalTecnico))),0)</f>
        <v>0</v>
      </c>
      <c r="AV30" s="6">
        <f>IF(Programa!D$56&gt;0,IF(TipoProgramaPersonalTecnico=1,ROUND(Programa!F$56*'a)Plantilla'!$C12,RedondeoPersonalTecnico),IF(TipoProgramaPersonalTecnico=2,ROUND(Programa!D$56*'a)Plantilla'!$C12,RedondeoPersonalTecnico),ROUND(Programa!D$56*Hjor*'a)Plantilla'!$C12,RedondeoPersonalTecnico))),0)</f>
        <v>0</v>
      </c>
      <c r="AW30" s="6">
        <f>IF(Programa!D$57&gt;0,IF(TipoProgramaPersonalTecnico=1,ROUND(Programa!F$57*'a)Plantilla'!$C12,RedondeoPersonalTecnico),IF(TipoProgramaPersonalTecnico=2,ROUND(Programa!D$57*'a)Plantilla'!$C12,RedondeoPersonalTecnico),ROUND(Programa!D$57*Hjor*'a)Plantilla'!$C12,RedondeoPersonalTecnico))),0)</f>
        <v>0</v>
      </c>
      <c r="AX30" s="6">
        <f>IF(Programa!D$58&gt;0,IF(TipoProgramaPersonalTecnico=1,ROUND(Programa!F$58*'a)Plantilla'!$C12,RedondeoPersonalTecnico),IF(TipoProgramaPersonalTecnico=2,ROUND(Programa!D$58*'a)Plantilla'!$C12,RedondeoPersonalTecnico),ROUND(Programa!D$58*Hjor*'a)Plantilla'!$C12,RedondeoPersonalTecnico))),0)</f>
        <v>0</v>
      </c>
      <c r="AY30" s="6">
        <f>IF(Programa!D$59&gt;0,IF(TipoProgramaPersonalTecnico=1,ROUND(Programa!F$59*'a)Plantilla'!$C12,RedondeoPersonalTecnico),IF(TipoProgramaPersonalTecnico=2,ROUND(Programa!D$59*'a)Plantilla'!$C12,RedondeoPersonalTecnico),ROUND(Programa!D$59*Hjor*'a)Plantilla'!$C12,RedondeoPersonalTecnico))),0)</f>
        <v>0</v>
      </c>
      <c r="AZ30" s="6">
        <f>IF(Programa!D$60&gt;0,IF(TipoProgramaPersonalTecnico=1,ROUND(Programa!F$60*'a)Plantilla'!$C12,RedondeoPersonalTecnico),IF(TipoProgramaPersonalTecnico=2,ROUND(Programa!D$60*'a)Plantilla'!$C12,RedondeoPersonalTecnico),ROUND(Programa!D$60*Hjor*'a)Plantilla'!$C12,RedondeoPersonalTecnico))),0)</f>
        <v>0</v>
      </c>
      <c r="BA30" s="6">
        <f>IF(Programa!D$61&gt;0,IF(TipoProgramaPersonalTecnico=1,ROUND(Programa!F$61*'a)Plantilla'!$C12,RedondeoPersonalTecnico),IF(TipoProgramaPersonalTecnico=2,ROUND(Programa!D$61*'a)Plantilla'!$C12,RedondeoPersonalTecnico),ROUND(Programa!D$61*Hjor*'a)Plantilla'!$C12,RedondeoPersonalTecnico))),0)</f>
        <v>0</v>
      </c>
      <c r="BB30" s="6">
        <f>IF(Programa!D$62&gt;0,IF(TipoProgramaPersonalTecnico=1,ROUND(Programa!F$62*'a)Plantilla'!$C12,RedondeoPersonalTecnico),IF(TipoProgramaPersonalTecnico=2,ROUND(Programa!D$62*'a)Plantilla'!$C12,RedondeoPersonalTecnico),ROUND(Programa!D$62*Hjor*'a)Plantilla'!$C12,RedondeoPersonalTecnico))),0)</f>
        <v>0</v>
      </c>
      <c r="BC30" s="6">
        <f>IF(Programa!D$63&gt;0,IF(TipoProgramaPersonalTecnico=1,ROUND(Programa!F$63*'a)Plantilla'!$C12,RedondeoPersonalTecnico),IF(TipoProgramaPersonalTecnico=2,ROUND(Programa!D$63*'a)Plantilla'!$C12,RedondeoPersonalTecnico),ROUND(Programa!D$63*Hjor*'a)Plantilla'!$C12,RedondeoPersonalTecnico))),0)</f>
        <v>0</v>
      </c>
      <c r="BD30" s="6">
        <f>IF(Programa!D$64&gt;0,IF(TipoProgramaPersonalTecnico=1,ROUND(Programa!F$64*'a)Plantilla'!$C12,RedondeoPersonalTecnico),IF(TipoProgramaPersonalTecnico=2,ROUND(Programa!D$64*'a)Plantilla'!$C12,RedondeoPersonalTecnico),ROUND(Programa!D$64*Hjor*'a)Plantilla'!$C12,RedondeoPersonalTecnico))),0)</f>
        <v>0</v>
      </c>
      <c r="BE30" s="6">
        <f>IF(Programa!D$65&gt;0,IF(TipoProgramaPersonalTecnico=1,ROUND(Programa!F$65*'a)Plantilla'!$C12,RedondeoPersonalTecnico),IF(TipoProgramaPersonalTecnico=2,ROUND(Programa!D$65*'a)Plantilla'!$C12,RedondeoPersonalTecnico),ROUND(Programa!D$65*Hjor*'a)Plantilla'!$C12,RedondeoPersonalTecnico))),0)</f>
        <v>0</v>
      </c>
      <c r="BF30" s="6">
        <f>IF(Programa!D$66&gt;0,IF(TipoProgramaPersonalTecnico=1,ROUND(Programa!F$66*'a)Plantilla'!$C12,RedondeoPersonalTecnico),IF(TipoProgramaPersonalTecnico=2,ROUND(Programa!D$66*'a)Plantilla'!$C12,RedondeoPersonalTecnico),ROUND(Programa!D$66*Hjor*'a)Plantilla'!$C12,RedondeoPersonalTecnico))),0)</f>
        <v>0</v>
      </c>
      <c r="BG30" s="6">
        <f>IF(Programa!D$67&gt;0,IF(TipoProgramaPersonalTecnico=1,ROUND(Programa!F$67*'a)Plantilla'!$C12,RedondeoPersonalTecnico),IF(TipoProgramaPersonalTecnico=2,ROUND(Programa!D$67*'a)Plantilla'!$C12,RedondeoPersonalTecnico),ROUND(Programa!D$67*Hjor*'a)Plantilla'!$C12,RedondeoPersonalTecnico))),0)</f>
        <v>0</v>
      </c>
      <c r="BH30" s="6">
        <f>IF(Programa!D$68&gt;0,IF(TipoProgramaPersonalTecnico=1,ROUND(Programa!F$68*'a)Plantilla'!$C12,RedondeoPersonalTecnico),IF(TipoProgramaPersonalTecnico=2,ROUND(Programa!D$68*'a)Plantilla'!$C12,RedondeoPersonalTecnico),ROUND(Programa!D$68*Hjor*'a)Plantilla'!$C12,RedondeoPersonalTecnico))),0)</f>
        <v>0</v>
      </c>
      <c r="BI30" s="6">
        <f>IF(Programa!D$69&gt;0,IF(TipoProgramaPersonalTecnico=1,ROUND(Programa!F$69*'a)Plantilla'!$C12,RedondeoPersonalTecnico),IF(TipoProgramaPersonalTecnico=2,ROUND(Programa!D$69*'a)Plantilla'!$C12,RedondeoPersonalTecnico),ROUND(Programa!D$69*Hjor*'a)Plantilla'!$C12,RedondeoPersonalTecnico))),0)</f>
        <v>0</v>
      </c>
      <c r="BJ30" s="6">
        <f>IF(Programa!D$70&gt;0,IF(TipoProgramaPersonalTecnico=1,ROUND(Programa!F$70*'a)Plantilla'!$C12,RedondeoPersonalTecnico),IF(TipoProgramaPersonalTecnico=2,ROUND(Programa!D$70*'a)Plantilla'!$C12,RedondeoPersonalTecnico),ROUND(Programa!D$70*Hjor*'a)Plantilla'!$C12,RedondeoPersonalTecnico))),0)</f>
        <v>0</v>
      </c>
      <c r="BK30" s="6">
        <f>IF(Programa!D$71&gt;0,IF(TipoProgramaPersonalTecnico=1,ROUND(Programa!F$71*'a)Plantilla'!$C12,RedondeoPersonalTecnico),IF(TipoProgramaPersonalTecnico=2,ROUND(Programa!D$71*'a)Plantilla'!$C12,RedondeoPersonalTecnico),ROUND(Programa!D$71*Hjor*'a)Plantilla'!$C12,RedondeoPersonalTecnico))),0)</f>
        <v>0</v>
      </c>
      <c r="BL30" s="78">
        <f>IF(Programa!D$72&gt;0,IF(TipoProgramaPersonalTecnico=1,ROUND(Programa!F$72*'a)Plantilla'!$C12,RedondeoPersonalTecnico),IF(TipoProgramaPersonalTecnico=2,ROUND(Programa!D$72*'a)Plantilla'!$C12,RedondeoPersonalTecnico),ROUND(Programa!D$72*Hjor*'a)Plantilla'!$C12,RedondeoPersonalTecnico))),0)</f>
        <v>0</v>
      </c>
    </row>
    <row r="31" spans="1:64" ht="8.1" customHeight="1">
      <c r="A31" s="67"/>
      <c r="B31" s="46"/>
      <c r="C31" s="31"/>
      <c r="D31" s="22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8"/>
      <c r="Q31" s="27"/>
      <c r="R31" s="6"/>
      <c r="S31" s="6"/>
      <c r="T31" s="6"/>
      <c r="U31" s="6"/>
      <c r="V31" s="6"/>
      <c r="W31" s="6"/>
      <c r="X31" s="6"/>
      <c r="Y31" s="6"/>
      <c r="Z31" s="6"/>
      <c r="AA31" s="6"/>
      <c r="AB31" s="78"/>
      <c r="AC31" s="27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78"/>
      <c r="AO31" s="27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78"/>
    </row>
    <row r="32" spans="1:64" ht="11.25" customHeight="1">
      <c r="A32" s="67"/>
      <c r="B32" s="46" t="str">
        <f>IF('a)Plantilla'!C13&gt;0,'a)Plantilla'!B13,"")</f>
        <v/>
      </c>
      <c r="C32" s="17" t="str">
        <f>IF('a)Plantilla'!C$13&gt;0,IF(TipoProgramaPersonalTecnico=1,"Personas",IF(TipoProgramaPersonalTecnico=2,"Jornal","horas-Hombre")),"")</f>
        <v/>
      </c>
      <c r="D32" s="226">
        <f>ROUND(SUM(E32:BL32),RedondeoPersonalTecnico)</f>
        <v>0</v>
      </c>
      <c r="E32" s="6">
        <f>IF(Programa!D$13&gt;0,IF(TipoProgramaPersonalTecnico=1,ROUND(Programa!F$13*'a)Plantilla'!$C13,RedondeoPersonalTecnico),IF(TipoProgramaPersonalTecnico=2,ROUND(Programa!D$13*'a)Plantilla'!$C13,RedondeoPersonalTecnico),ROUND(Programa!D$13*Hjor*'a)Plantilla'!$C13,RedondeoPersonalTecnico))),0)</f>
        <v>0</v>
      </c>
      <c r="F32" s="6">
        <f>IF(Programa!D$14&gt;0,IF(TipoProgramaPersonalTecnico=1,ROUND(Programa!F$14*'a)Plantilla'!$C13,RedondeoPersonalTecnico),IF(TipoProgramaPersonalTecnico=2,ROUND(Programa!D$14*'a)Plantilla'!$C13,RedondeoPersonalTecnico),ROUND(Programa!D$14*Hjor*'a)Plantilla'!$C13,RedondeoPersonalTecnico))),0)</f>
        <v>0</v>
      </c>
      <c r="G32" s="6">
        <f>IF(Programa!D$15&gt;0,IF(TipoProgramaPersonalTecnico=1,ROUND(Programa!F$15*'a)Plantilla'!$C13,RedondeoPersonalTecnico),IF(TipoProgramaPersonalTecnico=2,ROUND(Programa!D$15*'a)Plantilla'!$C13,RedondeoPersonalTecnico),ROUND(Programa!D$15*Hjor*'a)Plantilla'!$C13,RedondeoPersonalTecnico))),0)</f>
        <v>0</v>
      </c>
      <c r="H32" s="6">
        <f>IF(Programa!D$16&gt;0,IF(TipoProgramaPersonalTecnico=1,ROUND(Programa!F$16*'a)Plantilla'!$C13,RedondeoPersonalTecnico),IF(TipoProgramaPersonalTecnico=2,ROUND(Programa!D$16*'a)Plantilla'!$C13,RedondeoPersonalTecnico),ROUND(Programa!D$16*Hjor*'a)Plantilla'!$C13,RedondeoPersonalTecnico))),0)</f>
        <v>0</v>
      </c>
      <c r="I32" s="6">
        <f>IF(Programa!D$17&gt;0,IF(TipoProgramaPersonalTecnico=1,ROUND(Programa!F$17*'a)Plantilla'!$C13,RedondeoPersonalTecnico),IF(TipoProgramaPersonalTecnico=2,ROUND(Programa!D$17*'a)Plantilla'!$C13,RedondeoPersonalTecnico),ROUND(Programa!D$17*Hjor*'a)Plantilla'!$C13,RedondeoPersonalTecnico))),0)</f>
        <v>0</v>
      </c>
      <c r="J32" s="6">
        <f>IF(Programa!D$18&gt;0,IF(TipoProgramaPersonalTecnico=1,ROUND(Programa!F$18*'a)Plantilla'!$C13,RedondeoPersonalTecnico),IF(TipoProgramaPersonalTecnico=2,ROUND(Programa!D$18*'a)Plantilla'!$C13,RedondeoPersonalTecnico),ROUND(Programa!D$18*Hjor*'a)Plantilla'!$C13,RedondeoPersonalTecnico))),0)</f>
        <v>0</v>
      </c>
      <c r="K32" s="6">
        <f>IF(Programa!D$19&gt;0,IF(TipoProgramaPersonalTecnico=1,ROUND(Programa!F$19*'a)Plantilla'!$C13,RedondeoPersonalTecnico),IF(TipoProgramaPersonalTecnico=2,ROUND(Programa!D$19*'a)Plantilla'!$C13,RedondeoPersonalTecnico),ROUND(Programa!D$19*Hjor*'a)Plantilla'!$C13,RedondeoPersonalTecnico))),0)</f>
        <v>0</v>
      </c>
      <c r="L32" s="6">
        <f>IF(Programa!D$20&gt;0,IF(TipoProgramaPersonalTecnico=1,ROUND(Programa!F$20*'a)Plantilla'!$C13,RedondeoPersonalTecnico),IF(TipoProgramaPersonalTecnico=2,ROUND(Programa!D$20*'a)Plantilla'!$C13,RedondeoPersonalTecnico),ROUND(Programa!D$20*Hjor*'a)Plantilla'!$C13,RedondeoPersonalTecnico))),0)</f>
        <v>0</v>
      </c>
      <c r="M32" s="6">
        <f>IF(Programa!D$21&gt;0,IF(TipoProgramaPersonalTecnico=1,ROUND(Programa!F$21*'a)Plantilla'!$C13,RedondeoPersonalTecnico),IF(TipoProgramaPersonalTecnico=2,ROUND(Programa!D$21*'a)Plantilla'!$C13,RedondeoPersonalTecnico),ROUND(Programa!D$21*Hjor*'a)Plantilla'!$C13,RedondeoPersonalTecnico))),0)</f>
        <v>0</v>
      </c>
      <c r="N32" s="6">
        <f>IF(Programa!D$22&gt;0,IF(TipoProgramaPersonalTecnico=1,ROUND(Programa!F$22*'a)Plantilla'!$C13,RedondeoPersonalTecnico),IF(TipoProgramaPersonalTecnico=2,ROUND(Programa!D$22*'a)Plantilla'!$C13,RedondeoPersonalTecnico),ROUND(Programa!D$22*Hjor*'a)Plantilla'!$C13,RedondeoPersonalTecnico))),0)</f>
        <v>0</v>
      </c>
      <c r="O32" s="6">
        <f>IF(Programa!D$23&gt;0,IF(TipoProgramaPersonalTecnico=1,ROUND(Programa!F$23*'a)Plantilla'!$C13,RedondeoPersonalTecnico),IF(TipoProgramaPersonalTecnico=2,ROUND(Programa!D$23*'a)Plantilla'!$C13,RedondeoPersonalTecnico),ROUND(Programa!D$23*Hjor*'a)Plantilla'!$C13,RedondeoPersonalTecnico))),0)</f>
        <v>0</v>
      </c>
      <c r="P32" s="78">
        <f>IF(Programa!D$24&gt;0,IF(TipoProgramaPersonalTecnico=1,ROUND(Programa!F$24*'a)Plantilla'!$C13,RedondeoPersonalTecnico),IF(TipoProgramaPersonalTecnico=2,ROUND(Programa!D$24*'a)Plantilla'!$C13,RedondeoPersonalTecnico),ROUND(Programa!D$24*Hjor*'a)Plantilla'!$C13,RedondeoPersonalTecnico))),0)</f>
        <v>0</v>
      </c>
      <c r="Q32" s="27">
        <f>IF(Programa!D$25&gt;0,IF(TipoProgramaPersonalTecnico=1,ROUND(Programa!F$25*'a)Plantilla'!$C13,RedondeoPersonalTecnico),IF(TipoProgramaPersonalTecnico=2,ROUND(Programa!D$25*'a)Plantilla'!$C13,RedondeoPersonalTecnico),ROUND(Programa!D$25*Hjor*'a)Plantilla'!$C13,RedondeoPersonalTecnico))),0)</f>
        <v>0</v>
      </c>
      <c r="R32" s="6">
        <f>IF(Programa!D$26&gt;0,IF(TipoProgramaPersonalTecnico=1,ROUND(Programa!F$26*'a)Plantilla'!$C13,RedondeoPersonalTecnico),IF(TipoProgramaPersonalTecnico=2,ROUND(Programa!D$26*'a)Plantilla'!$C13,RedondeoPersonalTecnico),ROUND(Programa!D$26*Hjor*'a)Plantilla'!$C13,RedondeoPersonalTecnico))),0)</f>
        <v>0</v>
      </c>
      <c r="S32" s="6">
        <f>IF(Programa!D$27&gt;0,IF(TipoProgramaPersonalTecnico=1,ROUND(Programa!F$27*'a)Plantilla'!$C13,RedondeoPersonalTecnico),IF(TipoProgramaPersonalTecnico=2,ROUND(Programa!D$27*'a)Plantilla'!$C13,RedondeoPersonalTecnico),ROUND(Programa!D$27*Hjor*'a)Plantilla'!$C13,RedondeoPersonalTecnico))),0)</f>
        <v>0</v>
      </c>
      <c r="T32" s="6">
        <f>IF(Programa!D$28&gt;0,IF(TipoProgramaPersonalTecnico=1,ROUND(Programa!F$28*'a)Plantilla'!$C13,RedondeoPersonalTecnico),IF(TipoProgramaPersonalTecnico=2,ROUND(Programa!D$28*'a)Plantilla'!$C13,RedondeoPersonalTecnico),ROUND(Programa!D$28*Hjor*'a)Plantilla'!$C13,RedondeoPersonalTecnico))),0)</f>
        <v>0</v>
      </c>
      <c r="U32" s="6">
        <f>IF(Programa!D$29&gt;0,IF(TipoProgramaPersonalTecnico=1,ROUND(Programa!F$29*'a)Plantilla'!$C13,RedondeoPersonalTecnico),IF(TipoProgramaPersonalTecnico=2,ROUND(Programa!D$29*'a)Plantilla'!$C13,RedondeoPersonalTecnico),ROUND(Programa!D$29*Hjor*'a)Plantilla'!$C13,RedondeoPersonalTecnico))),0)</f>
        <v>0</v>
      </c>
      <c r="V32" s="6">
        <f>IF(Programa!D$30&gt;0,IF(TipoProgramaPersonalTecnico=1,ROUND(Programa!F$30*'a)Plantilla'!$C13,RedondeoPersonalTecnico),IF(TipoProgramaPersonalTecnico=2,ROUND(Programa!D$30*'a)Plantilla'!$C13,RedondeoPersonalTecnico),ROUND(Programa!D$30*Hjor*'a)Plantilla'!$C13,RedondeoPersonalTecnico))),0)</f>
        <v>0</v>
      </c>
      <c r="W32" s="6">
        <f>IF(Programa!D$31&gt;0,IF(TipoProgramaPersonalTecnico=1,ROUND(Programa!F$31*'a)Plantilla'!$C13,RedondeoPersonalTecnico),IF(TipoProgramaPersonalTecnico=2,ROUND(Programa!D$31*'a)Plantilla'!$C13,RedondeoPersonalTecnico),ROUND(Programa!D$31*Hjor*'a)Plantilla'!$C13,RedondeoPersonalTecnico))),0)</f>
        <v>0</v>
      </c>
      <c r="X32" s="6">
        <f>IF(Programa!D$32&gt;0,IF(TipoProgramaPersonalTecnico=1,ROUND(Programa!F$32*'a)Plantilla'!$C13,RedondeoPersonalTecnico),IF(TipoProgramaPersonalTecnico=2,ROUND(Programa!D$32*'a)Plantilla'!$C13,RedondeoPersonalTecnico),ROUND(Programa!D$32*Hjor*'a)Plantilla'!$C13,RedondeoPersonalTecnico))),0)</f>
        <v>0</v>
      </c>
      <c r="Y32" s="6">
        <f>IF(Programa!D$33&gt;0,IF(TipoProgramaPersonalTecnico=1,ROUND(Programa!F$33*'a)Plantilla'!$C13,RedondeoPersonalTecnico),IF(TipoProgramaPersonalTecnico=2,ROUND(Programa!D$33*'a)Plantilla'!$C13,RedondeoPersonalTecnico),ROUND(Programa!D$33*Hjor*'a)Plantilla'!$C13,RedondeoPersonalTecnico))),0)</f>
        <v>0</v>
      </c>
      <c r="Z32" s="6">
        <f>IF(Programa!D$34&gt;0,IF(TipoProgramaPersonalTecnico=1,ROUND(Programa!F$34*'a)Plantilla'!$C13,RedondeoPersonalTecnico),IF(TipoProgramaPersonalTecnico=2,ROUND(Programa!D$34*'a)Plantilla'!$C13,RedondeoPersonalTecnico),ROUND(Programa!D$34*Hjor*'a)Plantilla'!$C13,RedondeoPersonalTecnico))),0)</f>
        <v>0</v>
      </c>
      <c r="AA32" s="6">
        <f>IF(Programa!D$35&gt;0,IF(TipoProgramaPersonalTecnico=1,ROUND(Programa!F$35*'a)Plantilla'!$C13,RedondeoPersonalTecnico),IF(TipoProgramaPersonalTecnico=2,ROUND(Programa!D$35*'a)Plantilla'!$C13,RedondeoPersonalTecnico),ROUND(Programa!D$35*Hjor*'a)Plantilla'!$C13,RedondeoPersonalTecnico))),0)</f>
        <v>0</v>
      </c>
      <c r="AB32" s="78">
        <f>IF(Programa!D$36&gt;0,IF(TipoProgramaPersonalTecnico=1,ROUND(Programa!F$36*'a)Plantilla'!$C13,RedondeoPersonalTecnico),IF(TipoProgramaPersonalTecnico=2,ROUND(Programa!D$36*'a)Plantilla'!$C13,RedondeoPersonalTecnico),ROUND(Programa!D$36*Hjor*'a)Plantilla'!$C13,RedondeoPersonalTecnico))),0)</f>
        <v>0</v>
      </c>
      <c r="AC32" s="27">
        <f>IF(Programa!D$37&gt;0,IF(TipoProgramaPersonalTecnico=1,ROUND(Programa!F$37*'a)Plantilla'!$C13,RedondeoPersonalTecnico),IF(TipoProgramaPersonalTecnico=2,ROUND(Programa!D$37*'a)Plantilla'!$C13,RedondeoPersonalTecnico),ROUND(Programa!D$37*Hjor*'a)Plantilla'!$C13,RedondeoPersonalTecnico))),0)</f>
        <v>0</v>
      </c>
      <c r="AD32" s="6">
        <f>IF(Programa!D$38&gt;0,IF(TipoProgramaPersonalTecnico=1,ROUND(Programa!F$38*'a)Plantilla'!$C13,RedondeoPersonalTecnico),IF(TipoProgramaPersonalTecnico=2,ROUND(Programa!D$38*'a)Plantilla'!$C13,RedondeoPersonalTecnico),ROUND(Programa!D$38*Hjor*'a)Plantilla'!$C13,RedondeoPersonalTecnico))),0)</f>
        <v>0</v>
      </c>
      <c r="AE32" s="6">
        <f>IF(Programa!D$39&gt;0,IF(TipoProgramaPersonalTecnico=1,ROUND(Programa!F$39*'a)Plantilla'!$C13,RedondeoPersonalTecnico),IF(TipoProgramaPersonalTecnico=2,ROUND(Programa!D$39*'a)Plantilla'!$C13,RedondeoPersonalTecnico),ROUND(Programa!D$39*Hjor*'a)Plantilla'!$C13,RedondeoPersonalTecnico))),0)</f>
        <v>0</v>
      </c>
      <c r="AF32" s="6">
        <f>IF(Programa!D$40&gt;0,IF(TipoProgramaPersonalTecnico=1,ROUND(Programa!F$40*'a)Plantilla'!$C13,RedondeoPersonalTecnico),IF(TipoProgramaPersonalTecnico=2,ROUND(Programa!D$40*'a)Plantilla'!$C13,RedondeoPersonalTecnico),ROUND(Programa!D$40*Hjor*'a)Plantilla'!$C13,RedondeoPersonalTecnico))),0)</f>
        <v>0</v>
      </c>
      <c r="AG32" s="6">
        <f>IF(Programa!D$41&gt;0,IF(TipoProgramaPersonalTecnico=1,ROUND(Programa!F$41*'a)Plantilla'!$C13,RedondeoPersonalTecnico),IF(TipoProgramaPersonalTecnico=2,ROUND(Programa!D$41*'a)Plantilla'!$C13,RedondeoPersonalTecnico),ROUND(Programa!D$41*Hjor*'a)Plantilla'!$C13,RedondeoPersonalTecnico))),0)</f>
        <v>0</v>
      </c>
      <c r="AH32" s="6">
        <f>IF(Programa!D$42&gt;0,IF(TipoProgramaPersonalTecnico=1,ROUND(Programa!F$42*'a)Plantilla'!$C13,RedondeoPersonalTecnico),IF(TipoProgramaPersonalTecnico=2,ROUND(Programa!D$42*'a)Plantilla'!$C13,RedondeoPersonalTecnico),ROUND(Programa!D$42*Hjor*'a)Plantilla'!$C13,RedondeoPersonalTecnico))),0)</f>
        <v>0</v>
      </c>
      <c r="AI32" s="6">
        <f>IF(Programa!D$43&gt;0,IF(TipoProgramaPersonalTecnico=1,ROUND(Programa!F$43*'a)Plantilla'!$C13,RedondeoPersonalTecnico),IF(TipoProgramaPersonalTecnico=2,ROUND(Programa!D$43*'a)Plantilla'!$C13,RedondeoPersonalTecnico),ROUND(Programa!D$43*Hjor*'a)Plantilla'!$C13,RedondeoPersonalTecnico))),0)</f>
        <v>0</v>
      </c>
      <c r="AJ32" s="6">
        <f>IF(Programa!D$44&gt;0,IF(TipoProgramaPersonalTecnico=1,ROUND(Programa!F$44*'a)Plantilla'!$C13,RedondeoPersonalTecnico),IF(TipoProgramaPersonalTecnico=2,ROUND(Programa!D$44*'a)Plantilla'!$C13,RedondeoPersonalTecnico),ROUND(Programa!D$44*Hjor*'a)Plantilla'!$C13,RedondeoPersonalTecnico))),0)</f>
        <v>0</v>
      </c>
      <c r="AK32" s="6">
        <f>IF(Programa!D$45&gt;0,IF(TipoProgramaPersonalTecnico=1,ROUND(Programa!F$45*'a)Plantilla'!$C13,RedondeoPersonalTecnico),IF(TipoProgramaPersonalTecnico=2,ROUND(Programa!D$45*'a)Plantilla'!$C13,RedondeoPersonalTecnico),ROUND(Programa!D$45*Hjor*'a)Plantilla'!$C13,RedondeoPersonalTecnico))),0)</f>
        <v>0</v>
      </c>
      <c r="AL32" s="6">
        <f>IF(Programa!D$46&gt;0,IF(TipoProgramaPersonalTecnico=1,ROUND(Programa!F$46*'a)Plantilla'!$C13,RedondeoPersonalTecnico),IF(TipoProgramaPersonalTecnico=2,ROUND(Programa!D$46*'a)Plantilla'!$C13,RedondeoPersonalTecnico),ROUND(Programa!D$46*Hjor*'a)Plantilla'!$C13,RedondeoPersonalTecnico))),0)</f>
        <v>0</v>
      </c>
      <c r="AM32" s="6">
        <f>IF(Programa!D$47&gt;0,IF(TipoProgramaPersonalTecnico=1,ROUND(Programa!F$47*'a)Plantilla'!$C13,RedondeoPersonalTecnico),IF(TipoProgramaPersonalTecnico=2,ROUND(Programa!D$47*'a)Plantilla'!$C13,RedondeoPersonalTecnico),ROUND(Programa!D$47*Hjor*'a)Plantilla'!$C13,RedondeoPersonalTecnico))),0)</f>
        <v>0</v>
      </c>
      <c r="AN32" s="78">
        <f>IF(Programa!D$48&gt;0,IF(TipoProgramaPersonalTecnico=1,ROUND(Programa!F$48*'a)Plantilla'!$C13,RedondeoPersonalTecnico),IF(TipoProgramaPersonalTecnico=2,ROUND(Programa!D$48*'a)Plantilla'!$C13,RedondeoPersonalTecnico),ROUND(Programa!D$48*Hjor*'a)Plantilla'!$C13,RedondeoPersonalTecnico))),0)</f>
        <v>0</v>
      </c>
      <c r="AO32" s="27">
        <f>IF(Programa!D$49&gt;0,IF(TipoProgramaPersonalTecnico=1,ROUND(Programa!F$49*'a)Plantilla'!$C13,RedondeoPersonalTecnico),IF(TipoProgramaPersonalTecnico=2,ROUND(Programa!D$49*'a)Plantilla'!$C13,RedondeoPersonalTecnico),ROUND(Programa!D$49*Hjor*'a)Plantilla'!$C13,RedondeoPersonalTecnico))),0)</f>
        <v>0</v>
      </c>
      <c r="AP32" s="6">
        <f>IF(Programa!D$50&gt;0,IF(TipoProgramaPersonalTecnico=1,ROUND(Programa!F$50*'a)Plantilla'!$C13,RedondeoPersonalTecnico),IF(TipoProgramaPersonalTecnico=2,ROUND(Programa!D$50*'a)Plantilla'!$C13,RedondeoPersonalTecnico),ROUND(Programa!D$50*Hjor*'a)Plantilla'!$C13,RedondeoPersonalTecnico))),0)</f>
        <v>0</v>
      </c>
      <c r="AQ32" s="6">
        <f>IF(Programa!D$51&gt;0,IF(TipoProgramaPersonalTecnico=1,ROUND(Programa!F$51*'a)Plantilla'!$C13,RedondeoPersonalTecnico),IF(TipoProgramaPersonalTecnico=2,ROUND(Programa!D$51*'a)Plantilla'!$C13,RedondeoPersonalTecnico),ROUND(Programa!D$51*Hjor*'a)Plantilla'!$C13,RedondeoPersonalTecnico))),0)</f>
        <v>0</v>
      </c>
      <c r="AR32" s="6">
        <f>IF(Programa!D$52&gt;0,IF(TipoProgramaPersonalTecnico=1,ROUND(Programa!F$52*'a)Plantilla'!$C13,RedondeoPersonalTecnico),IF(TipoProgramaPersonalTecnico=2,ROUND(Programa!D$52*'a)Plantilla'!$C13,RedondeoPersonalTecnico),ROUND(Programa!D$52*Hjor*'a)Plantilla'!$C13,RedondeoPersonalTecnico))),0)</f>
        <v>0</v>
      </c>
      <c r="AS32" s="6">
        <f>IF(Programa!D$53&gt;0,IF(TipoProgramaPersonalTecnico=1,ROUND(Programa!F$53*'a)Plantilla'!$C13,RedondeoPersonalTecnico),IF(TipoProgramaPersonalTecnico=2,ROUND(Programa!D$53*'a)Plantilla'!$C13,RedondeoPersonalTecnico),ROUND(Programa!D$53*Hjor*'a)Plantilla'!$C13,RedondeoPersonalTecnico))),0)</f>
        <v>0</v>
      </c>
      <c r="AT32" s="6">
        <f>IF(Programa!D$54&gt;0,IF(TipoProgramaPersonalTecnico=1,ROUND(Programa!F$54*'a)Plantilla'!$C13,RedondeoPersonalTecnico),IF(TipoProgramaPersonalTecnico=2,ROUND(Programa!D$54*'a)Plantilla'!$C13,RedondeoPersonalTecnico),ROUND(Programa!D$54*Hjor*'a)Plantilla'!$C13,RedondeoPersonalTecnico))),0)</f>
        <v>0</v>
      </c>
      <c r="AU32" s="6">
        <f>IF(Programa!D$55&gt;0,IF(TipoProgramaPersonalTecnico=1,ROUND(Programa!F$55*'a)Plantilla'!$C13,RedondeoPersonalTecnico),IF(TipoProgramaPersonalTecnico=2,ROUND(Programa!D$55*'a)Plantilla'!$C13,RedondeoPersonalTecnico),ROUND(Programa!D$55*Hjor*'a)Plantilla'!$C13,RedondeoPersonalTecnico))),0)</f>
        <v>0</v>
      </c>
      <c r="AV32" s="6">
        <f>IF(Programa!D$56&gt;0,IF(TipoProgramaPersonalTecnico=1,ROUND(Programa!F$56*'a)Plantilla'!$C13,RedondeoPersonalTecnico),IF(TipoProgramaPersonalTecnico=2,ROUND(Programa!D$56*'a)Plantilla'!$C13,RedondeoPersonalTecnico),ROUND(Programa!D$56*Hjor*'a)Plantilla'!$C13,RedondeoPersonalTecnico))),0)</f>
        <v>0</v>
      </c>
      <c r="AW32" s="6">
        <f>IF(Programa!D$57&gt;0,IF(TipoProgramaPersonalTecnico=1,ROUND(Programa!F$57*'a)Plantilla'!$C13,RedondeoPersonalTecnico),IF(TipoProgramaPersonalTecnico=2,ROUND(Programa!D$57*'a)Plantilla'!$C13,RedondeoPersonalTecnico),ROUND(Programa!D$57*Hjor*'a)Plantilla'!$C13,RedondeoPersonalTecnico))),0)</f>
        <v>0</v>
      </c>
      <c r="AX32" s="6">
        <f>IF(Programa!D$58&gt;0,IF(TipoProgramaPersonalTecnico=1,ROUND(Programa!F$58*'a)Plantilla'!$C13,RedondeoPersonalTecnico),IF(TipoProgramaPersonalTecnico=2,ROUND(Programa!D$58*'a)Plantilla'!$C13,RedondeoPersonalTecnico),ROUND(Programa!D$58*Hjor*'a)Plantilla'!$C13,RedondeoPersonalTecnico))),0)</f>
        <v>0</v>
      </c>
      <c r="AY32" s="6">
        <f>IF(Programa!D$59&gt;0,IF(TipoProgramaPersonalTecnico=1,ROUND(Programa!F$59*'a)Plantilla'!$C13,RedondeoPersonalTecnico),IF(TipoProgramaPersonalTecnico=2,ROUND(Programa!D$59*'a)Plantilla'!$C13,RedondeoPersonalTecnico),ROUND(Programa!D$59*Hjor*'a)Plantilla'!$C13,RedondeoPersonalTecnico))),0)</f>
        <v>0</v>
      </c>
      <c r="AZ32" s="6">
        <f>IF(Programa!D$60&gt;0,IF(TipoProgramaPersonalTecnico=1,ROUND(Programa!F$60*'a)Plantilla'!$C13,RedondeoPersonalTecnico),IF(TipoProgramaPersonalTecnico=2,ROUND(Programa!D$60*'a)Plantilla'!$C13,RedondeoPersonalTecnico),ROUND(Programa!D$60*Hjor*'a)Plantilla'!$C13,RedondeoPersonalTecnico))),0)</f>
        <v>0</v>
      </c>
      <c r="BA32" s="6">
        <f>IF(Programa!D$61&gt;0,IF(TipoProgramaPersonalTecnico=1,ROUND(Programa!F$61*'a)Plantilla'!$C13,RedondeoPersonalTecnico),IF(TipoProgramaPersonalTecnico=2,ROUND(Programa!D$61*'a)Plantilla'!$C13,RedondeoPersonalTecnico),ROUND(Programa!D$61*Hjor*'a)Plantilla'!$C13,RedondeoPersonalTecnico))),0)</f>
        <v>0</v>
      </c>
      <c r="BB32" s="6">
        <f>IF(Programa!D$62&gt;0,IF(TipoProgramaPersonalTecnico=1,ROUND(Programa!F$62*'a)Plantilla'!$C13,RedondeoPersonalTecnico),IF(TipoProgramaPersonalTecnico=2,ROUND(Programa!D$62*'a)Plantilla'!$C13,RedondeoPersonalTecnico),ROUND(Programa!D$62*Hjor*'a)Plantilla'!$C13,RedondeoPersonalTecnico))),0)</f>
        <v>0</v>
      </c>
      <c r="BC32" s="6">
        <f>IF(Programa!D$63&gt;0,IF(TipoProgramaPersonalTecnico=1,ROUND(Programa!F$63*'a)Plantilla'!$C13,RedondeoPersonalTecnico),IF(TipoProgramaPersonalTecnico=2,ROUND(Programa!D$63*'a)Plantilla'!$C13,RedondeoPersonalTecnico),ROUND(Programa!D$63*Hjor*'a)Plantilla'!$C13,RedondeoPersonalTecnico))),0)</f>
        <v>0</v>
      </c>
      <c r="BD32" s="6">
        <f>IF(Programa!D$64&gt;0,IF(TipoProgramaPersonalTecnico=1,ROUND(Programa!F$64*'a)Plantilla'!$C13,RedondeoPersonalTecnico),IF(TipoProgramaPersonalTecnico=2,ROUND(Programa!D$64*'a)Plantilla'!$C13,RedondeoPersonalTecnico),ROUND(Programa!D$64*Hjor*'a)Plantilla'!$C13,RedondeoPersonalTecnico))),0)</f>
        <v>0</v>
      </c>
      <c r="BE32" s="6">
        <f>IF(Programa!D$65&gt;0,IF(TipoProgramaPersonalTecnico=1,ROUND(Programa!F$65*'a)Plantilla'!$C13,RedondeoPersonalTecnico),IF(TipoProgramaPersonalTecnico=2,ROUND(Programa!D$65*'a)Plantilla'!$C13,RedondeoPersonalTecnico),ROUND(Programa!D$65*Hjor*'a)Plantilla'!$C13,RedondeoPersonalTecnico))),0)</f>
        <v>0</v>
      </c>
      <c r="BF32" s="6">
        <f>IF(Programa!D$66&gt;0,IF(TipoProgramaPersonalTecnico=1,ROUND(Programa!F$66*'a)Plantilla'!$C13,RedondeoPersonalTecnico),IF(TipoProgramaPersonalTecnico=2,ROUND(Programa!D$66*'a)Plantilla'!$C13,RedondeoPersonalTecnico),ROUND(Programa!D$66*Hjor*'a)Plantilla'!$C13,RedondeoPersonalTecnico))),0)</f>
        <v>0</v>
      </c>
      <c r="BG32" s="6">
        <f>IF(Programa!D$67&gt;0,IF(TipoProgramaPersonalTecnico=1,ROUND(Programa!F$67*'a)Plantilla'!$C13,RedondeoPersonalTecnico),IF(TipoProgramaPersonalTecnico=2,ROUND(Programa!D$67*'a)Plantilla'!$C13,RedondeoPersonalTecnico),ROUND(Programa!D$67*Hjor*'a)Plantilla'!$C13,RedondeoPersonalTecnico))),0)</f>
        <v>0</v>
      </c>
      <c r="BH32" s="6">
        <f>IF(Programa!D$68&gt;0,IF(TipoProgramaPersonalTecnico=1,ROUND(Programa!F$68*'a)Plantilla'!$C13,RedondeoPersonalTecnico),IF(TipoProgramaPersonalTecnico=2,ROUND(Programa!D$68*'a)Plantilla'!$C13,RedondeoPersonalTecnico),ROUND(Programa!D$68*Hjor*'a)Plantilla'!$C13,RedondeoPersonalTecnico))),0)</f>
        <v>0</v>
      </c>
      <c r="BI32" s="6">
        <f>IF(Programa!D$69&gt;0,IF(TipoProgramaPersonalTecnico=1,ROUND(Programa!F$69*'a)Plantilla'!$C13,RedondeoPersonalTecnico),IF(TipoProgramaPersonalTecnico=2,ROUND(Programa!D$69*'a)Plantilla'!$C13,RedondeoPersonalTecnico),ROUND(Programa!D$69*Hjor*'a)Plantilla'!$C13,RedondeoPersonalTecnico))),0)</f>
        <v>0</v>
      </c>
      <c r="BJ32" s="6">
        <f>IF(Programa!D$70&gt;0,IF(TipoProgramaPersonalTecnico=1,ROUND(Programa!F$70*'a)Plantilla'!$C13,RedondeoPersonalTecnico),IF(TipoProgramaPersonalTecnico=2,ROUND(Programa!D$70*'a)Plantilla'!$C13,RedondeoPersonalTecnico),ROUND(Programa!D$70*Hjor*'a)Plantilla'!$C13,RedondeoPersonalTecnico))),0)</f>
        <v>0</v>
      </c>
      <c r="BK32" s="6">
        <f>IF(Programa!D$71&gt;0,IF(TipoProgramaPersonalTecnico=1,ROUND(Programa!F$71*'a)Plantilla'!$C13,RedondeoPersonalTecnico),IF(TipoProgramaPersonalTecnico=2,ROUND(Programa!D$71*'a)Plantilla'!$C13,RedondeoPersonalTecnico),ROUND(Programa!D$71*Hjor*'a)Plantilla'!$C13,RedondeoPersonalTecnico))),0)</f>
        <v>0</v>
      </c>
      <c r="BL32" s="78">
        <f>IF(Programa!D$72&gt;0,IF(TipoProgramaPersonalTecnico=1,ROUND(Programa!F$72*'a)Plantilla'!$C13,RedondeoPersonalTecnico),IF(TipoProgramaPersonalTecnico=2,ROUND(Programa!D$72*'a)Plantilla'!$C13,RedondeoPersonalTecnico),ROUND(Programa!D$72*Hjor*'a)Plantilla'!$C13,RedondeoPersonalTecnico))),0)</f>
        <v>0</v>
      </c>
    </row>
    <row r="33" spans="1:64" ht="8.1" customHeight="1">
      <c r="A33" s="67"/>
      <c r="B33" s="46"/>
      <c r="C33" s="31"/>
      <c r="D33" s="22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78"/>
      <c r="Q33" s="27"/>
      <c r="R33" s="6"/>
      <c r="S33" s="6"/>
      <c r="T33" s="6"/>
      <c r="U33" s="6"/>
      <c r="V33" s="6"/>
      <c r="W33" s="6"/>
      <c r="X33" s="6"/>
      <c r="Y33" s="6"/>
      <c r="Z33" s="6"/>
      <c r="AA33" s="6"/>
      <c r="AB33" s="78"/>
      <c r="AC33" s="27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78"/>
      <c r="AO33" s="27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78"/>
    </row>
    <row r="34" spans="1:64" ht="11.25" customHeight="1">
      <c r="A34" s="67"/>
      <c r="B34" s="46" t="str">
        <f>IF('a)Plantilla'!C14&gt;0,'a)Plantilla'!B14,"")</f>
        <v/>
      </c>
      <c r="C34" s="17" t="str">
        <f>IF('a)Plantilla'!C$14&gt;0,IF(TipoProgramaPersonalTecnico=1,"Personas",IF(TipoProgramaPersonalTecnico=2,"Jornal","horas-Hombre")),"")</f>
        <v/>
      </c>
      <c r="D34" s="226">
        <f>ROUND(SUM(E34:BL34),RedondeoPersonalTecnico)</f>
        <v>0</v>
      </c>
      <c r="E34" s="6">
        <f>IF(Programa!D$13&gt;0,IF(TipoProgramaPersonalTecnico=1,ROUND(Programa!F$13*'a)Plantilla'!$C14,RedondeoPersonalTecnico),IF(TipoProgramaPersonalTecnico=2,ROUND(Programa!D$13*'a)Plantilla'!$C14,RedondeoPersonalTecnico),ROUND(Programa!D$13*Hjor*'a)Plantilla'!$C14,RedondeoPersonalTecnico))),0)</f>
        <v>0</v>
      </c>
      <c r="F34" s="6">
        <f>IF(Programa!D$14&gt;0,IF(TipoProgramaPersonalTecnico=1,ROUND(Programa!F$14*'a)Plantilla'!$C14,RedondeoPersonalTecnico),IF(TipoProgramaPersonalTecnico=2,ROUND(Programa!D$14*'a)Plantilla'!$C14,RedondeoPersonalTecnico),ROUND(Programa!D$14*Hjor*'a)Plantilla'!$C14,RedondeoPersonalTecnico))),0)</f>
        <v>0</v>
      </c>
      <c r="G34" s="6">
        <f>IF(Programa!D$15&gt;0,IF(TipoProgramaPersonalTecnico=1,ROUND(Programa!F$15*'a)Plantilla'!$C14,RedondeoPersonalTecnico),IF(TipoProgramaPersonalTecnico=2,ROUND(Programa!D$15*'a)Plantilla'!$C14,RedondeoPersonalTecnico),ROUND(Programa!D$15*Hjor*'a)Plantilla'!$C14,RedondeoPersonalTecnico))),0)</f>
        <v>0</v>
      </c>
      <c r="H34" s="6">
        <f>IF(Programa!D$16&gt;0,IF(TipoProgramaPersonalTecnico=1,ROUND(Programa!F$16*'a)Plantilla'!$C14,RedondeoPersonalTecnico),IF(TipoProgramaPersonalTecnico=2,ROUND(Programa!D$16*'a)Plantilla'!$C14,RedondeoPersonalTecnico),ROUND(Programa!D$16*Hjor*'a)Plantilla'!$C14,RedondeoPersonalTecnico))),0)</f>
        <v>0</v>
      </c>
      <c r="I34" s="6">
        <f>IF(Programa!D$17&gt;0,IF(TipoProgramaPersonalTecnico=1,ROUND(Programa!F$17*'a)Plantilla'!$C14,RedondeoPersonalTecnico),IF(TipoProgramaPersonalTecnico=2,ROUND(Programa!D$17*'a)Plantilla'!$C14,RedondeoPersonalTecnico),ROUND(Programa!D$17*Hjor*'a)Plantilla'!$C14,RedondeoPersonalTecnico))),0)</f>
        <v>0</v>
      </c>
      <c r="J34" s="6">
        <f>IF(Programa!D$18&gt;0,IF(TipoProgramaPersonalTecnico=1,ROUND(Programa!F$18*'a)Plantilla'!$C14,RedondeoPersonalTecnico),IF(TipoProgramaPersonalTecnico=2,ROUND(Programa!D$18*'a)Plantilla'!$C14,RedondeoPersonalTecnico),ROUND(Programa!D$18*Hjor*'a)Plantilla'!$C14,RedondeoPersonalTecnico))),0)</f>
        <v>0</v>
      </c>
      <c r="K34" s="6">
        <f>IF(Programa!D$19&gt;0,IF(TipoProgramaPersonalTecnico=1,ROUND(Programa!F$19*'a)Plantilla'!$C14,RedondeoPersonalTecnico),IF(TipoProgramaPersonalTecnico=2,ROUND(Programa!D$19*'a)Plantilla'!$C14,RedondeoPersonalTecnico),ROUND(Programa!D$19*Hjor*'a)Plantilla'!$C14,RedondeoPersonalTecnico))),0)</f>
        <v>0</v>
      </c>
      <c r="L34" s="6">
        <f>IF(Programa!D$20&gt;0,IF(TipoProgramaPersonalTecnico=1,ROUND(Programa!F$20*'a)Plantilla'!$C14,RedondeoPersonalTecnico),IF(TipoProgramaPersonalTecnico=2,ROUND(Programa!D$20*'a)Plantilla'!$C14,RedondeoPersonalTecnico),ROUND(Programa!D$20*Hjor*'a)Plantilla'!$C14,RedondeoPersonalTecnico))),0)</f>
        <v>0</v>
      </c>
      <c r="M34" s="6">
        <f>IF(Programa!D$21&gt;0,IF(TipoProgramaPersonalTecnico=1,ROUND(Programa!F$21*'a)Plantilla'!$C14,RedondeoPersonalTecnico),IF(TipoProgramaPersonalTecnico=2,ROUND(Programa!D$21*'a)Plantilla'!$C14,RedondeoPersonalTecnico),ROUND(Programa!D$21*Hjor*'a)Plantilla'!$C14,RedondeoPersonalTecnico))),0)</f>
        <v>0</v>
      </c>
      <c r="N34" s="6">
        <f>IF(Programa!D$22&gt;0,IF(TipoProgramaPersonalTecnico=1,ROUND(Programa!F$22*'a)Plantilla'!$C14,RedondeoPersonalTecnico),IF(TipoProgramaPersonalTecnico=2,ROUND(Programa!D$22*'a)Plantilla'!$C14,RedondeoPersonalTecnico),ROUND(Programa!D$22*Hjor*'a)Plantilla'!$C14,RedondeoPersonalTecnico))),0)</f>
        <v>0</v>
      </c>
      <c r="O34" s="6">
        <f>IF(Programa!D$23&gt;0,IF(TipoProgramaPersonalTecnico=1,ROUND(Programa!F$23*'a)Plantilla'!$C14,RedondeoPersonalTecnico),IF(TipoProgramaPersonalTecnico=2,ROUND(Programa!D$23*'a)Plantilla'!$C14,RedondeoPersonalTecnico),ROUND(Programa!D$23*Hjor*'a)Plantilla'!$C14,RedondeoPersonalTecnico))),0)</f>
        <v>0</v>
      </c>
      <c r="P34" s="78">
        <f>IF(Programa!D$24&gt;0,IF(TipoProgramaPersonalTecnico=1,ROUND(Programa!F$24*'a)Plantilla'!$C14,RedondeoPersonalTecnico),IF(TipoProgramaPersonalTecnico=2,ROUND(Programa!D$24*'a)Plantilla'!$C14,RedondeoPersonalTecnico),ROUND(Programa!D$24*Hjor*'a)Plantilla'!$C14,RedondeoPersonalTecnico))),0)</f>
        <v>0</v>
      </c>
      <c r="Q34" s="27">
        <f>IF(Programa!D$25&gt;0,IF(TipoProgramaPersonalTecnico=1,ROUND(Programa!F$25*'a)Plantilla'!$C14,RedondeoPersonalTecnico),IF(TipoProgramaPersonalTecnico=2,ROUND(Programa!D$25*'a)Plantilla'!$C14,RedondeoPersonalTecnico),ROUND(Programa!D$25*Hjor*'a)Plantilla'!$C14,RedondeoPersonalTecnico))),0)</f>
        <v>0</v>
      </c>
      <c r="R34" s="6">
        <f>IF(Programa!D$26&gt;0,IF(TipoProgramaPersonalTecnico=1,ROUND(Programa!F$26*'a)Plantilla'!$C14,RedondeoPersonalTecnico),IF(TipoProgramaPersonalTecnico=2,ROUND(Programa!D$26*'a)Plantilla'!$C14,RedondeoPersonalTecnico),ROUND(Programa!D$26*Hjor*'a)Plantilla'!$C14,RedondeoPersonalTecnico))),0)</f>
        <v>0</v>
      </c>
      <c r="S34" s="6">
        <f>IF(Programa!D$27&gt;0,IF(TipoProgramaPersonalTecnico=1,ROUND(Programa!F$27*'a)Plantilla'!$C14,RedondeoPersonalTecnico),IF(TipoProgramaPersonalTecnico=2,ROUND(Programa!D$27*'a)Plantilla'!$C14,RedondeoPersonalTecnico),ROUND(Programa!D$27*Hjor*'a)Plantilla'!$C14,RedondeoPersonalTecnico))),0)</f>
        <v>0</v>
      </c>
      <c r="T34" s="6">
        <f>IF(Programa!D$28&gt;0,IF(TipoProgramaPersonalTecnico=1,ROUND(Programa!F$28*'a)Plantilla'!$C14,RedondeoPersonalTecnico),IF(TipoProgramaPersonalTecnico=2,ROUND(Programa!D$28*'a)Plantilla'!$C14,RedondeoPersonalTecnico),ROUND(Programa!D$28*Hjor*'a)Plantilla'!$C14,RedondeoPersonalTecnico))),0)</f>
        <v>0</v>
      </c>
      <c r="U34" s="6">
        <f>IF(Programa!D$29&gt;0,IF(TipoProgramaPersonalTecnico=1,ROUND(Programa!F$29*'a)Plantilla'!$C14,RedondeoPersonalTecnico),IF(TipoProgramaPersonalTecnico=2,ROUND(Programa!D$29*'a)Plantilla'!$C14,RedondeoPersonalTecnico),ROUND(Programa!D$29*Hjor*'a)Plantilla'!$C14,RedondeoPersonalTecnico))),0)</f>
        <v>0</v>
      </c>
      <c r="V34" s="6">
        <f>IF(Programa!D$30&gt;0,IF(TipoProgramaPersonalTecnico=1,ROUND(Programa!F$30*'a)Plantilla'!$C14,RedondeoPersonalTecnico),IF(TipoProgramaPersonalTecnico=2,ROUND(Programa!D$30*'a)Plantilla'!$C14,RedondeoPersonalTecnico),ROUND(Programa!D$30*Hjor*'a)Plantilla'!$C14,RedondeoPersonalTecnico))),0)</f>
        <v>0</v>
      </c>
      <c r="W34" s="6">
        <f>IF(Programa!D$31&gt;0,IF(TipoProgramaPersonalTecnico=1,ROUND(Programa!F$31*'a)Plantilla'!$C14,RedondeoPersonalTecnico),IF(TipoProgramaPersonalTecnico=2,ROUND(Programa!D$31*'a)Plantilla'!$C14,RedondeoPersonalTecnico),ROUND(Programa!D$31*Hjor*'a)Plantilla'!$C14,RedondeoPersonalTecnico))),0)</f>
        <v>0</v>
      </c>
      <c r="X34" s="6">
        <f>IF(Programa!D$32&gt;0,IF(TipoProgramaPersonalTecnico=1,ROUND(Programa!F$32*'a)Plantilla'!$C14,RedondeoPersonalTecnico),IF(TipoProgramaPersonalTecnico=2,ROUND(Programa!D$32*'a)Plantilla'!$C14,RedondeoPersonalTecnico),ROUND(Programa!D$32*Hjor*'a)Plantilla'!$C14,RedondeoPersonalTecnico))),0)</f>
        <v>0</v>
      </c>
      <c r="Y34" s="6">
        <f>IF(Programa!D$33&gt;0,IF(TipoProgramaPersonalTecnico=1,ROUND(Programa!F$33*'a)Plantilla'!$C14,RedondeoPersonalTecnico),IF(TipoProgramaPersonalTecnico=2,ROUND(Programa!D$33*'a)Plantilla'!$C14,RedondeoPersonalTecnico),ROUND(Programa!D$33*Hjor*'a)Plantilla'!$C14,RedondeoPersonalTecnico))),0)</f>
        <v>0</v>
      </c>
      <c r="Z34" s="6">
        <f>IF(Programa!D$34&gt;0,IF(TipoProgramaPersonalTecnico=1,ROUND(Programa!F$34*'a)Plantilla'!$C14,RedondeoPersonalTecnico),IF(TipoProgramaPersonalTecnico=2,ROUND(Programa!D$34*'a)Plantilla'!$C14,RedondeoPersonalTecnico),ROUND(Programa!D$34*Hjor*'a)Plantilla'!$C14,RedondeoPersonalTecnico))),0)</f>
        <v>0</v>
      </c>
      <c r="AA34" s="6">
        <f>IF(Programa!D$35&gt;0,IF(TipoProgramaPersonalTecnico=1,ROUND(Programa!F$35*'a)Plantilla'!$C14,RedondeoPersonalTecnico),IF(TipoProgramaPersonalTecnico=2,ROUND(Programa!D$35*'a)Plantilla'!$C14,RedondeoPersonalTecnico),ROUND(Programa!D$35*Hjor*'a)Plantilla'!$C14,RedondeoPersonalTecnico))),0)</f>
        <v>0</v>
      </c>
      <c r="AB34" s="78">
        <f>IF(Programa!D$36&gt;0,IF(TipoProgramaPersonalTecnico=1,ROUND(Programa!F$36*'a)Plantilla'!$C14,RedondeoPersonalTecnico),IF(TipoProgramaPersonalTecnico=2,ROUND(Programa!D$36*'a)Plantilla'!$C14,RedondeoPersonalTecnico),ROUND(Programa!D$36*Hjor*'a)Plantilla'!$C14,RedondeoPersonalTecnico))),0)</f>
        <v>0</v>
      </c>
      <c r="AC34" s="27">
        <f>IF(Programa!D$37&gt;0,IF(TipoProgramaPersonalTecnico=1,ROUND(Programa!F$37*'a)Plantilla'!$C14,RedondeoPersonalTecnico),IF(TipoProgramaPersonalTecnico=2,ROUND(Programa!D$37*'a)Plantilla'!$C14,RedondeoPersonalTecnico),ROUND(Programa!D$37*Hjor*'a)Plantilla'!$C14,RedondeoPersonalTecnico))),0)</f>
        <v>0</v>
      </c>
      <c r="AD34" s="6">
        <f>IF(Programa!D$38&gt;0,IF(TipoProgramaPersonalTecnico=1,ROUND(Programa!F$38*'a)Plantilla'!$C14,RedondeoPersonalTecnico),IF(TipoProgramaPersonalTecnico=2,ROUND(Programa!D$38*'a)Plantilla'!$C14,RedondeoPersonalTecnico),ROUND(Programa!D$38*Hjor*'a)Plantilla'!$C14,RedondeoPersonalTecnico))),0)</f>
        <v>0</v>
      </c>
      <c r="AE34" s="6">
        <f>IF(Programa!D$39&gt;0,IF(TipoProgramaPersonalTecnico=1,ROUND(Programa!F$39*'a)Plantilla'!$C14,RedondeoPersonalTecnico),IF(TipoProgramaPersonalTecnico=2,ROUND(Programa!D$39*'a)Plantilla'!$C14,RedondeoPersonalTecnico),ROUND(Programa!D$39*Hjor*'a)Plantilla'!$C14,RedondeoPersonalTecnico))),0)</f>
        <v>0</v>
      </c>
      <c r="AF34" s="6">
        <f>IF(Programa!D$40&gt;0,IF(TipoProgramaPersonalTecnico=1,ROUND(Programa!F$40*'a)Plantilla'!$C14,RedondeoPersonalTecnico),IF(TipoProgramaPersonalTecnico=2,ROUND(Programa!D$40*'a)Plantilla'!$C14,RedondeoPersonalTecnico),ROUND(Programa!D$40*Hjor*'a)Plantilla'!$C14,RedondeoPersonalTecnico))),0)</f>
        <v>0</v>
      </c>
      <c r="AG34" s="6">
        <f>IF(Programa!D$41&gt;0,IF(TipoProgramaPersonalTecnico=1,ROUND(Programa!F$41*'a)Plantilla'!$C14,RedondeoPersonalTecnico),IF(TipoProgramaPersonalTecnico=2,ROUND(Programa!D$41*'a)Plantilla'!$C14,RedondeoPersonalTecnico),ROUND(Programa!D$41*Hjor*'a)Plantilla'!$C14,RedondeoPersonalTecnico))),0)</f>
        <v>0</v>
      </c>
      <c r="AH34" s="6">
        <f>IF(Programa!D$42&gt;0,IF(TipoProgramaPersonalTecnico=1,ROUND(Programa!F$42*'a)Plantilla'!$C14,RedondeoPersonalTecnico),IF(TipoProgramaPersonalTecnico=2,ROUND(Programa!D$42*'a)Plantilla'!$C14,RedondeoPersonalTecnico),ROUND(Programa!D$42*Hjor*'a)Plantilla'!$C14,RedondeoPersonalTecnico))),0)</f>
        <v>0</v>
      </c>
      <c r="AI34" s="6">
        <f>IF(Programa!D$43&gt;0,IF(TipoProgramaPersonalTecnico=1,ROUND(Programa!F$43*'a)Plantilla'!$C14,RedondeoPersonalTecnico),IF(TipoProgramaPersonalTecnico=2,ROUND(Programa!D$43*'a)Plantilla'!$C14,RedondeoPersonalTecnico),ROUND(Programa!D$43*Hjor*'a)Plantilla'!$C14,RedondeoPersonalTecnico))),0)</f>
        <v>0</v>
      </c>
      <c r="AJ34" s="6">
        <f>IF(Programa!D$44&gt;0,IF(TipoProgramaPersonalTecnico=1,ROUND(Programa!F$44*'a)Plantilla'!$C14,RedondeoPersonalTecnico),IF(TipoProgramaPersonalTecnico=2,ROUND(Programa!D$44*'a)Plantilla'!$C14,RedondeoPersonalTecnico),ROUND(Programa!D$44*Hjor*'a)Plantilla'!$C14,RedondeoPersonalTecnico))),0)</f>
        <v>0</v>
      </c>
      <c r="AK34" s="6">
        <f>IF(Programa!D$45&gt;0,IF(TipoProgramaPersonalTecnico=1,ROUND(Programa!F$45*'a)Plantilla'!$C14,RedondeoPersonalTecnico),IF(TipoProgramaPersonalTecnico=2,ROUND(Programa!D$45*'a)Plantilla'!$C14,RedondeoPersonalTecnico),ROUND(Programa!D$45*Hjor*'a)Plantilla'!$C14,RedondeoPersonalTecnico))),0)</f>
        <v>0</v>
      </c>
      <c r="AL34" s="6">
        <f>IF(Programa!D$46&gt;0,IF(TipoProgramaPersonalTecnico=1,ROUND(Programa!F$46*'a)Plantilla'!$C14,RedondeoPersonalTecnico),IF(TipoProgramaPersonalTecnico=2,ROUND(Programa!D$46*'a)Plantilla'!$C14,RedondeoPersonalTecnico),ROUND(Programa!D$46*Hjor*'a)Plantilla'!$C14,RedondeoPersonalTecnico))),0)</f>
        <v>0</v>
      </c>
      <c r="AM34" s="6">
        <f>IF(Programa!D$47&gt;0,IF(TipoProgramaPersonalTecnico=1,ROUND(Programa!F$47*'a)Plantilla'!$C14,RedondeoPersonalTecnico),IF(TipoProgramaPersonalTecnico=2,ROUND(Programa!D$47*'a)Plantilla'!$C14,RedondeoPersonalTecnico),ROUND(Programa!D$47*Hjor*'a)Plantilla'!$C14,RedondeoPersonalTecnico))),0)</f>
        <v>0</v>
      </c>
      <c r="AN34" s="78">
        <f>IF(Programa!D$48&gt;0,IF(TipoProgramaPersonalTecnico=1,ROUND(Programa!F$48*'a)Plantilla'!$C14,RedondeoPersonalTecnico),IF(TipoProgramaPersonalTecnico=2,ROUND(Programa!D$48*'a)Plantilla'!$C14,RedondeoPersonalTecnico),ROUND(Programa!D$48*Hjor*'a)Plantilla'!$C14,RedondeoPersonalTecnico))),0)</f>
        <v>0</v>
      </c>
      <c r="AO34" s="27">
        <f>IF(Programa!D$49&gt;0,IF(TipoProgramaPersonalTecnico=1,ROUND(Programa!F$49*'a)Plantilla'!$C14,RedondeoPersonalTecnico),IF(TipoProgramaPersonalTecnico=2,ROUND(Programa!D$49*'a)Plantilla'!$C14,RedondeoPersonalTecnico),ROUND(Programa!D$49*Hjor*'a)Plantilla'!$C14,RedondeoPersonalTecnico))),0)</f>
        <v>0</v>
      </c>
      <c r="AP34" s="6">
        <f>IF(Programa!D$50&gt;0,IF(TipoProgramaPersonalTecnico=1,ROUND(Programa!F$50*'a)Plantilla'!$C14,RedondeoPersonalTecnico),IF(TipoProgramaPersonalTecnico=2,ROUND(Programa!D$50*'a)Plantilla'!$C14,RedondeoPersonalTecnico),ROUND(Programa!D$50*Hjor*'a)Plantilla'!$C14,RedondeoPersonalTecnico))),0)</f>
        <v>0</v>
      </c>
      <c r="AQ34" s="6">
        <f>IF(Programa!D$51&gt;0,IF(TipoProgramaPersonalTecnico=1,ROUND(Programa!F$51*'a)Plantilla'!$C14,RedondeoPersonalTecnico),IF(TipoProgramaPersonalTecnico=2,ROUND(Programa!D$51*'a)Plantilla'!$C14,RedondeoPersonalTecnico),ROUND(Programa!D$51*Hjor*'a)Plantilla'!$C14,RedondeoPersonalTecnico))),0)</f>
        <v>0</v>
      </c>
      <c r="AR34" s="6">
        <f>IF(Programa!D$52&gt;0,IF(TipoProgramaPersonalTecnico=1,ROUND(Programa!F$52*'a)Plantilla'!$C14,RedondeoPersonalTecnico),IF(TipoProgramaPersonalTecnico=2,ROUND(Programa!D$52*'a)Plantilla'!$C14,RedondeoPersonalTecnico),ROUND(Programa!D$52*Hjor*'a)Plantilla'!$C14,RedondeoPersonalTecnico))),0)</f>
        <v>0</v>
      </c>
      <c r="AS34" s="6">
        <f>IF(Programa!D$53&gt;0,IF(TipoProgramaPersonalTecnico=1,ROUND(Programa!F$53*'a)Plantilla'!$C14,RedondeoPersonalTecnico),IF(TipoProgramaPersonalTecnico=2,ROUND(Programa!D$53*'a)Plantilla'!$C14,RedondeoPersonalTecnico),ROUND(Programa!D$53*Hjor*'a)Plantilla'!$C14,RedondeoPersonalTecnico))),0)</f>
        <v>0</v>
      </c>
      <c r="AT34" s="6">
        <f>IF(Programa!D$54&gt;0,IF(TipoProgramaPersonalTecnico=1,ROUND(Programa!F$54*'a)Plantilla'!$C14,RedondeoPersonalTecnico),IF(TipoProgramaPersonalTecnico=2,ROUND(Programa!D$54*'a)Plantilla'!$C14,RedondeoPersonalTecnico),ROUND(Programa!D$54*Hjor*'a)Plantilla'!$C14,RedondeoPersonalTecnico))),0)</f>
        <v>0</v>
      </c>
      <c r="AU34" s="6">
        <f>IF(Programa!D$55&gt;0,IF(TipoProgramaPersonalTecnico=1,ROUND(Programa!F$55*'a)Plantilla'!$C14,RedondeoPersonalTecnico),IF(TipoProgramaPersonalTecnico=2,ROUND(Programa!D$55*'a)Plantilla'!$C14,RedondeoPersonalTecnico),ROUND(Programa!D$55*Hjor*'a)Plantilla'!$C14,RedondeoPersonalTecnico))),0)</f>
        <v>0</v>
      </c>
      <c r="AV34" s="6">
        <f>IF(Programa!D$56&gt;0,IF(TipoProgramaPersonalTecnico=1,ROUND(Programa!F$56*'a)Plantilla'!$C14,RedondeoPersonalTecnico),IF(TipoProgramaPersonalTecnico=2,ROUND(Programa!D$56*'a)Plantilla'!$C14,RedondeoPersonalTecnico),ROUND(Programa!D$56*Hjor*'a)Plantilla'!$C14,RedondeoPersonalTecnico))),0)</f>
        <v>0</v>
      </c>
      <c r="AW34" s="6">
        <f>IF(Programa!D$57&gt;0,IF(TipoProgramaPersonalTecnico=1,ROUND(Programa!F$57*'a)Plantilla'!$C14,RedondeoPersonalTecnico),IF(TipoProgramaPersonalTecnico=2,ROUND(Programa!D$57*'a)Plantilla'!$C14,RedondeoPersonalTecnico),ROUND(Programa!D$57*Hjor*'a)Plantilla'!$C14,RedondeoPersonalTecnico))),0)</f>
        <v>0</v>
      </c>
      <c r="AX34" s="6">
        <f>IF(Programa!D$58&gt;0,IF(TipoProgramaPersonalTecnico=1,ROUND(Programa!F$58*'a)Plantilla'!$C14,RedondeoPersonalTecnico),IF(TipoProgramaPersonalTecnico=2,ROUND(Programa!D$58*'a)Plantilla'!$C14,RedondeoPersonalTecnico),ROUND(Programa!D$58*Hjor*'a)Plantilla'!$C14,RedondeoPersonalTecnico))),0)</f>
        <v>0</v>
      </c>
      <c r="AY34" s="6">
        <f>IF(Programa!D$59&gt;0,IF(TipoProgramaPersonalTecnico=1,ROUND(Programa!F$59*'a)Plantilla'!$C14,RedondeoPersonalTecnico),IF(TipoProgramaPersonalTecnico=2,ROUND(Programa!D$59*'a)Plantilla'!$C14,RedondeoPersonalTecnico),ROUND(Programa!D$59*Hjor*'a)Plantilla'!$C14,RedondeoPersonalTecnico))),0)</f>
        <v>0</v>
      </c>
      <c r="AZ34" s="6">
        <f>IF(Programa!D$60&gt;0,IF(TipoProgramaPersonalTecnico=1,ROUND(Programa!F$60*'a)Plantilla'!$C14,RedondeoPersonalTecnico),IF(TipoProgramaPersonalTecnico=2,ROUND(Programa!D$60*'a)Plantilla'!$C14,RedondeoPersonalTecnico),ROUND(Programa!D$60*Hjor*'a)Plantilla'!$C14,RedondeoPersonalTecnico))),0)</f>
        <v>0</v>
      </c>
      <c r="BA34" s="6">
        <f>IF(Programa!D$61&gt;0,IF(TipoProgramaPersonalTecnico=1,ROUND(Programa!F$61*'a)Plantilla'!$C14,RedondeoPersonalTecnico),IF(TipoProgramaPersonalTecnico=2,ROUND(Programa!D$61*'a)Plantilla'!$C14,RedondeoPersonalTecnico),ROUND(Programa!D$61*Hjor*'a)Plantilla'!$C14,RedondeoPersonalTecnico))),0)</f>
        <v>0</v>
      </c>
      <c r="BB34" s="6">
        <f>IF(Programa!D$62&gt;0,IF(TipoProgramaPersonalTecnico=1,ROUND(Programa!F$62*'a)Plantilla'!$C14,RedondeoPersonalTecnico),IF(TipoProgramaPersonalTecnico=2,ROUND(Programa!D$62*'a)Plantilla'!$C14,RedondeoPersonalTecnico),ROUND(Programa!D$62*Hjor*'a)Plantilla'!$C14,RedondeoPersonalTecnico))),0)</f>
        <v>0</v>
      </c>
      <c r="BC34" s="6">
        <f>IF(Programa!D$63&gt;0,IF(TipoProgramaPersonalTecnico=1,ROUND(Programa!F$63*'a)Plantilla'!$C14,RedondeoPersonalTecnico),IF(TipoProgramaPersonalTecnico=2,ROUND(Programa!D$63*'a)Plantilla'!$C14,RedondeoPersonalTecnico),ROUND(Programa!D$63*Hjor*'a)Plantilla'!$C14,RedondeoPersonalTecnico))),0)</f>
        <v>0</v>
      </c>
      <c r="BD34" s="6">
        <f>IF(Programa!D$64&gt;0,IF(TipoProgramaPersonalTecnico=1,ROUND(Programa!F$64*'a)Plantilla'!$C14,RedondeoPersonalTecnico),IF(TipoProgramaPersonalTecnico=2,ROUND(Programa!D$64*'a)Plantilla'!$C14,RedondeoPersonalTecnico),ROUND(Programa!D$64*Hjor*'a)Plantilla'!$C14,RedondeoPersonalTecnico))),0)</f>
        <v>0</v>
      </c>
      <c r="BE34" s="6">
        <f>IF(Programa!D$65&gt;0,IF(TipoProgramaPersonalTecnico=1,ROUND(Programa!F$65*'a)Plantilla'!$C14,RedondeoPersonalTecnico),IF(TipoProgramaPersonalTecnico=2,ROUND(Programa!D$65*'a)Plantilla'!$C14,RedondeoPersonalTecnico),ROUND(Programa!D$65*Hjor*'a)Plantilla'!$C14,RedondeoPersonalTecnico))),0)</f>
        <v>0</v>
      </c>
      <c r="BF34" s="6">
        <f>IF(Programa!D$66&gt;0,IF(TipoProgramaPersonalTecnico=1,ROUND(Programa!F$66*'a)Plantilla'!$C14,RedondeoPersonalTecnico),IF(TipoProgramaPersonalTecnico=2,ROUND(Programa!D$66*'a)Plantilla'!$C14,RedondeoPersonalTecnico),ROUND(Programa!D$66*Hjor*'a)Plantilla'!$C14,RedondeoPersonalTecnico))),0)</f>
        <v>0</v>
      </c>
      <c r="BG34" s="6">
        <f>IF(Programa!D$67&gt;0,IF(TipoProgramaPersonalTecnico=1,ROUND(Programa!F$67*'a)Plantilla'!$C14,RedondeoPersonalTecnico),IF(TipoProgramaPersonalTecnico=2,ROUND(Programa!D$67*'a)Plantilla'!$C14,RedondeoPersonalTecnico),ROUND(Programa!D$67*Hjor*'a)Plantilla'!$C14,RedondeoPersonalTecnico))),0)</f>
        <v>0</v>
      </c>
      <c r="BH34" s="6">
        <f>IF(Programa!D$68&gt;0,IF(TipoProgramaPersonalTecnico=1,ROUND(Programa!F$68*'a)Plantilla'!$C14,RedondeoPersonalTecnico),IF(TipoProgramaPersonalTecnico=2,ROUND(Programa!D$68*'a)Plantilla'!$C14,RedondeoPersonalTecnico),ROUND(Programa!D$68*Hjor*'a)Plantilla'!$C14,RedondeoPersonalTecnico))),0)</f>
        <v>0</v>
      </c>
      <c r="BI34" s="6">
        <f>IF(Programa!D$69&gt;0,IF(TipoProgramaPersonalTecnico=1,ROUND(Programa!F$69*'a)Plantilla'!$C14,RedondeoPersonalTecnico),IF(TipoProgramaPersonalTecnico=2,ROUND(Programa!D$69*'a)Plantilla'!$C14,RedondeoPersonalTecnico),ROUND(Programa!D$69*Hjor*'a)Plantilla'!$C14,RedondeoPersonalTecnico))),0)</f>
        <v>0</v>
      </c>
      <c r="BJ34" s="6">
        <f>IF(Programa!D$70&gt;0,IF(TipoProgramaPersonalTecnico=1,ROUND(Programa!F$70*'a)Plantilla'!$C14,RedondeoPersonalTecnico),IF(TipoProgramaPersonalTecnico=2,ROUND(Programa!D$70*'a)Plantilla'!$C14,RedondeoPersonalTecnico),ROUND(Programa!D$70*Hjor*'a)Plantilla'!$C14,RedondeoPersonalTecnico))),0)</f>
        <v>0</v>
      </c>
      <c r="BK34" s="6">
        <f>IF(Programa!D$71&gt;0,IF(TipoProgramaPersonalTecnico=1,ROUND(Programa!F$71*'a)Plantilla'!$C14,RedondeoPersonalTecnico),IF(TipoProgramaPersonalTecnico=2,ROUND(Programa!D$71*'a)Plantilla'!$C14,RedondeoPersonalTecnico),ROUND(Programa!D$71*Hjor*'a)Plantilla'!$C14,RedondeoPersonalTecnico))),0)</f>
        <v>0</v>
      </c>
      <c r="BL34" s="78">
        <f>IF(Programa!D$72&gt;0,IF(TipoProgramaPersonalTecnico=1,ROUND(Programa!F$72*'a)Plantilla'!$C14,RedondeoPersonalTecnico),IF(TipoProgramaPersonalTecnico=2,ROUND(Programa!D$72*'a)Plantilla'!$C14,RedondeoPersonalTecnico),ROUND(Programa!D$72*Hjor*'a)Plantilla'!$C14,RedondeoPersonalTecnico))),0)</f>
        <v>0</v>
      </c>
    </row>
    <row r="35" spans="1:64" ht="8.1" customHeight="1">
      <c r="A35" s="67"/>
      <c r="B35" s="46"/>
      <c r="C35" s="31"/>
      <c r="D35" s="22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78"/>
      <c r="Q35" s="27"/>
      <c r="R35" s="6"/>
      <c r="S35" s="6"/>
      <c r="T35" s="6"/>
      <c r="U35" s="6"/>
      <c r="V35" s="6"/>
      <c r="W35" s="6"/>
      <c r="X35" s="6"/>
      <c r="Y35" s="6"/>
      <c r="Z35" s="6"/>
      <c r="AA35" s="6"/>
      <c r="AB35" s="78"/>
      <c r="AC35" s="27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78"/>
      <c r="AO35" s="27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78"/>
    </row>
    <row r="36" spans="1:64" ht="11.25" customHeight="1">
      <c r="A36" s="194"/>
      <c r="B36" s="136" t="str">
        <f>IF('a)Plantilla'!C15&gt;0,'a)Plantilla'!B15,"")</f>
        <v/>
      </c>
      <c r="C36" s="281" t="str">
        <f>IF('a)Plantilla'!C$15&gt;0,IF(TipoProgramaPersonalTecnico=1,"Personas",IF(TipoProgramaPersonalTecnico=2,"Jornal","horas-Hombre")),"")</f>
        <v/>
      </c>
      <c r="D36" s="756">
        <f>ROUND(SUM(E36:BL36),RedondeoPersonalTecnico)</f>
        <v>0</v>
      </c>
      <c r="E36" s="16">
        <f>IF(Programa!D$13&gt;0,IF(TipoProgramaPersonalTecnico=1,ROUND(Programa!F$13*'a)Plantilla'!$C15,RedondeoPersonalTecnico),IF(TipoProgramaPersonalTecnico=2,ROUND(Programa!D$13*'a)Plantilla'!$C15,RedondeoPersonalTecnico),ROUND(Programa!D$13*Hjor*'a)Plantilla'!$C15,RedondeoPersonalTecnico))),0)</f>
        <v>0</v>
      </c>
      <c r="F36" s="16">
        <f>IF(Programa!D$14&gt;0,IF(TipoProgramaPersonalTecnico=1,ROUND(Programa!F$14*'a)Plantilla'!$C15,RedondeoPersonalTecnico),IF(TipoProgramaPersonalTecnico=2,ROUND(Programa!D$14*'a)Plantilla'!$C15,RedondeoPersonalTecnico),ROUND(Programa!D$14*Hjor*'a)Plantilla'!$C15,RedondeoPersonalTecnico))),0)</f>
        <v>0</v>
      </c>
      <c r="G36" s="16">
        <f>IF(Programa!D$15&gt;0,IF(TipoProgramaPersonalTecnico=1,ROUND(Programa!F$15*'a)Plantilla'!$C15,RedondeoPersonalTecnico),IF(TipoProgramaPersonalTecnico=2,ROUND(Programa!D$15*'a)Plantilla'!$C15,RedondeoPersonalTecnico),ROUND(Programa!D$15*Hjor*'a)Plantilla'!$C15,RedondeoPersonalTecnico))),0)</f>
        <v>0</v>
      </c>
      <c r="H36" s="16">
        <f>IF(Programa!D$16&gt;0,IF(TipoProgramaPersonalTecnico=1,ROUND(Programa!F$16*'a)Plantilla'!$C15,RedondeoPersonalTecnico),IF(TipoProgramaPersonalTecnico=2,ROUND(Programa!D$16*'a)Plantilla'!$C15,RedondeoPersonalTecnico),ROUND(Programa!D$16*Hjor*'a)Plantilla'!$C15,RedondeoPersonalTecnico))),0)</f>
        <v>0</v>
      </c>
      <c r="I36" s="16">
        <f>IF(Programa!D$17&gt;0,IF(TipoProgramaPersonalTecnico=1,ROUND(Programa!F$17*'a)Plantilla'!$C15,RedondeoPersonalTecnico),IF(TipoProgramaPersonalTecnico=2,ROUND(Programa!D$17*'a)Plantilla'!$C15,RedondeoPersonalTecnico),ROUND(Programa!D$17*Hjor*'a)Plantilla'!$C15,RedondeoPersonalTecnico))),0)</f>
        <v>0</v>
      </c>
      <c r="J36" s="16">
        <f>IF(Programa!D$18&gt;0,IF(TipoProgramaPersonalTecnico=1,ROUND(Programa!F$18*'a)Plantilla'!$C15,RedondeoPersonalTecnico),IF(TipoProgramaPersonalTecnico=2,ROUND(Programa!D$18*'a)Plantilla'!$C15,RedondeoPersonalTecnico),ROUND(Programa!D$18*Hjor*'a)Plantilla'!$C15,RedondeoPersonalTecnico))),0)</f>
        <v>0</v>
      </c>
      <c r="K36" s="16">
        <f>IF(Programa!D$19&gt;0,IF(TipoProgramaPersonalTecnico=1,ROUND(Programa!F$19*'a)Plantilla'!$C15,RedondeoPersonalTecnico),IF(TipoProgramaPersonalTecnico=2,ROUND(Programa!D$19*'a)Plantilla'!$C15,RedondeoPersonalTecnico),ROUND(Programa!D$19*Hjor*'a)Plantilla'!$C15,RedondeoPersonalTecnico))),0)</f>
        <v>0</v>
      </c>
      <c r="L36" s="16">
        <f>IF(Programa!D$20&gt;0,IF(TipoProgramaPersonalTecnico=1,ROUND(Programa!F$20*'a)Plantilla'!$C15,RedondeoPersonalTecnico),IF(TipoProgramaPersonalTecnico=2,ROUND(Programa!D$20*'a)Plantilla'!$C15,RedondeoPersonalTecnico),ROUND(Programa!D$20*Hjor*'a)Plantilla'!$C15,RedondeoPersonalTecnico))),0)</f>
        <v>0</v>
      </c>
      <c r="M36" s="16">
        <f>IF(Programa!D$21&gt;0,IF(TipoProgramaPersonalTecnico=1,ROUND(Programa!F$21*'a)Plantilla'!$C15,RedondeoPersonalTecnico),IF(TipoProgramaPersonalTecnico=2,ROUND(Programa!D$21*'a)Plantilla'!$C15,RedondeoPersonalTecnico),ROUND(Programa!D$21*Hjor*'a)Plantilla'!$C15,RedondeoPersonalTecnico))),0)</f>
        <v>0</v>
      </c>
      <c r="N36" s="16">
        <f>IF(Programa!D$22&gt;0,IF(TipoProgramaPersonalTecnico=1,ROUND(Programa!F$22*'a)Plantilla'!$C15,RedondeoPersonalTecnico),IF(TipoProgramaPersonalTecnico=2,ROUND(Programa!D$22*'a)Plantilla'!$C15,RedondeoPersonalTecnico),ROUND(Programa!D$22*Hjor*'a)Plantilla'!$C15,RedondeoPersonalTecnico))),0)</f>
        <v>0</v>
      </c>
      <c r="O36" s="16">
        <f>IF(Programa!D$23&gt;0,IF(TipoProgramaPersonalTecnico=1,ROUND(Programa!F$23*'a)Plantilla'!$C15,RedondeoPersonalTecnico),IF(TipoProgramaPersonalTecnico=2,ROUND(Programa!D$23*'a)Plantilla'!$C15,RedondeoPersonalTecnico),ROUND(Programa!D$23*Hjor*'a)Plantilla'!$C15,RedondeoPersonalTecnico))),0)</f>
        <v>0</v>
      </c>
      <c r="P36" s="117">
        <f>IF(Programa!D$24&gt;0,IF(TipoProgramaPersonalTecnico=1,ROUND(Programa!F$24*'a)Plantilla'!$C15,RedondeoPersonalTecnico),IF(TipoProgramaPersonalTecnico=2,ROUND(Programa!D$24*'a)Plantilla'!$C15,RedondeoPersonalTecnico),ROUND(Programa!D$24*Hjor*'a)Plantilla'!$C15,RedondeoPersonalTecnico))),0)</f>
        <v>0</v>
      </c>
      <c r="Q36" s="36">
        <f>IF(Programa!D$25&gt;0,IF(TipoProgramaPersonalTecnico=1,ROUND(Programa!F$25*'a)Plantilla'!$C15,RedondeoPersonalTecnico),IF(TipoProgramaPersonalTecnico=2,ROUND(Programa!D$25*'a)Plantilla'!$C15,RedondeoPersonalTecnico),ROUND(Programa!D$25*Hjor*'a)Plantilla'!$C15,RedondeoPersonalTecnico))),0)</f>
        <v>0</v>
      </c>
      <c r="R36" s="16">
        <f>IF(Programa!D$26&gt;0,IF(TipoProgramaPersonalTecnico=1,ROUND(Programa!F$26*'a)Plantilla'!$C15,RedondeoPersonalTecnico),IF(TipoProgramaPersonalTecnico=2,ROUND(Programa!D$26*'a)Plantilla'!$C15,RedondeoPersonalTecnico),ROUND(Programa!D$26*Hjor*'a)Plantilla'!$C15,RedondeoPersonalTecnico))),0)</f>
        <v>0</v>
      </c>
      <c r="S36" s="16">
        <f>IF(Programa!D$27&gt;0,IF(TipoProgramaPersonalTecnico=1,ROUND(Programa!F$27*'a)Plantilla'!$C15,RedondeoPersonalTecnico),IF(TipoProgramaPersonalTecnico=2,ROUND(Programa!D$27*'a)Plantilla'!$C15,RedondeoPersonalTecnico),ROUND(Programa!D$27*Hjor*'a)Plantilla'!$C15,RedondeoPersonalTecnico))),0)</f>
        <v>0</v>
      </c>
      <c r="T36" s="16">
        <f>IF(Programa!D$28&gt;0,IF(TipoProgramaPersonalTecnico=1,ROUND(Programa!F$28*'a)Plantilla'!$C15,RedondeoPersonalTecnico),IF(TipoProgramaPersonalTecnico=2,ROUND(Programa!D$28*'a)Plantilla'!$C15,RedondeoPersonalTecnico),ROUND(Programa!D$28*Hjor*'a)Plantilla'!$C15,RedondeoPersonalTecnico))),0)</f>
        <v>0</v>
      </c>
      <c r="U36" s="16">
        <f>IF(Programa!D$29&gt;0,IF(TipoProgramaPersonalTecnico=1,ROUND(Programa!F$29*'a)Plantilla'!$C15,RedondeoPersonalTecnico),IF(TipoProgramaPersonalTecnico=2,ROUND(Programa!D$29*'a)Plantilla'!$C15,RedondeoPersonalTecnico),ROUND(Programa!D$29*Hjor*'a)Plantilla'!$C15,RedondeoPersonalTecnico))),0)</f>
        <v>0</v>
      </c>
      <c r="V36" s="16">
        <f>IF(Programa!D$30&gt;0,IF(TipoProgramaPersonalTecnico=1,ROUND(Programa!F$30*'a)Plantilla'!$C15,RedondeoPersonalTecnico),IF(TipoProgramaPersonalTecnico=2,ROUND(Programa!D$30*'a)Plantilla'!$C15,RedondeoPersonalTecnico),ROUND(Programa!D$30*Hjor*'a)Plantilla'!$C15,RedondeoPersonalTecnico))),0)</f>
        <v>0</v>
      </c>
      <c r="W36" s="16">
        <f>IF(Programa!D$31&gt;0,IF(TipoProgramaPersonalTecnico=1,ROUND(Programa!F$31*'a)Plantilla'!$C15,RedondeoPersonalTecnico),IF(TipoProgramaPersonalTecnico=2,ROUND(Programa!D$31*'a)Plantilla'!$C15,RedondeoPersonalTecnico),ROUND(Programa!D$31*Hjor*'a)Plantilla'!$C15,RedondeoPersonalTecnico))),0)</f>
        <v>0</v>
      </c>
      <c r="X36" s="16">
        <f>IF(Programa!D$32&gt;0,IF(TipoProgramaPersonalTecnico=1,ROUND(Programa!F$32*'a)Plantilla'!$C15,RedondeoPersonalTecnico),IF(TipoProgramaPersonalTecnico=2,ROUND(Programa!D$32*'a)Plantilla'!$C15,RedondeoPersonalTecnico),ROUND(Programa!D$32*Hjor*'a)Plantilla'!$C15,RedondeoPersonalTecnico))),0)</f>
        <v>0</v>
      </c>
      <c r="Y36" s="16">
        <f>IF(Programa!D$33&gt;0,IF(TipoProgramaPersonalTecnico=1,ROUND(Programa!F$33*'a)Plantilla'!$C15,RedondeoPersonalTecnico),IF(TipoProgramaPersonalTecnico=2,ROUND(Programa!D$33*'a)Plantilla'!$C15,RedondeoPersonalTecnico),ROUND(Programa!D$33*Hjor*'a)Plantilla'!$C15,RedondeoPersonalTecnico))),0)</f>
        <v>0</v>
      </c>
      <c r="Z36" s="16">
        <f>IF(Programa!D$34&gt;0,IF(TipoProgramaPersonalTecnico=1,ROUND(Programa!F$34*'a)Plantilla'!$C15,RedondeoPersonalTecnico),IF(TipoProgramaPersonalTecnico=2,ROUND(Programa!D$34*'a)Plantilla'!$C15,RedondeoPersonalTecnico),ROUND(Programa!D$34*Hjor*'a)Plantilla'!$C15,RedondeoPersonalTecnico))),0)</f>
        <v>0</v>
      </c>
      <c r="AA36" s="16">
        <f>IF(Programa!D$35&gt;0,IF(TipoProgramaPersonalTecnico=1,ROUND(Programa!F$35*'a)Plantilla'!$C15,RedondeoPersonalTecnico),IF(TipoProgramaPersonalTecnico=2,ROUND(Programa!D$35*'a)Plantilla'!$C15,RedondeoPersonalTecnico),ROUND(Programa!D$35*Hjor*'a)Plantilla'!$C15,RedondeoPersonalTecnico))),0)</f>
        <v>0</v>
      </c>
      <c r="AB36" s="117">
        <f>IF(Programa!D$36&gt;0,IF(TipoProgramaPersonalTecnico=1,ROUND(Programa!F$36*'a)Plantilla'!$C15,RedondeoPersonalTecnico),IF(TipoProgramaPersonalTecnico=2,ROUND(Programa!D$36*'a)Plantilla'!$C15,RedondeoPersonalTecnico),ROUND(Programa!D$36*Hjor*'a)Plantilla'!$C15,RedondeoPersonalTecnico))),0)</f>
        <v>0</v>
      </c>
      <c r="AC36" s="36">
        <f>IF(Programa!D$37&gt;0,IF(TipoProgramaPersonalTecnico=1,ROUND(Programa!F$37*'a)Plantilla'!$C15,RedondeoPersonalTecnico),IF(TipoProgramaPersonalTecnico=2,ROUND(Programa!D$37*'a)Plantilla'!$C15,RedondeoPersonalTecnico),ROUND(Programa!D$37*Hjor*'a)Plantilla'!$C15,RedondeoPersonalTecnico))),0)</f>
        <v>0</v>
      </c>
      <c r="AD36" s="16">
        <f>IF(Programa!D$38&gt;0,IF(TipoProgramaPersonalTecnico=1,ROUND(Programa!F$38*'a)Plantilla'!$C15,RedondeoPersonalTecnico),IF(TipoProgramaPersonalTecnico=2,ROUND(Programa!D$38*'a)Plantilla'!$C15,RedondeoPersonalTecnico),ROUND(Programa!D$38*Hjor*'a)Plantilla'!$C15,RedondeoPersonalTecnico))),0)</f>
        <v>0</v>
      </c>
      <c r="AE36" s="16">
        <f>IF(Programa!D$39&gt;0,IF(TipoProgramaPersonalTecnico=1,ROUND(Programa!F$39*'a)Plantilla'!$C15,RedondeoPersonalTecnico),IF(TipoProgramaPersonalTecnico=2,ROUND(Programa!D$39*'a)Plantilla'!$C15,RedondeoPersonalTecnico),ROUND(Programa!D$39*Hjor*'a)Plantilla'!$C15,RedondeoPersonalTecnico))),0)</f>
        <v>0</v>
      </c>
      <c r="AF36" s="16">
        <f>IF(Programa!D$40&gt;0,IF(TipoProgramaPersonalTecnico=1,ROUND(Programa!F$40*'a)Plantilla'!$C15,RedondeoPersonalTecnico),IF(TipoProgramaPersonalTecnico=2,ROUND(Programa!D$40*'a)Plantilla'!$C15,RedondeoPersonalTecnico),ROUND(Programa!D$40*Hjor*'a)Plantilla'!$C15,RedondeoPersonalTecnico))),0)</f>
        <v>0</v>
      </c>
      <c r="AG36" s="16">
        <f>IF(Programa!D$41&gt;0,IF(TipoProgramaPersonalTecnico=1,ROUND(Programa!F$41*'a)Plantilla'!$C15,RedondeoPersonalTecnico),IF(TipoProgramaPersonalTecnico=2,ROUND(Programa!D$41*'a)Plantilla'!$C15,RedondeoPersonalTecnico),ROUND(Programa!D$41*Hjor*'a)Plantilla'!$C15,RedondeoPersonalTecnico))),0)</f>
        <v>0</v>
      </c>
      <c r="AH36" s="16">
        <f>IF(Programa!D$42&gt;0,IF(TipoProgramaPersonalTecnico=1,ROUND(Programa!F$42*'a)Plantilla'!$C15,RedondeoPersonalTecnico),IF(TipoProgramaPersonalTecnico=2,ROUND(Programa!D$42*'a)Plantilla'!$C15,RedondeoPersonalTecnico),ROUND(Programa!D$42*Hjor*'a)Plantilla'!$C15,RedondeoPersonalTecnico))),0)</f>
        <v>0</v>
      </c>
      <c r="AI36" s="16">
        <f>IF(Programa!D$43&gt;0,IF(TipoProgramaPersonalTecnico=1,ROUND(Programa!F$43*'a)Plantilla'!$C15,RedondeoPersonalTecnico),IF(TipoProgramaPersonalTecnico=2,ROUND(Programa!D$43*'a)Plantilla'!$C15,RedondeoPersonalTecnico),ROUND(Programa!D$43*Hjor*'a)Plantilla'!$C15,RedondeoPersonalTecnico))),0)</f>
        <v>0</v>
      </c>
      <c r="AJ36" s="16">
        <f>IF(Programa!D$44&gt;0,IF(TipoProgramaPersonalTecnico=1,ROUND(Programa!F$44*'a)Plantilla'!$C15,RedondeoPersonalTecnico),IF(TipoProgramaPersonalTecnico=2,ROUND(Programa!D$44*'a)Plantilla'!$C15,RedondeoPersonalTecnico),ROUND(Programa!D$44*Hjor*'a)Plantilla'!$C15,RedondeoPersonalTecnico))),0)</f>
        <v>0</v>
      </c>
      <c r="AK36" s="16">
        <f>IF(Programa!D$45&gt;0,IF(TipoProgramaPersonalTecnico=1,ROUND(Programa!F$45*'a)Plantilla'!$C15,RedondeoPersonalTecnico),IF(TipoProgramaPersonalTecnico=2,ROUND(Programa!D$45*'a)Plantilla'!$C15,RedondeoPersonalTecnico),ROUND(Programa!D$45*Hjor*'a)Plantilla'!$C15,RedondeoPersonalTecnico))),0)</f>
        <v>0</v>
      </c>
      <c r="AL36" s="16">
        <f>IF(Programa!D$46&gt;0,IF(TipoProgramaPersonalTecnico=1,ROUND(Programa!F$46*'a)Plantilla'!$C15,RedondeoPersonalTecnico),IF(TipoProgramaPersonalTecnico=2,ROUND(Programa!D$46*'a)Plantilla'!$C15,RedondeoPersonalTecnico),ROUND(Programa!D$46*Hjor*'a)Plantilla'!$C15,RedondeoPersonalTecnico))),0)</f>
        <v>0</v>
      </c>
      <c r="AM36" s="16">
        <f>IF(Programa!D$47&gt;0,IF(TipoProgramaPersonalTecnico=1,ROUND(Programa!F$47*'a)Plantilla'!$C15,RedondeoPersonalTecnico),IF(TipoProgramaPersonalTecnico=2,ROUND(Programa!D$47*'a)Plantilla'!$C15,RedondeoPersonalTecnico),ROUND(Programa!D$47*Hjor*'a)Plantilla'!$C15,RedondeoPersonalTecnico))),0)</f>
        <v>0</v>
      </c>
      <c r="AN36" s="117">
        <f>IF(Programa!D$48&gt;0,IF(TipoProgramaPersonalTecnico=1,ROUND(Programa!F$48*'a)Plantilla'!$C15,RedondeoPersonalTecnico),IF(TipoProgramaPersonalTecnico=2,ROUND(Programa!D$48*'a)Plantilla'!$C15,RedondeoPersonalTecnico),ROUND(Programa!D$48*Hjor*'a)Plantilla'!$C15,RedondeoPersonalTecnico))),0)</f>
        <v>0</v>
      </c>
      <c r="AO36" s="36">
        <f>IF(Programa!D$49&gt;0,IF(TipoProgramaPersonalTecnico=1,ROUND(Programa!F$49*'a)Plantilla'!$C15,RedondeoPersonalTecnico),IF(TipoProgramaPersonalTecnico=2,ROUND(Programa!D$49*'a)Plantilla'!$C15,RedondeoPersonalTecnico),ROUND(Programa!D$49*Hjor*'a)Plantilla'!$C15,RedondeoPersonalTecnico))),0)</f>
        <v>0</v>
      </c>
      <c r="AP36" s="16">
        <f>IF(Programa!D$50&gt;0,IF(TipoProgramaPersonalTecnico=1,ROUND(Programa!F$50*'a)Plantilla'!$C15,RedondeoPersonalTecnico),IF(TipoProgramaPersonalTecnico=2,ROUND(Programa!D$50*'a)Plantilla'!$C15,RedondeoPersonalTecnico),ROUND(Programa!D$50*Hjor*'a)Plantilla'!$C15,RedondeoPersonalTecnico))),0)</f>
        <v>0</v>
      </c>
      <c r="AQ36" s="16">
        <f>IF(Programa!D$51&gt;0,IF(TipoProgramaPersonalTecnico=1,ROUND(Programa!F$51*'a)Plantilla'!$C15,RedondeoPersonalTecnico),IF(TipoProgramaPersonalTecnico=2,ROUND(Programa!D$51*'a)Plantilla'!$C15,RedondeoPersonalTecnico),ROUND(Programa!D$51*Hjor*'a)Plantilla'!$C15,RedondeoPersonalTecnico))),0)</f>
        <v>0</v>
      </c>
      <c r="AR36" s="16">
        <f>IF(Programa!D$52&gt;0,IF(TipoProgramaPersonalTecnico=1,ROUND(Programa!F$52*'a)Plantilla'!$C15,RedondeoPersonalTecnico),IF(TipoProgramaPersonalTecnico=2,ROUND(Programa!D$52*'a)Plantilla'!$C15,RedondeoPersonalTecnico),ROUND(Programa!D$52*Hjor*'a)Plantilla'!$C15,RedondeoPersonalTecnico))),0)</f>
        <v>0</v>
      </c>
      <c r="AS36" s="16">
        <f>IF(Programa!D$53&gt;0,IF(TipoProgramaPersonalTecnico=1,ROUND(Programa!F$53*'a)Plantilla'!$C15,RedondeoPersonalTecnico),IF(TipoProgramaPersonalTecnico=2,ROUND(Programa!D$53*'a)Plantilla'!$C15,RedondeoPersonalTecnico),ROUND(Programa!D$53*Hjor*'a)Plantilla'!$C15,RedondeoPersonalTecnico))),0)</f>
        <v>0</v>
      </c>
      <c r="AT36" s="16">
        <f>IF(Programa!D$54&gt;0,IF(TipoProgramaPersonalTecnico=1,ROUND(Programa!F$54*'a)Plantilla'!$C15,RedondeoPersonalTecnico),IF(TipoProgramaPersonalTecnico=2,ROUND(Programa!D$54*'a)Plantilla'!$C15,RedondeoPersonalTecnico),ROUND(Programa!D$54*Hjor*'a)Plantilla'!$C15,RedondeoPersonalTecnico))),0)</f>
        <v>0</v>
      </c>
      <c r="AU36" s="16">
        <f>IF(Programa!D$55&gt;0,IF(TipoProgramaPersonalTecnico=1,ROUND(Programa!F$55*'a)Plantilla'!$C15,RedondeoPersonalTecnico),IF(TipoProgramaPersonalTecnico=2,ROUND(Programa!D$55*'a)Plantilla'!$C15,RedondeoPersonalTecnico),ROUND(Programa!D$55*Hjor*'a)Plantilla'!$C15,RedondeoPersonalTecnico))),0)</f>
        <v>0</v>
      </c>
      <c r="AV36" s="16">
        <f>IF(Programa!D$56&gt;0,IF(TipoProgramaPersonalTecnico=1,ROUND(Programa!F$56*'a)Plantilla'!$C15,RedondeoPersonalTecnico),IF(TipoProgramaPersonalTecnico=2,ROUND(Programa!D$56*'a)Plantilla'!$C15,RedondeoPersonalTecnico),ROUND(Programa!D$56*Hjor*'a)Plantilla'!$C15,RedondeoPersonalTecnico))),0)</f>
        <v>0</v>
      </c>
      <c r="AW36" s="16">
        <f>IF(Programa!D$57&gt;0,IF(TipoProgramaPersonalTecnico=1,ROUND(Programa!F$57*'a)Plantilla'!$C15,RedondeoPersonalTecnico),IF(TipoProgramaPersonalTecnico=2,ROUND(Programa!D$57*'a)Plantilla'!$C15,RedondeoPersonalTecnico),ROUND(Programa!D$57*Hjor*'a)Plantilla'!$C15,RedondeoPersonalTecnico))),0)</f>
        <v>0</v>
      </c>
      <c r="AX36" s="16">
        <f>IF(Programa!D$58&gt;0,IF(TipoProgramaPersonalTecnico=1,ROUND(Programa!F$58*'a)Plantilla'!$C15,RedondeoPersonalTecnico),IF(TipoProgramaPersonalTecnico=2,ROUND(Programa!D$58*'a)Plantilla'!$C15,RedondeoPersonalTecnico),ROUND(Programa!D$58*Hjor*'a)Plantilla'!$C15,RedondeoPersonalTecnico))),0)</f>
        <v>0</v>
      </c>
      <c r="AY36" s="16">
        <f>IF(Programa!D$59&gt;0,IF(TipoProgramaPersonalTecnico=1,ROUND(Programa!F$59*'a)Plantilla'!$C15,RedondeoPersonalTecnico),IF(TipoProgramaPersonalTecnico=2,ROUND(Programa!D$59*'a)Plantilla'!$C15,RedondeoPersonalTecnico),ROUND(Programa!D$59*Hjor*'a)Plantilla'!$C15,RedondeoPersonalTecnico))),0)</f>
        <v>0</v>
      </c>
      <c r="AZ36" s="16">
        <f>IF(Programa!D$60&gt;0,IF(TipoProgramaPersonalTecnico=1,ROUND(Programa!F$60*'a)Plantilla'!$C15,RedondeoPersonalTecnico),IF(TipoProgramaPersonalTecnico=2,ROUND(Programa!D$60*'a)Plantilla'!$C15,RedondeoPersonalTecnico),ROUND(Programa!D$60*Hjor*'a)Plantilla'!$C15,RedondeoPersonalTecnico))),0)</f>
        <v>0</v>
      </c>
      <c r="BA36" s="16">
        <f>IF(Programa!D$61&gt;0,IF(TipoProgramaPersonalTecnico=1,ROUND(Programa!F$61*'a)Plantilla'!$C15,RedondeoPersonalTecnico),IF(TipoProgramaPersonalTecnico=2,ROUND(Programa!D$61*'a)Plantilla'!$C15,RedondeoPersonalTecnico),ROUND(Programa!D$61*Hjor*'a)Plantilla'!$C15,RedondeoPersonalTecnico))),0)</f>
        <v>0</v>
      </c>
      <c r="BB36" s="16">
        <f>IF(Programa!D$62&gt;0,IF(TipoProgramaPersonalTecnico=1,ROUND(Programa!F$62*'a)Plantilla'!$C15,RedondeoPersonalTecnico),IF(TipoProgramaPersonalTecnico=2,ROUND(Programa!D$62*'a)Plantilla'!$C15,RedondeoPersonalTecnico),ROUND(Programa!D$62*Hjor*'a)Plantilla'!$C15,RedondeoPersonalTecnico))),0)</f>
        <v>0</v>
      </c>
      <c r="BC36" s="16">
        <f>IF(Programa!D$63&gt;0,IF(TipoProgramaPersonalTecnico=1,ROUND(Programa!F$63*'a)Plantilla'!$C15,RedondeoPersonalTecnico),IF(TipoProgramaPersonalTecnico=2,ROUND(Programa!D$63*'a)Plantilla'!$C15,RedondeoPersonalTecnico),ROUND(Programa!D$63*Hjor*'a)Plantilla'!$C15,RedondeoPersonalTecnico))),0)</f>
        <v>0</v>
      </c>
      <c r="BD36" s="16">
        <f>IF(Programa!D$64&gt;0,IF(TipoProgramaPersonalTecnico=1,ROUND(Programa!F$64*'a)Plantilla'!$C15,RedondeoPersonalTecnico),IF(TipoProgramaPersonalTecnico=2,ROUND(Programa!D$64*'a)Plantilla'!$C15,RedondeoPersonalTecnico),ROUND(Programa!D$64*Hjor*'a)Plantilla'!$C15,RedondeoPersonalTecnico))),0)</f>
        <v>0</v>
      </c>
      <c r="BE36" s="16">
        <f>IF(Programa!D$65&gt;0,IF(TipoProgramaPersonalTecnico=1,ROUND(Programa!F$65*'a)Plantilla'!$C15,RedondeoPersonalTecnico),IF(TipoProgramaPersonalTecnico=2,ROUND(Programa!D$65*'a)Plantilla'!$C15,RedondeoPersonalTecnico),ROUND(Programa!D$65*Hjor*'a)Plantilla'!$C15,RedondeoPersonalTecnico))),0)</f>
        <v>0</v>
      </c>
      <c r="BF36" s="16">
        <f>IF(Programa!D$66&gt;0,IF(TipoProgramaPersonalTecnico=1,ROUND(Programa!F$66*'a)Plantilla'!$C15,RedondeoPersonalTecnico),IF(TipoProgramaPersonalTecnico=2,ROUND(Programa!D$66*'a)Plantilla'!$C15,RedondeoPersonalTecnico),ROUND(Programa!D$66*Hjor*'a)Plantilla'!$C15,RedondeoPersonalTecnico))),0)</f>
        <v>0</v>
      </c>
      <c r="BG36" s="16">
        <f>IF(Programa!D$67&gt;0,IF(TipoProgramaPersonalTecnico=1,ROUND(Programa!F$67*'a)Plantilla'!$C15,RedondeoPersonalTecnico),IF(TipoProgramaPersonalTecnico=2,ROUND(Programa!D$67*'a)Plantilla'!$C15,RedondeoPersonalTecnico),ROUND(Programa!D$67*Hjor*'a)Plantilla'!$C15,RedondeoPersonalTecnico))),0)</f>
        <v>0</v>
      </c>
      <c r="BH36" s="16">
        <f>IF(Programa!D$68&gt;0,IF(TipoProgramaPersonalTecnico=1,ROUND(Programa!F$68*'a)Plantilla'!$C15,RedondeoPersonalTecnico),IF(TipoProgramaPersonalTecnico=2,ROUND(Programa!D$68*'a)Plantilla'!$C15,RedondeoPersonalTecnico),ROUND(Programa!D$68*Hjor*'a)Plantilla'!$C15,RedondeoPersonalTecnico))),0)</f>
        <v>0</v>
      </c>
      <c r="BI36" s="16">
        <f>IF(Programa!D$69&gt;0,IF(TipoProgramaPersonalTecnico=1,ROUND(Programa!F$69*'a)Plantilla'!$C15,RedondeoPersonalTecnico),IF(TipoProgramaPersonalTecnico=2,ROUND(Programa!D$69*'a)Plantilla'!$C15,RedondeoPersonalTecnico),ROUND(Programa!D$69*Hjor*'a)Plantilla'!$C15,RedondeoPersonalTecnico))),0)</f>
        <v>0</v>
      </c>
      <c r="BJ36" s="16">
        <f>IF(Programa!D$70&gt;0,IF(TipoProgramaPersonalTecnico=1,ROUND(Programa!F$70*'a)Plantilla'!$C15,RedondeoPersonalTecnico),IF(TipoProgramaPersonalTecnico=2,ROUND(Programa!D$70*'a)Plantilla'!$C15,RedondeoPersonalTecnico),ROUND(Programa!D$70*Hjor*'a)Plantilla'!$C15,RedondeoPersonalTecnico))),0)</f>
        <v>0</v>
      </c>
      <c r="BK36" s="16">
        <f>IF(Programa!D$71&gt;0,IF(TipoProgramaPersonalTecnico=1,ROUND(Programa!F$71*'a)Plantilla'!$C15,RedondeoPersonalTecnico),IF(TipoProgramaPersonalTecnico=2,ROUND(Programa!D$71*'a)Plantilla'!$C15,RedondeoPersonalTecnico),ROUND(Programa!D$71*Hjor*'a)Plantilla'!$C15,RedondeoPersonalTecnico))),0)</f>
        <v>0</v>
      </c>
      <c r="BL36" s="117">
        <f>IF(Programa!D$72&gt;0,IF(TipoProgramaPersonalTecnico=1,ROUND(Programa!F$72*'a)Plantilla'!$C15,RedondeoPersonalTecnico),IF(TipoProgramaPersonalTecnico=2,ROUND(Programa!D$72*'a)Plantilla'!$C15,RedondeoPersonalTecnico),ROUND(Programa!D$72*Hjor*'a)Plantilla'!$C15,RedondeoPersonalTecnico))),0)</f>
        <v>0</v>
      </c>
    </row>
    <row r="37" spans="1:64" ht="11.25" customHeight="1">
      <c r="A37" s="178" t="str">
        <f>+'b)Indirectos Desglosados'!B20</f>
        <v>Personal administrativo incluye: Prestaciones</v>
      </c>
      <c r="B37" s="30"/>
      <c r="C37" s="30"/>
      <c r="D37" s="339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344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344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344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1091" t="s">
        <v>168</v>
      </c>
    </row>
    <row r="38" spans="1:64" ht="8.1" customHeight="1">
      <c r="A38" s="204"/>
      <c r="B38" s="30"/>
      <c r="C38" s="30"/>
      <c r="D38" s="252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79"/>
      <c r="Q38" s="48"/>
      <c r="R38" s="9"/>
      <c r="S38" s="9"/>
      <c r="T38" s="9"/>
      <c r="U38" s="9"/>
      <c r="V38" s="9"/>
      <c r="W38" s="9"/>
      <c r="X38" s="9"/>
      <c r="Y38" s="9"/>
      <c r="Z38" s="9"/>
      <c r="AA38" s="9"/>
      <c r="AB38" s="79"/>
      <c r="AC38" s="4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79"/>
      <c r="AO38" s="48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79"/>
    </row>
    <row r="39" spans="1:64" ht="11.25" customHeight="1">
      <c r="A39" s="133" t="s">
        <v>168</v>
      </c>
      <c r="B39" s="46" t="str">
        <f>IF('a)Plantilla'!C16&gt;0,'a)Plantilla'!B16,"")</f>
        <v/>
      </c>
      <c r="C39" s="17" t="str">
        <f>IF('a)Plantilla'!C$16&gt;0,IF(TipoProgramaPersonalTecnico=1,"Personas",IF(TipoProgramaPersonalTecnico=2,"Jornal","horas-Hombre")),"")</f>
        <v/>
      </c>
      <c r="D39" s="226">
        <f>ROUND(SUM(E39:BL39),RedondeoPersonalTecnico)</f>
        <v>0</v>
      </c>
      <c r="E39" s="6">
        <f>IF(Programa!D$13&gt;0,IF(TipoProgramaPersonalTecnico=1,ROUND(Programa!F$13*'a)Plantilla'!$C16,RedondeoPersonalTecnico),IF(TipoProgramaPersonalTecnico=2,ROUND(Programa!D$13*'a)Plantilla'!$C16,RedondeoPersonalTecnico),ROUND(Programa!D$13*Hjor*'a)Plantilla'!$C16,RedondeoPersonalTecnico))),0)</f>
        <v>0</v>
      </c>
      <c r="F39" s="6">
        <f>IF(Programa!D$14&gt;0,IF(TipoProgramaPersonalTecnico=1,ROUND(Programa!F$14*'a)Plantilla'!$C16,RedondeoPersonalTecnico),IF(TipoProgramaPersonalTecnico=2,ROUND(Programa!D$14*'a)Plantilla'!$C16,RedondeoPersonalTecnico),ROUND(Programa!D$14*Hjor*'a)Plantilla'!$C16,RedondeoPersonalTecnico))),0)</f>
        <v>0</v>
      </c>
      <c r="G39" s="6">
        <f>IF(Programa!D$15&gt;0,IF(TipoProgramaPersonalTecnico=1,ROUND(Programa!F$15*'a)Plantilla'!$C16,RedondeoPersonalTecnico),IF(TipoProgramaPersonalTecnico=2,ROUND(Programa!D$15*'a)Plantilla'!$C16,RedondeoPersonalTecnico),ROUND(Programa!D$15*Hjor*'a)Plantilla'!$C16,RedondeoPersonalTecnico))),0)</f>
        <v>0</v>
      </c>
      <c r="H39" s="6">
        <f>IF(Programa!D$16&gt;0,IF(TipoProgramaPersonalTecnico=1,ROUND(Programa!F$16*'a)Plantilla'!$C16,RedondeoPersonalTecnico),IF(TipoProgramaPersonalTecnico=2,ROUND(Programa!D$16*'a)Plantilla'!$C16,RedondeoPersonalTecnico),ROUND(Programa!D$16*Hjor*'a)Plantilla'!$C16,RedondeoPersonalTecnico))),0)</f>
        <v>0</v>
      </c>
      <c r="I39" s="6">
        <f>IF(Programa!D$17&gt;0,IF(TipoProgramaPersonalTecnico=1,ROUND(Programa!F$17*'a)Plantilla'!$C16,RedondeoPersonalTecnico),IF(TipoProgramaPersonalTecnico=2,ROUND(Programa!D$17*'a)Plantilla'!$C16,RedondeoPersonalTecnico),ROUND(Programa!D$17*Hjor*'a)Plantilla'!$C16,RedondeoPersonalTecnico))),0)</f>
        <v>0</v>
      </c>
      <c r="J39" s="6">
        <f>IF(Programa!D$18&gt;0,IF(TipoProgramaPersonalTecnico=1,ROUND(Programa!F$18*'a)Plantilla'!$C16,RedondeoPersonalTecnico),IF(TipoProgramaPersonalTecnico=2,ROUND(Programa!D$18*'a)Plantilla'!$C16,RedondeoPersonalTecnico),ROUND(Programa!D$18*Hjor*'a)Plantilla'!$C16,RedondeoPersonalTecnico))),0)</f>
        <v>0</v>
      </c>
      <c r="K39" s="6">
        <f>IF(Programa!D$19&gt;0,IF(TipoProgramaPersonalTecnico=1,ROUND(Programa!F$19*'a)Plantilla'!$C16,RedondeoPersonalTecnico),IF(TipoProgramaPersonalTecnico=2,ROUND(Programa!D$19*'a)Plantilla'!$C16,RedondeoPersonalTecnico),ROUND(Programa!D$19*Hjor*'a)Plantilla'!$C16,RedondeoPersonalTecnico))),0)</f>
        <v>0</v>
      </c>
      <c r="L39" s="6">
        <f>IF(Programa!D$20&gt;0,IF(TipoProgramaPersonalTecnico=1,ROUND(Programa!F$20*'a)Plantilla'!$C16,RedondeoPersonalTecnico),IF(TipoProgramaPersonalTecnico=2,ROUND(Programa!D$20*'a)Plantilla'!$C16,RedondeoPersonalTecnico),ROUND(Programa!D$20*Hjor*'a)Plantilla'!$C16,RedondeoPersonalTecnico))),0)</f>
        <v>0</v>
      </c>
      <c r="M39" s="6">
        <f>IF(Programa!D$21&gt;0,IF(TipoProgramaPersonalTecnico=1,ROUND(Programa!F$21*'a)Plantilla'!$C16,RedondeoPersonalTecnico),IF(TipoProgramaPersonalTecnico=2,ROUND(Programa!D$21*'a)Plantilla'!$C16,RedondeoPersonalTecnico),ROUND(Programa!D$21*Hjor*'a)Plantilla'!$C16,RedondeoPersonalTecnico))),0)</f>
        <v>0</v>
      </c>
      <c r="N39" s="6">
        <f>IF(Programa!D$22&gt;0,IF(TipoProgramaPersonalTecnico=1,ROUND(Programa!F$22*'a)Plantilla'!$C16,RedondeoPersonalTecnico),IF(TipoProgramaPersonalTecnico=2,ROUND(Programa!D$22*'a)Plantilla'!$C16,RedondeoPersonalTecnico),ROUND(Programa!D$22*Hjor*'a)Plantilla'!$C16,RedondeoPersonalTecnico))),0)</f>
        <v>0</v>
      </c>
      <c r="O39" s="6">
        <f>IF(Programa!D$23&gt;0,IF(TipoProgramaPersonalTecnico=1,ROUND(Programa!F$23*'a)Plantilla'!$C16,RedondeoPersonalTecnico),IF(TipoProgramaPersonalTecnico=2,ROUND(Programa!D$23*'a)Plantilla'!$C16,RedondeoPersonalTecnico),ROUND(Programa!D$23*Hjor*'a)Plantilla'!$C16,RedondeoPersonalTecnico))),0)</f>
        <v>0</v>
      </c>
      <c r="P39" s="78">
        <f>IF(Programa!D$24&gt;0,IF(TipoProgramaPersonalTecnico=1,ROUND(Programa!F$24*'a)Plantilla'!$C16,RedondeoPersonalTecnico),IF(TipoProgramaPersonalTecnico=2,ROUND(Programa!D$24*'a)Plantilla'!$C16,RedondeoPersonalTecnico),ROUND(Programa!D$24*Hjor*'a)Plantilla'!$C16,RedondeoPersonalTecnico))),0)</f>
        <v>0</v>
      </c>
      <c r="Q39" s="27">
        <f>IF(Programa!D$25&gt;0,IF(TipoProgramaPersonalTecnico=1,ROUND(Programa!F$25*'a)Plantilla'!$C16,RedondeoPersonalTecnico),IF(TipoProgramaPersonalTecnico=2,ROUND(Programa!D$25*'a)Plantilla'!$C16,RedondeoPersonalTecnico),ROUND(Programa!D$25*Hjor*'a)Plantilla'!$C16,RedondeoPersonalTecnico))),0)</f>
        <v>0</v>
      </c>
      <c r="R39" s="6">
        <f>IF(Programa!D$26&gt;0,IF(TipoProgramaPersonalTecnico=1,ROUND(Programa!F$26*'a)Plantilla'!$C16,RedondeoPersonalTecnico),IF(TipoProgramaPersonalTecnico=2,ROUND(Programa!D$26*'a)Plantilla'!$C16,RedondeoPersonalTecnico),ROUND(Programa!D$26*Hjor*'a)Plantilla'!$C16,RedondeoPersonalTecnico))),0)</f>
        <v>0</v>
      </c>
      <c r="S39" s="6">
        <f>IF(Programa!D$27&gt;0,IF(TipoProgramaPersonalTecnico=1,ROUND(Programa!F$27*'a)Plantilla'!$C16,RedondeoPersonalTecnico),IF(TipoProgramaPersonalTecnico=2,ROUND(Programa!D$27*'a)Plantilla'!$C16,RedondeoPersonalTecnico),ROUND(Programa!D$27*Hjor*'a)Plantilla'!$C16,RedondeoPersonalTecnico))),0)</f>
        <v>0</v>
      </c>
      <c r="T39" s="6">
        <f>IF(Programa!D$28&gt;0,IF(TipoProgramaPersonalTecnico=1,ROUND(Programa!F$28*'a)Plantilla'!$C16,RedondeoPersonalTecnico),IF(TipoProgramaPersonalTecnico=2,ROUND(Programa!D$28*'a)Plantilla'!$C16,RedondeoPersonalTecnico),ROUND(Programa!D$28*Hjor*'a)Plantilla'!$C16,RedondeoPersonalTecnico))),0)</f>
        <v>0</v>
      </c>
      <c r="U39" s="6">
        <f>IF(Programa!D$29&gt;0,IF(TipoProgramaPersonalTecnico=1,ROUND(Programa!F$29*'a)Plantilla'!$C16,RedondeoPersonalTecnico),IF(TipoProgramaPersonalTecnico=2,ROUND(Programa!D$29*'a)Plantilla'!$C16,RedondeoPersonalTecnico),ROUND(Programa!D$29*Hjor*'a)Plantilla'!$C16,RedondeoPersonalTecnico))),0)</f>
        <v>0</v>
      </c>
      <c r="V39" s="6">
        <f>IF(Programa!D$30&gt;0,IF(TipoProgramaPersonalTecnico=1,ROUND(Programa!F$30*'a)Plantilla'!$C16,RedondeoPersonalTecnico),IF(TipoProgramaPersonalTecnico=2,ROUND(Programa!D$30*'a)Plantilla'!$C16,RedondeoPersonalTecnico),ROUND(Programa!D$30*Hjor*'a)Plantilla'!$C16,RedondeoPersonalTecnico))),0)</f>
        <v>0</v>
      </c>
      <c r="W39" s="6">
        <f>IF(Programa!D$31&gt;0,IF(TipoProgramaPersonalTecnico=1,ROUND(Programa!F$31*'a)Plantilla'!$C16,RedondeoPersonalTecnico),IF(TipoProgramaPersonalTecnico=2,ROUND(Programa!D$31*'a)Plantilla'!$C16,RedondeoPersonalTecnico),ROUND(Programa!D$31*Hjor*'a)Plantilla'!$C16,RedondeoPersonalTecnico))),0)</f>
        <v>0</v>
      </c>
      <c r="X39" s="6">
        <f>IF(Programa!D$32&gt;0,IF(TipoProgramaPersonalTecnico=1,ROUND(Programa!F$32*'a)Plantilla'!$C16,RedondeoPersonalTecnico),IF(TipoProgramaPersonalTecnico=2,ROUND(Programa!D$32*'a)Plantilla'!$C16,RedondeoPersonalTecnico),ROUND(Programa!D$32*Hjor*'a)Plantilla'!$C16,RedondeoPersonalTecnico))),0)</f>
        <v>0</v>
      </c>
      <c r="Y39" s="6">
        <f>IF(Programa!D$33&gt;0,IF(TipoProgramaPersonalTecnico=1,ROUND(Programa!F$33*'a)Plantilla'!$C16,RedondeoPersonalTecnico),IF(TipoProgramaPersonalTecnico=2,ROUND(Programa!D$33*'a)Plantilla'!$C16,RedondeoPersonalTecnico),ROUND(Programa!D$33*Hjor*'a)Plantilla'!$C16,RedondeoPersonalTecnico))),0)</f>
        <v>0</v>
      </c>
      <c r="Z39" s="6">
        <f>IF(Programa!D$34&gt;0,IF(TipoProgramaPersonalTecnico=1,ROUND(Programa!F$34*'a)Plantilla'!$C16,RedondeoPersonalTecnico),IF(TipoProgramaPersonalTecnico=2,ROUND(Programa!D$34*'a)Plantilla'!$C16,RedondeoPersonalTecnico),ROUND(Programa!D$34*Hjor*'a)Plantilla'!$C16,RedondeoPersonalTecnico))),0)</f>
        <v>0</v>
      </c>
      <c r="AA39" s="6">
        <f>IF(Programa!D$35&gt;0,IF(TipoProgramaPersonalTecnico=1,ROUND(Programa!F$35*'a)Plantilla'!$C16,RedondeoPersonalTecnico),IF(TipoProgramaPersonalTecnico=2,ROUND(Programa!D$35*'a)Plantilla'!$C16,RedondeoPersonalTecnico),ROUND(Programa!D$35*Hjor*'a)Plantilla'!$C16,RedondeoPersonalTecnico))),0)</f>
        <v>0</v>
      </c>
      <c r="AB39" s="78">
        <f>IF(Programa!D$36&gt;0,IF(TipoProgramaPersonalTecnico=1,ROUND(Programa!F$36*'a)Plantilla'!$C16,RedondeoPersonalTecnico),IF(TipoProgramaPersonalTecnico=2,ROUND(Programa!D$36*'a)Plantilla'!$C16,RedondeoPersonalTecnico),ROUND(Programa!D$36*Hjor*'a)Plantilla'!$C16,RedondeoPersonalTecnico))),0)</f>
        <v>0</v>
      </c>
      <c r="AC39" s="27">
        <f>IF(Programa!D$37&gt;0,IF(TipoProgramaPersonalTecnico=1,ROUND(Programa!F$37*'a)Plantilla'!$C16,RedondeoPersonalTecnico),IF(TipoProgramaPersonalTecnico=2,ROUND(Programa!D$37*'a)Plantilla'!$C16,RedondeoPersonalTecnico),ROUND(Programa!D$37*Hjor*'a)Plantilla'!$C16,RedondeoPersonalTecnico))),0)</f>
        <v>0</v>
      </c>
      <c r="AD39" s="6">
        <f>IF(Programa!D$38&gt;0,IF(TipoProgramaPersonalTecnico=1,ROUND(Programa!F$38*'a)Plantilla'!$C16,RedondeoPersonalTecnico),IF(TipoProgramaPersonalTecnico=2,ROUND(Programa!D$38*'a)Plantilla'!$C16,RedondeoPersonalTecnico),ROUND(Programa!D$38*Hjor*'a)Plantilla'!$C16,RedondeoPersonalTecnico))),0)</f>
        <v>0</v>
      </c>
      <c r="AE39" s="6">
        <f>IF(Programa!D$39&gt;0,IF(TipoProgramaPersonalTecnico=1,ROUND(Programa!F$39*'a)Plantilla'!$C16,RedondeoPersonalTecnico),IF(TipoProgramaPersonalTecnico=2,ROUND(Programa!D$39*'a)Plantilla'!$C16,RedondeoPersonalTecnico),ROUND(Programa!D$39*Hjor*'a)Plantilla'!$C16,RedondeoPersonalTecnico))),0)</f>
        <v>0</v>
      </c>
      <c r="AF39" s="6">
        <f>IF(Programa!D$40&gt;0,IF(TipoProgramaPersonalTecnico=1,ROUND(Programa!F$40*'a)Plantilla'!$C16,RedondeoPersonalTecnico),IF(TipoProgramaPersonalTecnico=2,ROUND(Programa!D$40*'a)Plantilla'!$C16,RedondeoPersonalTecnico),ROUND(Programa!D$40*Hjor*'a)Plantilla'!$C16,RedondeoPersonalTecnico))),0)</f>
        <v>0</v>
      </c>
      <c r="AG39" s="6">
        <f>IF(Programa!D$41&gt;0,IF(TipoProgramaPersonalTecnico=1,ROUND(Programa!F$41*'a)Plantilla'!$C16,RedondeoPersonalTecnico),IF(TipoProgramaPersonalTecnico=2,ROUND(Programa!D$41*'a)Plantilla'!$C16,RedondeoPersonalTecnico),ROUND(Programa!D$41*Hjor*'a)Plantilla'!$C16,RedondeoPersonalTecnico))),0)</f>
        <v>0</v>
      </c>
      <c r="AH39" s="6">
        <f>IF(Programa!D$42&gt;0,IF(TipoProgramaPersonalTecnico=1,ROUND(Programa!F$42*'a)Plantilla'!$C16,RedondeoPersonalTecnico),IF(TipoProgramaPersonalTecnico=2,ROUND(Programa!D$42*'a)Plantilla'!$C16,RedondeoPersonalTecnico),ROUND(Programa!D$42*Hjor*'a)Plantilla'!$C16,RedondeoPersonalTecnico))),0)</f>
        <v>0</v>
      </c>
      <c r="AI39" s="6">
        <f>IF(Programa!D$43&gt;0,IF(TipoProgramaPersonalTecnico=1,ROUND(Programa!F$43*'a)Plantilla'!$C16,RedondeoPersonalTecnico),IF(TipoProgramaPersonalTecnico=2,ROUND(Programa!D$43*'a)Plantilla'!$C16,RedondeoPersonalTecnico),ROUND(Programa!D$43*Hjor*'a)Plantilla'!$C16,RedondeoPersonalTecnico))),0)</f>
        <v>0</v>
      </c>
      <c r="AJ39" s="6">
        <f>IF(Programa!D$44&gt;0,IF(TipoProgramaPersonalTecnico=1,ROUND(Programa!F$44*'a)Plantilla'!$C16,RedondeoPersonalTecnico),IF(TipoProgramaPersonalTecnico=2,ROUND(Programa!D$44*'a)Plantilla'!$C16,RedondeoPersonalTecnico),ROUND(Programa!D$44*Hjor*'a)Plantilla'!$C16,RedondeoPersonalTecnico))),0)</f>
        <v>0</v>
      </c>
      <c r="AK39" s="6">
        <f>IF(Programa!D$45&gt;0,IF(TipoProgramaPersonalTecnico=1,ROUND(Programa!F$45*'a)Plantilla'!$C16,RedondeoPersonalTecnico),IF(TipoProgramaPersonalTecnico=2,ROUND(Programa!D$45*'a)Plantilla'!$C16,RedondeoPersonalTecnico),ROUND(Programa!D$45*Hjor*'a)Plantilla'!$C16,RedondeoPersonalTecnico))),0)</f>
        <v>0</v>
      </c>
      <c r="AL39" s="6">
        <f>IF(Programa!D$46&gt;0,IF(TipoProgramaPersonalTecnico=1,ROUND(Programa!F$46*'a)Plantilla'!$C16,RedondeoPersonalTecnico),IF(TipoProgramaPersonalTecnico=2,ROUND(Programa!D$46*'a)Plantilla'!$C16,RedondeoPersonalTecnico),ROUND(Programa!D$46*Hjor*'a)Plantilla'!$C16,RedondeoPersonalTecnico))),0)</f>
        <v>0</v>
      </c>
      <c r="AM39" s="6">
        <f>IF(Programa!D$47&gt;0,IF(TipoProgramaPersonalTecnico=1,ROUND(Programa!F$47*'a)Plantilla'!$C16,RedondeoPersonalTecnico),IF(TipoProgramaPersonalTecnico=2,ROUND(Programa!D$47*'a)Plantilla'!$C16,RedondeoPersonalTecnico),ROUND(Programa!D$47*Hjor*'a)Plantilla'!$C16,RedondeoPersonalTecnico))),0)</f>
        <v>0</v>
      </c>
      <c r="AN39" s="78">
        <f>IF(Programa!D$48&gt;0,IF(TipoProgramaPersonalTecnico=1,ROUND(Programa!F$48*'a)Plantilla'!$C16,RedondeoPersonalTecnico),IF(TipoProgramaPersonalTecnico=2,ROUND(Programa!D$48*'a)Plantilla'!$C16,RedondeoPersonalTecnico),ROUND(Programa!D$48*Hjor*'a)Plantilla'!$C16,RedondeoPersonalTecnico))),0)</f>
        <v>0</v>
      </c>
      <c r="AO39" s="27">
        <f>IF(Programa!D$49&gt;0,IF(TipoProgramaPersonalTecnico=1,ROUND(Programa!F$49*'a)Plantilla'!$C16,RedondeoPersonalTecnico),IF(TipoProgramaPersonalTecnico=2,ROUND(Programa!D$49*'a)Plantilla'!$C16,RedondeoPersonalTecnico),ROUND(Programa!D$49*Hjor*'a)Plantilla'!$C16,RedondeoPersonalTecnico))),0)</f>
        <v>0</v>
      </c>
      <c r="AP39" s="6">
        <f>IF(Programa!D$50&gt;0,IF(TipoProgramaPersonalTecnico=1,ROUND(Programa!F$50*'a)Plantilla'!$C16,RedondeoPersonalTecnico),IF(TipoProgramaPersonalTecnico=2,ROUND(Programa!D$50*'a)Plantilla'!$C16,RedondeoPersonalTecnico),ROUND(Programa!D$50*Hjor*'a)Plantilla'!$C16,RedondeoPersonalTecnico))),0)</f>
        <v>0</v>
      </c>
      <c r="AQ39" s="6">
        <f>IF(Programa!D$51&gt;0,IF(TipoProgramaPersonalTecnico=1,ROUND(Programa!F$51*'a)Plantilla'!$C16,RedondeoPersonalTecnico),IF(TipoProgramaPersonalTecnico=2,ROUND(Programa!D$51*'a)Plantilla'!$C16,RedondeoPersonalTecnico),ROUND(Programa!D$51*Hjor*'a)Plantilla'!$C16,RedondeoPersonalTecnico))),0)</f>
        <v>0</v>
      </c>
      <c r="AR39" s="6">
        <f>IF(Programa!D$52&gt;0,IF(TipoProgramaPersonalTecnico=1,ROUND(Programa!F$52*'a)Plantilla'!$C16,RedondeoPersonalTecnico),IF(TipoProgramaPersonalTecnico=2,ROUND(Programa!D$52*'a)Plantilla'!$C16,RedondeoPersonalTecnico),ROUND(Programa!D$52*Hjor*'a)Plantilla'!$C16,RedondeoPersonalTecnico))),0)</f>
        <v>0</v>
      </c>
      <c r="AS39" s="6">
        <f>IF(Programa!D$53&gt;0,IF(TipoProgramaPersonalTecnico=1,ROUND(Programa!F$53*'a)Plantilla'!$C16,RedondeoPersonalTecnico),IF(TipoProgramaPersonalTecnico=2,ROUND(Programa!D$53*'a)Plantilla'!$C16,RedondeoPersonalTecnico),ROUND(Programa!D$53*Hjor*'a)Plantilla'!$C16,RedondeoPersonalTecnico))),0)</f>
        <v>0</v>
      </c>
      <c r="AT39" s="6">
        <f>IF(Programa!D$54&gt;0,IF(TipoProgramaPersonalTecnico=1,ROUND(Programa!F$54*'a)Plantilla'!$C16,RedondeoPersonalTecnico),IF(TipoProgramaPersonalTecnico=2,ROUND(Programa!D$54*'a)Plantilla'!$C16,RedondeoPersonalTecnico),ROUND(Programa!D$54*Hjor*'a)Plantilla'!$C16,RedondeoPersonalTecnico))),0)</f>
        <v>0</v>
      </c>
      <c r="AU39" s="6">
        <f>IF(Programa!D$55&gt;0,IF(TipoProgramaPersonalTecnico=1,ROUND(Programa!F$55*'a)Plantilla'!$C16,RedondeoPersonalTecnico),IF(TipoProgramaPersonalTecnico=2,ROUND(Programa!D$55*'a)Plantilla'!$C16,RedondeoPersonalTecnico),ROUND(Programa!D$55*Hjor*'a)Plantilla'!$C16,RedondeoPersonalTecnico))),0)</f>
        <v>0</v>
      </c>
      <c r="AV39" s="6">
        <f>IF(Programa!D$56&gt;0,IF(TipoProgramaPersonalTecnico=1,ROUND(Programa!F$56*'a)Plantilla'!$C16,RedondeoPersonalTecnico),IF(TipoProgramaPersonalTecnico=2,ROUND(Programa!D$56*'a)Plantilla'!$C16,RedondeoPersonalTecnico),ROUND(Programa!D$56*Hjor*'a)Plantilla'!$C16,RedondeoPersonalTecnico))),0)</f>
        <v>0</v>
      </c>
      <c r="AW39" s="6">
        <f>IF(Programa!D$57&gt;0,IF(TipoProgramaPersonalTecnico=1,ROUND(Programa!F$57*'a)Plantilla'!$C16,RedondeoPersonalTecnico),IF(TipoProgramaPersonalTecnico=2,ROUND(Programa!D$57*'a)Plantilla'!$C16,RedondeoPersonalTecnico),ROUND(Programa!D$57*Hjor*'a)Plantilla'!$C16,RedondeoPersonalTecnico))),0)</f>
        <v>0</v>
      </c>
      <c r="AX39" s="6">
        <f>IF(Programa!D$58&gt;0,IF(TipoProgramaPersonalTecnico=1,ROUND(Programa!F$58*'a)Plantilla'!$C16,RedondeoPersonalTecnico),IF(TipoProgramaPersonalTecnico=2,ROUND(Programa!D$58*'a)Plantilla'!$C16,RedondeoPersonalTecnico),ROUND(Programa!D$58*Hjor*'a)Plantilla'!$C16,RedondeoPersonalTecnico))),0)</f>
        <v>0</v>
      </c>
      <c r="AY39" s="6">
        <f>IF(Programa!D$59&gt;0,IF(TipoProgramaPersonalTecnico=1,ROUND(Programa!F$59*'a)Plantilla'!$C16,RedondeoPersonalTecnico),IF(TipoProgramaPersonalTecnico=2,ROUND(Programa!D$59*'a)Plantilla'!$C16,RedondeoPersonalTecnico),ROUND(Programa!D$59*Hjor*'a)Plantilla'!$C16,RedondeoPersonalTecnico))),0)</f>
        <v>0</v>
      </c>
      <c r="AZ39" s="6">
        <f>IF(Programa!D$60&gt;0,IF(TipoProgramaPersonalTecnico=1,ROUND(Programa!F$60*'a)Plantilla'!$C16,RedondeoPersonalTecnico),IF(TipoProgramaPersonalTecnico=2,ROUND(Programa!D$60*'a)Plantilla'!$C16,RedondeoPersonalTecnico),ROUND(Programa!D$60*Hjor*'a)Plantilla'!$C16,RedondeoPersonalTecnico))),0)</f>
        <v>0</v>
      </c>
      <c r="BA39" s="6">
        <f>IF(Programa!D$61&gt;0,IF(TipoProgramaPersonalTecnico=1,ROUND(Programa!F$61*'a)Plantilla'!$C16,RedondeoPersonalTecnico),IF(TipoProgramaPersonalTecnico=2,ROUND(Programa!D$61*'a)Plantilla'!$C16,RedondeoPersonalTecnico),ROUND(Programa!D$61*Hjor*'a)Plantilla'!$C16,RedondeoPersonalTecnico))),0)</f>
        <v>0</v>
      </c>
      <c r="BB39" s="6">
        <f>IF(Programa!D$62&gt;0,IF(TipoProgramaPersonalTecnico=1,ROUND(Programa!F$62*'a)Plantilla'!$C16,RedondeoPersonalTecnico),IF(TipoProgramaPersonalTecnico=2,ROUND(Programa!D$62*'a)Plantilla'!$C16,RedondeoPersonalTecnico),ROUND(Programa!D$62*Hjor*'a)Plantilla'!$C16,RedondeoPersonalTecnico))),0)</f>
        <v>0</v>
      </c>
      <c r="BC39" s="6">
        <f>IF(Programa!D$63&gt;0,IF(TipoProgramaPersonalTecnico=1,ROUND(Programa!F$63*'a)Plantilla'!$C16,RedondeoPersonalTecnico),IF(TipoProgramaPersonalTecnico=2,ROUND(Programa!D$63*'a)Plantilla'!$C16,RedondeoPersonalTecnico),ROUND(Programa!D$63*Hjor*'a)Plantilla'!$C16,RedondeoPersonalTecnico))),0)</f>
        <v>0</v>
      </c>
      <c r="BD39" s="6">
        <f>IF(Programa!D$64&gt;0,IF(TipoProgramaPersonalTecnico=1,ROUND(Programa!F$64*'a)Plantilla'!$C16,RedondeoPersonalTecnico),IF(TipoProgramaPersonalTecnico=2,ROUND(Programa!D$64*'a)Plantilla'!$C16,RedondeoPersonalTecnico),ROUND(Programa!D$64*Hjor*'a)Plantilla'!$C16,RedondeoPersonalTecnico))),0)</f>
        <v>0</v>
      </c>
      <c r="BE39" s="6">
        <f>IF(Programa!D$65&gt;0,IF(TipoProgramaPersonalTecnico=1,ROUND(Programa!F$65*'a)Plantilla'!$C16,RedondeoPersonalTecnico),IF(TipoProgramaPersonalTecnico=2,ROUND(Programa!D$65*'a)Plantilla'!$C16,RedondeoPersonalTecnico),ROUND(Programa!D$65*Hjor*'a)Plantilla'!$C16,RedondeoPersonalTecnico))),0)</f>
        <v>0</v>
      </c>
      <c r="BF39" s="6">
        <f>IF(Programa!D$66&gt;0,IF(TipoProgramaPersonalTecnico=1,ROUND(Programa!F$66*'a)Plantilla'!$C16,RedondeoPersonalTecnico),IF(TipoProgramaPersonalTecnico=2,ROUND(Programa!D$66*'a)Plantilla'!$C16,RedondeoPersonalTecnico),ROUND(Programa!D$66*Hjor*'a)Plantilla'!$C16,RedondeoPersonalTecnico))),0)</f>
        <v>0</v>
      </c>
      <c r="BG39" s="6">
        <f>IF(Programa!D$67&gt;0,IF(TipoProgramaPersonalTecnico=1,ROUND(Programa!F$67*'a)Plantilla'!$C16,RedondeoPersonalTecnico),IF(TipoProgramaPersonalTecnico=2,ROUND(Programa!D$67*'a)Plantilla'!$C16,RedondeoPersonalTecnico),ROUND(Programa!D$67*Hjor*'a)Plantilla'!$C16,RedondeoPersonalTecnico))),0)</f>
        <v>0</v>
      </c>
      <c r="BH39" s="6">
        <f>IF(Programa!D$68&gt;0,IF(TipoProgramaPersonalTecnico=1,ROUND(Programa!F$68*'a)Plantilla'!$C16,RedondeoPersonalTecnico),IF(TipoProgramaPersonalTecnico=2,ROUND(Programa!D$68*'a)Plantilla'!$C16,RedondeoPersonalTecnico),ROUND(Programa!D$68*Hjor*'a)Plantilla'!$C16,RedondeoPersonalTecnico))),0)</f>
        <v>0</v>
      </c>
      <c r="BI39" s="6">
        <f>IF(Programa!D$69&gt;0,IF(TipoProgramaPersonalTecnico=1,ROUND(Programa!F$69*'a)Plantilla'!$C16,RedondeoPersonalTecnico),IF(TipoProgramaPersonalTecnico=2,ROUND(Programa!D$69*'a)Plantilla'!$C16,RedondeoPersonalTecnico),ROUND(Programa!D$69*Hjor*'a)Plantilla'!$C16,RedondeoPersonalTecnico))),0)</f>
        <v>0</v>
      </c>
      <c r="BJ39" s="6">
        <f>IF(Programa!D$70&gt;0,IF(TipoProgramaPersonalTecnico=1,ROUND(Programa!F$70*'a)Plantilla'!$C16,RedondeoPersonalTecnico),IF(TipoProgramaPersonalTecnico=2,ROUND(Programa!D$70*'a)Plantilla'!$C16,RedondeoPersonalTecnico),ROUND(Programa!D$70*Hjor*'a)Plantilla'!$C16,RedondeoPersonalTecnico))),0)</f>
        <v>0</v>
      </c>
      <c r="BK39" s="6">
        <f>IF(Programa!D$71&gt;0,IF(TipoProgramaPersonalTecnico=1,ROUND(Programa!F$71*'a)Plantilla'!$C16,RedondeoPersonalTecnico),IF(TipoProgramaPersonalTecnico=2,ROUND(Programa!D$71*'a)Plantilla'!$C16,RedondeoPersonalTecnico),ROUND(Programa!D$71*Hjor*'a)Plantilla'!$C16,RedondeoPersonalTecnico))),0)</f>
        <v>0</v>
      </c>
      <c r="BL39" s="78">
        <f>IF(Programa!D$72&gt;0,IF(TipoProgramaPersonalTecnico=1,ROUND(Programa!F$72*'a)Plantilla'!$C16,RedondeoPersonalTecnico),IF(TipoProgramaPersonalTecnico=2,ROUND(Programa!D$72*'a)Plantilla'!$C16,RedondeoPersonalTecnico),ROUND(Programa!D$72*Hjor*'a)Plantilla'!$C16,RedondeoPersonalTecnico))),0)</f>
        <v>0</v>
      </c>
    </row>
    <row r="40" spans="1:64" ht="8.1" customHeight="1">
      <c r="A40" s="133"/>
      <c r="B40" s="46"/>
      <c r="C40" s="31"/>
      <c r="D40" s="22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78"/>
      <c r="Q40" s="27"/>
      <c r="R40" s="6"/>
      <c r="S40" s="6"/>
      <c r="T40" s="6"/>
      <c r="U40" s="6"/>
      <c r="V40" s="6"/>
      <c r="W40" s="6"/>
      <c r="X40" s="6"/>
      <c r="Y40" s="6"/>
      <c r="Z40" s="6"/>
      <c r="AA40" s="6"/>
      <c r="AB40" s="78"/>
      <c r="AC40" s="27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78"/>
      <c r="AO40" s="27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78"/>
    </row>
    <row r="41" spans="1:64" ht="11.25" customHeight="1">
      <c r="A41" s="67"/>
      <c r="B41" s="46" t="str">
        <f>IF('a)Plantilla'!C17&gt;0,'a)Plantilla'!B17,"")</f>
        <v/>
      </c>
      <c r="C41" s="17" t="str">
        <f>IF('a)Plantilla'!C$17&gt;0,IF(TipoProgramaPersonalTecnico=1,"Personas",IF(TipoProgramaPersonalTecnico=2,"Jornal","horas-Hombre")),"")</f>
        <v/>
      </c>
      <c r="D41" s="226">
        <f>ROUND(SUM(E41:BL41),RedondeoPersonalTecnico)</f>
        <v>0</v>
      </c>
      <c r="E41" s="6">
        <f>IF(Programa!D$13&gt;0,IF(TipoProgramaPersonalTecnico=1,ROUND(Programa!F$13*'a)Plantilla'!$C17,RedondeoPersonalTecnico),IF(TipoProgramaPersonalTecnico=2,ROUND(Programa!D$13*'a)Plantilla'!$C17,RedondeoPersonalTecnico),ROUND(Programa!D$13*Hjor*'a)Plantilla'!$C17,RedondeoPersonalTecnico))),0)</f>
        <v>0</v>
      </c>
      <c r="F41" s="6">
        <f>IF(Programa!D$14&gt;0,IF(TipoProgramaPersonalTecnico=1,ROUND(Programa!F$14*'a)Plantilla'!$C17,RedondeoPersonalTecnico),IF(TipoProgramaPersonalTecnico=2,ROUND(Programa!D$14*'a)Plantilla'!$C17,RedondeoPersonalTecnico),ROUND(Programa!D$14*Hjor*'a)Plantilla'!$C17,RedondeoPersonalTecnico))),0)</f>
        <v>0</v>
      </c>
      <c r="G41" s="6">
        <f>IF(Programa!D$15&gt;0,IF(TipoProgramaPersonalTecnico=1,ROUND(Programa!F$15*'a)Plantilla'!$C17,RedondeoPersonalTecnico),IF(TipoProgramaPersonalTecnico=2,ROUND(Programa!D$15*'a)Plantilla'!$C17,RedondeoPersonalTecnico),ROUND(Programa!D$15*Hjor*'a)Plantilla'!$C17,RedondeoPersonalTecnico))),0)</f>
        <v>0</v>
      </c>
      <c r="H41" s="6">
        <f>IF(Programa!D$16&gt;0,IF(TipoProgramaPersonalTecnico=1,ROUND(Programa!F$16*'a)Plantilla'!$C17,RedondeoPersonalTecnico),IF(TipoProgramaPersonalTecnico=2,ROUND(Programa!D$16*'a)Plantilla'!$C17,RedondeoPersonalTecnico),ROUND(Programa!D$16*Hjor*'a)Plantilla'!$C17,RedondeoPersonalTecnico))),0)</f>
        <v>0</v>
      </c>
      <c r="I41" s="6">
        <f>IF(Programa!D$17&gt;0,IF(TipoProgramaPersonalTecnico=1,ROUND(Programa!F$17*'a)Plantilla'!$C17,RedondeoPersonalTecnico),IF(TipoProgramaPersonalTecnico=2,ROUND(Programa!D$17*'a)Plantilla'!$C17,RedondeoPersonalTecnico),ROUND(Programa!D$17*Hjor*'a)Plantilla'!$C17,RedondeoPersonalTecnico))),0)</f>
        <v>0</v>
      </c>
      <c r="J41" s="6">
        <f>IF(Programa!D$18&gt;0,IF(TipoProgramaPersonalTecnico=1,ROUND(Programa!F$18*'a)Plantilla'!$C17,RedondeoPersonalTecnico),IF(TipoProgramaPersonalTecnico=2,ROUND(Programa!D$18*'a)Plantilla'!$C17,RedondeoPersonalTecnico),ROUND(Programa!D$18*Hjor*'a)Plantilla'!$C17,RedondeoPersonalTecnico))),0)</f>
        <v>0</v>
      </c>
      <c r="K41" s="6">
        <f>IF(Programa!D$19&gt;0,IF(TipoProgramaPersonalTecnico=1,ROUND(Programa!F$19*'a)Plantilla'!$C17,RedondeoPersonalTecnico),IF(TipoProgramaPersonalTecnico=2,ROUND(Programa!D$19*'a)Plantilla'!$C17,RedondeoPersonalTecnico),ROUND(Programa!D$19*Hjor*'a)Plantilla'!$C17,RedondeoPersonalTecnico))),0)</f>
        <v>0</v>
      </c>
      <c r="L41" s="6">
        <f>IF(Programa!D$20&gt;0,IF(TipoProgramaPersonalTecnico=1,ROUND(Programa!F$20*'a)Plantilla'!$C17,RedondeoPersonalTecnico),IF(TipoProgramaPersonalTecnico=2,ROUND(Programa!D$20*'a)Plantilla'!$C17,RedondeoPersonalTecnico),ROUND(Programa!D$20*Hjor*'a)Plantilla'!$C17,RedondeoPersonalTecnico))),0)</f>
        <v>0</v>
      </c>
      <c r="M41" s="6">
        <f>IF(Programa!D$21&gt;0,IF(TipoProgramaPersonalTecnico=1,ROUND(Programa!F$21*'a)Plantilla'!$C17,RedondeoPersonalTecnico),IF(TipoProgramaPersonalTecnico=2,ROUND(Programa!D$21*'a)Plantilla'!$C17,RedondeoPersonalTecnico),ROUND(Programa!D$21*Hjor*'a)Plantilla'!$C17,RedondeoPersonalTecnico))),0)</f>
        <v>0</v>
      </c>
      <c r="N41" s="6">
        <f>IF(Programa!D$22&gt;0,IF(TipoProgramaPersonalTecnico=1,ROUND(Programa!F$22*'a)Plantilla'!$C17,RedondeoPersonalTecnico),IF(TipoProgramaPersonalTecnico=2,ROUND(Programa!D$22*'a)Plantilla'!$C17,RedondeoPersonalTecnico),ROUND(Programa!D$22*Hjor*'a)Plantilla'!$C17,RedondeoPersonalTecnico))),0)</f>
        <v>0</v>
      </c>
      <c r="O41" s="6">
        <f>IF(Programa!D$23&gt;0,IF(TipoProgramaPersonalTecnico=1,ROUND(Programa!F$23*'a)Plantilla'!$C17,RedondeoPersonalTecnico),IF(TipoProgramaPersonalTecnico=2,ROUND(Programa!D$23*'a)Plantilla'!$C17,RedondeoPersonalTecnico),ROUND(Programa!D$23*Hjor*'a)Plantilla'!$C17,RedondeoPersonalTecnico))),0)</f>
        <v>0</v>
      </c>
      <c r="P41" s="78">
        <f>IF(Programa!D$24&gt;0,IF(TipoProgramaPersonalTecnico=1,ROUND(Programa!F$24*'a)Plantilla'!$C17,RedondeoPersonalTecnico),IF(TipoProgramaPersonalTecnico=2,ROUND(Programa!D$24*'a)Plantilla'!$C17,RedondeoPersonalTecnico),ROUND(Programa!D$24*Hjor*'a)Plantilla'!$C17,RedondeoPersonalTecnico))),0)</f>
        <v>0</v>
      </c>
      <c r="Q41" s="27">
        <f>IF(Programa!D$25&gt;0,IF(TipoProgramaPersonalTecnico=1,ROUND(Programa!F$25*'a)Plantilla'!$C17,RedondeoPersonalTecnico),IF(TipoProgramaPersonalTecnico=2,ROUND(Programa!D$25*'a)Plantilla'!$C17,RedondeoPersonalTecnico),ROUND(Programa!D$25*Hjor*'a)Plantilla'!$C17,RedondeoPersonalTecnico))),0)</f>
        <v>0</v>
      </c>
      <c r="R41" s="6">
        <f>IF(Programa!D$26&gt;0,IF(TipoProgramaPersonalTecnico=1,ROUND(Programa!F$26*'a)Plantilla'!$C17,RedondeoPersonalTecnico),IF(TipoProgramaPersonalTecnico=2,ROUND(Programa!D$26*'a)Plantilla'!$C17,RedondeoPersonalTecnico),ROUND(Programa!D$26*Hjor*'a)Plantilla'!$C17,RedondeoPersonalTecnico))),0)</f>
        <v>0</v>
      </c>
      <c r="S41" s="6">
        <f>IF(Programa!D$27&gt;0,IF(TipoProgramaPersonalTecnico=1,ROUND(Programa!F$27*'a)Plantilla'!$C17,RedondeoPersonalTecnico),IF(TipoProgramaPersonalTecnico=2,ROUND(Programa!D$27*'a)Plantilla'!$C17,RedondeoPersonalTecnico),ROUND(Programa!D$27*Hjor*'a)Plantilla'!$C17,RedondeoPersonalTecnico))),0)</f>
        <v>0</v>
      </c>
      <c r="T41" s="6">
        <f>IF(Programa!D$28&gt;0,IF(TipoProgramaPersonalTecnico=1,ROUND(Programa!F$28*'a)Plantilla'!$C17,RedondeoPersonalTecnico),IF(TipoProgramaPersonalTecnico=2,ROUND(Programa!D$28*'a)Plantilla'!$C17,RedondeoPersonalTecnico),ROUND(Programa!D$28*Hjor*'a)Plantilla'!$C17,RedondeoPersonalTecnico))),0)</f>
        <v>0</v>
      </c>
      <c r="U41" s="6">
        <f>IF(Programa!D$29&gt;0,IF(TipoProgramaPersonalTecnico=1,ROUND(Programa!F$29*'a)Plantilla'!$C17,RedondeoPersonalTecnico),IF(TipoProgramaPersonalTecnico=2,ROUND(Programa!D$29*'a)Plantilla'!$C17,RedondeoPersonalTecnico),ROUND(Programa!D$29*Hjor*'a)Plantilla'!$C17,RedondeoPersonalTecnico))),0)</f>
        <v>0</v>
      </c>
      <c r="V41" s="6">
        <f>IF(Programa!D$30&gt;0,IF(TipoProgramaPersonalTecnico=1,ROUND(Programa!F$30*'a)Plantilla'!$C17,RedondeoPersonalTecnico),IF(TipoProgramaPersonalTecnico=2,ROUND(Programa!D$30*'a)Plantilla'!$C17,RedondeoPersonalTecnico),ROUND(Programa!D$30*Hjor*'a)Plantilla'!$C17,RedondeoPersonalTecnico))),0)</f>
        <v>0</v>
      </c>
      <c r="W41" s="6">
        <f>IF(Programa!D$31&gt;0,IF(TipoProgramaPersonalTecnico=1,ROUND(Programa!F$31*'a)Plantilla'!$C17,RedondeoPersonalTecnico),IF(TipoProgramaPersonalTecnico=2,ROUND(Programa!D$31*'a)Plantilla'!$C17,RedondeoPersonalTecnico),ROUND(Programa!D$31*Hjor*'a)Plantilla'!$C17,RedondeoPersonalTecnico))),0)</f>
        <v>0</v>
      </c>
      <c r="X41" s="6">
        <f>IF(Programa!D$32&gt;0,IF(TipoProgramaPersonalTecnico=1,ROUND(Programa!F$32*'a)Plantilla'!$C17,RedondeoPersonalTecnico),IF(TipoProgramaPersonalTecnico=2,ROUND(Programa!D$32*'a)Plantilla'!$C17,RedondeoPersonalTecnico),ROUND(Programa!D$32*Hjor*'a)Plantilla'!$C17,RedondeoPersonalTecnico))),0)</f>
        <v>0</v>
      </c>
      <c r="Y41" s="6">
        <f>IF(Programa!D$33&gt;0,IF(TipoProgramaPersonalTecnico=1,ROUND(Programa!F$33*'a)Plantilla'!$C17,RedondeoPersonalTecnico),IF(TipoProgramaPersonalTecnico=2,ROUND(Programa!D$33*'a)Plantilla'!$C17,RedondeoPersonalTecnico),ROUND(Programa!D$33*Hjor*'a)Plantilla'!$C17,RedondeoPersonalTecnico))),0)</f>
        <v>0</v>
      </c>
      <c r="Z41" s="6">
        <f>IF(Programa!D$34&gt;0,IF(TipoProgramaPersonalTecnico=1,ROUND(Programa!F$34*'a)Plantilla'!$C17,RedondeoPersonalTecnico),IF(TipoProgramaPersonalTecnico=2,ROUND(Programa!D$34*'a)Plantilla'!$C17,RedondeoPersonalTecnico),ROUND(Programa!D$34*Hjor*'a)Plantilla'!$C17,RedondeoPersonalTecnico))),0)</f>
        <v>0</v>
      </c>
      <c r="AA41" s="6">
        <f>IF(Programa!D$35&gt;0,IF(TipoProgramaPersonalTecnico=1,ROUND(Programa!F$35*'a)Plantilla'!$C17,RedondeoPersonalTecnico),IF(TipoProgramaPersonalTecnico=2,ROUND(Programa!D$35*'a)Plantilla'!$C17,RedondeoPersonalTecnico),ROUND(Programa!D$35*Hjor*'a)Plantilla'!$C17,RedondeoPersonalTecnico))),0)</f>
        <v>0</v>
      </c>
      <c r="AB41" s="78">
        <f>IF(Programa!D$36&gt;0,IF(TipoProgramaPersonalTecnico=1,ROUND(Programa!F$36*'a)Plantilla'!$C17,RedondeoPersonalTecnico),IF(TipoProgramaPersonalTecnico=2,ROUND(Programa!D$36*'a)Plantilla'!$C17,RedondeoPersonalTecnico),ROUND(Programa!D$36*Hjor*'a)Plantilla'!$C17,RedondeoPersonalTecnico))),0)</f>
        <v>0</v>
      </c>
      <c r="AC41" s="27">
        <f>IF(Programa!D$37&gt;0,IF(TipoProgramaPersonalTecnico=1,ROUND(Programa!F$37*'a)Plantilla'!$C17,RedondeoPersonalTecnico),IF(TipoProgramaPersonalTecnico=2,ROUND(Programa!D$37*'a)Plantilla'!$C17,RedondeoPersonalTecnico),ROUND(Programa!D$37*Hjor*'a)Plantilla'!$C17,RedondeoPersonalTecnico))),0)</f>
        <v>0</v>
      </c>
      <c r="AD41" s="6">
        <f>IF(Programa!D$38&gt;0,IF(TipoProgramaPersonalTecnico=1,ROUND(Programa!F$38*'a)Plantilla'!$C17,RedondeoPersonalTecnico),IF(TipoProgramaPersonalTecnico=2,ROUND(Programa!D$38*'a)Plantilla'!$C17,RedondeoPersonalTecnico),ROUND(Programa!D$38*Hjor*'a)Plantilla'!$C17,RedondeoPersonalTecnico))),0)</f>
        <v>0</v>
      </c>
      <c r="AE41" s="6">
        <f>IF(Programa!D$39&gt;0,IF(TipoProgramaPersonalTecnico=1,ROUND(Programa!F$39*'a)Plantilla'!$C17,RedondeoPersonalTecnico),IF(TipoProgramaPersonalTecnico=2,ROUND(Programa!D$39*'a)Plantilla'!$C17,RedondeoPersonalTecnico),ROUND(Programa!D$39*Hjor*'a)Plantilla'!$C17,RedondeoPersonalTecnico))),0)</f>
        <v>0</v>
      </c>
      <c r="AF41" s="6">
        <f>IF(Programa!D$40&gt;0,IF(TipoProgramaPersonalTecnico=1,ROUND(Programa!F$40*'a)Plantilla'!$C17,RedondeoPersonalTecnico),IF(TipoProgramaPersonalTecnico=2,ROUND(Programa!D$40*'a)Plantilla'!$C17,RedondeoPersonalTecnico),ROUND(Programa!D$40*Hjor*'a)Plantilla'!$C17,RedondeoPersonalTecnico))),0)</f>
        <v>0</v>
      </c>
      <c r="AG41" s="6">
        <f>IF(Programa!D$41&gt;0,IF(TipoProgramaPersonalTecnico=1,ROUND(Programa!F$41*'a)Plantilla'!$C17,RedondeoPersonalTecnico),IF(TipoProgramaPersonalTecnico=2,ROUND(Programa!D$41*'a)Plantilla'!$C17,RedondeoPersonalTecnico),ROUND(Programa!D$41*Hjor*'a)Plantilla'!$C17,RedondeoPersonalTecnico))),0)</f>
        <v>0</v>
      </c>
      <c r="AH41" s="6">
        <f>IF(Programa!D$42&gt;0,IF(TipoProgramaPersonalTecnico=1,ROUND(Programa!F$42*'a)Plantilla'!$C17,RedondeoPersonalTecnico),IF(TipoProgramaPersonalTecnico=2,ROUND(Programa!D$42*'a)Plantilla'!$C17,RedondeoPersonalTecnico),ROUND(Programa!D$42*Hjor*'a)Plantilla'!$C17,RedondeoPersonalTecnico))),0)</f>
        <v>0</v>
      </c>
      <c r="AI41" s="6">
        <f>IF(Programa!D$43&gt;0,IF(TipoProgramaPersonalTecnico=1,ROUND(Programa!F$43*'a)Plantilla'!$C17,RedondeoPersonalTecnico),IF(TipoProgramaPersonalTecnico=2,ROUND(Programa!D$43*'a)Plantilla'!$C17,RedondeoPersonalTecnico),ROUND(Programa!D$43*Hjor*'a)Plantilla'!$C17,RedondeoPersonalTecnico))),0)</f>
        <v>0</v>
      </c>
      <c r="AJ41" s="6">
        <f>IF(Programa!D$44&gt;0,IF(TipoProgramaPersonalTecnico=1,ROUND(Programa!F$44*'a)Plantilla'!$C17,RedondeoPersonalTecnico),IF(TipoProgramaPersonalTecnico=2,ROUND(Programa!D$44*'a)Plantilla'!$C17,RedondeoPersonalTecnico),ROUND(Programa!D$44*Hjor*'a)Plantilla'!$C17,RedondeoPersonalTecnico))),0)</f>
        <v>0</v>
      </c>
      <c r="AK41" s="6">
        <f>IF(Programa!D$45&gt;0,IF(TipoProgramaPersonalTecnico=1,ROUND(Programa!F$45*'a)Plantilla'!$C17,RedondeoPersonalTecnico),IF(TipoProgramaPersonalTecnico=2,ROUND(Programa!D$45*'a)Plantilla'!$C17,RedondeoPersonalTecnico),ROUND(Programa!D$45*Hjor*'a)Plantilla'!$C17,RedondeoPersonalTecnico))),0)</f>
        <v>0</v>
      </c>
      <c r="AL41" s="6">
        <f>IF(Programa!D$46&gt;0,IF(TipoProgramaPersonalTecnico=1,ROUND(Programa!F$46*'a)Plantilla'!$C17,RedondeoPersonalTecnico),IF(TipoProgramaPersonalTecnico=2,ROUND(Programa!D$46*'a)Plantilla'!$C17,RedondeoPersonalTecnico),ROUND(Programa!D$46*Hjor*'a)Plantilla'!$C17,RedondeoPersonalTecnico))),0)</f>
        <v>0</v>
      </c>
      <c r="AM41" s="6">
        <f>IF(Programa!D$47&gt;0,IF(TipoProgramaPersonalTecnico=1,ROUND(Programa!F$47*'a)Plantilla'!$C17,RedondeoPersonalTecnico),IF(TipoProgramaPersonalTecnico=2,ROUND(Programa!D$47*'a)Plantilla'!$C17,RedondeoPersonalTecnico),ROUND(Programa!D$47*Hjor*'a)Plantilla'!$C17,RedondeoPersonalTecnico))),0)</f>
        <v>0</v>
      </c>
      <c r="AN41" s="78">
        <f>IF(Programa!D$48&gt;0,IF(TipoProgramaPersonalTecnico=1,ROUND(Programa!F$48*'a)Plantilla'!$C17,RedondeoPersonalTecnico),IF(TipoProgramaPersonalTecnico=2,ROUND(Programa!D$48*'a)Plantilla'!$C17,RedondeoPersonalTecnico),ROUND(Programa!D$48*Hjor*'a)Plantilla'!$C17,RedondeoPersonalTecnico))),0)</f>
        <v>0</v>
      </c>
      <c r="AO41" s="27">
        <f>IF(Programa!D$49&gt;0,IF(TipoProgramaPersonalTecnico=1,ROUND(Programa!F$49*'a)Plantilla'!$C17,RedondeoPersonalTecnico),IF(TipoProgramaPersonalTecnico=2,ROUND(Programa!D$49*'a)Plantilla'!$C17,RedondeoPersonalTecnico),ROUND(Programa!D$49*Hjor*'a)Plantilla'!$C17,RedondeoPersonalTecnico))),0)</f>
        <v>0</v>
      </c>
      <c r="AP41" s="6">
        <f>IF(Programa!D$50&gt;0,IF(TipoProgramaPersonalTecnico=1,ROUND(Programa!F$50*'a)Plantilla'!$C17,RedondeoPersonalTecnico),IF(TipoProgramaPersonalTecnico=2,ROUND(Programa!D$50*'a)Plantilla'!$C17,RedondeoPersonalTecnico),ROUND(Programa!D$50*Hjor*'a)Plantilla'!$C17,RedondeoPersonalTecnico))),0)</f>
        <v>0</v>
      </c>
      <c r="AQ41" s="6">
        <f>IF(Programa!D$51&gt;0,IF(TipoProgramaPersonalTecnico=1,ROUND(Programa!F$51*'a)Plantilla'!$C17,RedondeoPersonalTecnico),IF(TipoProgramaPersonalTecnico=2,ROUND(Programa!D$51*'a)Plantilla'!$C17,RedondeoPersonalTecnico),ROUND(Programa!D$51*Hjor*'a)Plantilla'!$C17,RedondeoPersonalTecnico))),0)</f>
        <v>0</v>
      </c>
      <c r="AR41" s="6">
        <f>IF(Programa!D$52&gt;0,IF(TipoProgramaPersonalTecnico=1,ROUND(Programa!F$52*'a)Plantilla'!$C17,RedondeoPersonalTecnico),IF(TipoProgramaPersonalTecnico=2,ROUND(Programa!D$52*'a)Plantilla'!$C17,RedondeoPersonalTecnico),ROUND(Programa!D$52*Hjor*'a)Plantilla'!$C17,RedondeoPersonalTecnico))),0)</f>
        <v>0</v>
      </c>
      <c r="AS41" s="6">
        <f>IF(Programa!D$53&gt;0,IF(TipoProgramaPersonalTecnico=1,ROUND(Programa!F$53*'a)Plantilla'!$C17,RedondeoPersonalTecnico),IF(TipoProgramaPersonalTecnico=2,ROUND(Programa!D$53*'a)Plantilla'!$C17,RedondeoPersonalTecnico),ROUND(Programa!D$53*Hjor*'a)Plantilla'!$C17,RedondeoPersonalTecnico))),0)</f>
        <v>0</v>
      </c>
      <c r="AT41" s="6">
        <f>IF(Programa!D$54&gt;0,IF(TipoProgramaPersonalTecnico=1,ROUND(Programa!F$54*'a)Plantilla'!$C17,RedondeoPersonalTecnico),IF(TipoProgramaPersonalTecnico=2,ROUND(Programa!D$54*'a)Plantilla'!$C17,RedondeoPersonalTecnico),ROUND(Programa!D$54*Hjor*'a)Plantilla'!$C17,RedondeoPersonalTecnico))),0)</f>
        <v>0</v>
      </c>
      <c r="AU41" s="6">
        <f>IF(Programa!D$55&gt;0,IF(TipoProgramaPersonalTecnico=1,ROUND(Programa!F$55*'a)Plantilla'!$C17,RedondeoPersonalTecnico),IF(TipoProgramaPersonalTecnico=2,ROUND(Programa!D$55*'a)Plantilla'!$C17,RedondeoPersonalTecnico),ROUND(Programa!D$55*Hjor*'a)Plantilla'!$C17,RedondeoPersonalTecnico))),0)</f>
        <v>0</v>
      </c>
      <c r="AV41" s="6">
        <f>IF(Programa!D$56&gt;0,IF(TipoProgramaPersonalTecnico=1,ROUND(Programa!F$56*'a)Plantilla'!$C17,RedondeoPersonalTecnico),IF(TipoProgramaPersonalTecnico=2,ROUND(Programa!D$56*'a)Plantilla'!$C17,RedondeoPersonalTecnico),ROUND(Programa!D$56*Hjor*'a)Plantilla'!$C17,RedondeoPersonalTecnico))),0)</f>
        <v>0</v>
      </c>
      <c r="AW41" s="6">
        <f>IF(Programa!D$57&gt;0,IF(TipoProgramaPersonalTecnico=1,ROUND(Programa!F$57*'a)Plantilla'!$C17,RedondeoPersonalTecnico),IF(TipoProgramaPersonalTecnico=2,ROUND(Programa!D$57*'a)Plantilla'!$C17,RedondeoPersonalTecnico),ROUND(Programa!D$57*Hjor*'a)Plantilla'!$C17,RedondeoPersonalTecnico))),0)</f>
        <v>0</v>
      </c>
      <c r="AX41" s="6">
        <f>IF(Programa!D$58&gt;0,IF(TipoProgramaPersonalTecnico=1,ROUND(Programa!F$58*'a)Plantilla'!$C17,RedondeoPersonalTecnico),IF(TipoProgramaPersonalTecnico=2,ROUND(Programa!D$58*'a)Plantilla'!$C17,RedondeoPersonalTecnico),ROUND(Programa!D$58*Hjor*'a)Plantilla'!$C17,RedondeoPersonalTecnico))),0)</f>
        <v>0</v>
      </c>
      <c r="AY41" s="6">
        <f>IF(Programa!D$59&gt;0,IF(TipoProgramaPersonalTecnico=1,ROUND(Programa!F$59*'a)Plantilla'!$C17,RedondeoPersonalTecnico),IF(TipoProgramaPersonalTecnico=2,ROUND(Programa!D$59*'a)Plantilla'!$C17,RedondeoPersonalTecnico),ROUND(Programa!D$59*Hjor*'a)Plantilla'!$C17,RedondeoPersonalTecnico))),0)</f>
        <v>0</v>
      </c>
      <c r="AZ41" s="6">
        <f>IF(Programa!D$60&gt;0,IF(TipoProgramaPersonalTecnico=1,ROUND(Programa!F$60*'a)Plantilla'!$C17,RedondeoPersonalTecnico),IF(TipoProgramaPersonalTecnico=2,ROUND(Programa!D$60*'a)Plantilla'!$C17,RedondeoPersonalTecnico),ROUND(Programa!D$60*Hjor*'a)Plantilla'!$C17,RedondeoPersonalTecnico))),0)</f>
        <v>0</v>
      </c>
      <c r="BA41" s="6">
        <f>IF(Programa!D$61&gt;0,IF(TipoProgramaPersonalTecnico=1,ROUND(Programa!F$61*'a)Plantilla'!$C17,RedondeoPersonalTecnico),IF(TipoProgramaPersonalTecnico=2,ROUND(Programa!D$61*'a)Plantilla'!$C17,RedondeoPersonalTecnico),ROUND(Programa!D$61*Hjor*'a)Plantilla'!$C17,RedondeoPersonalTecnico))),0)</f>
        <v>0</v>
      </c>
      <c r="BB41" s="6">
        <f>IF(Programa!D$62&gt;0,IF(TipoProgramaPersonalTecnico=1,ROUND(Programa!F$62*'a)Plantilla'!$C17,RedondeoPersonalTecnico),IF(TipoProgramaPersonalTecnico=2,ROUND(Programa!D$62*'a)Plantilla'!$C17,RedondeoPersonalTecnico),ROUND(Programa!D$62*Hjor*'a)Plantilla'!$C17,RedondeoPersonalTecnico))),0)</f>
        <v>0</v>
      </c>
      <c r="BC41" s="6">
        <f>IF(Programa!D$63&gt;0,IF(TipoProgramaPersonalTecnico=1,ROUND(Programa!F$63*'a)Plantilla'!$C17,RedondeoPersonalTecnico),IF(TipoProgramaPersonalTecnico=2,ROUND(Programa!D$63*'a)Plantilla'!$C17,RedondeoPersonalTecnico),ROUND(Programa!D$63*Hjor*'a)Plantilla'!$C17,RedondeoPersonalTecnico))),0)</f>
        <v>0</v>
      </c>
      <c r="BD41" s="6">
        <f>IF(Programa!D$64&gt;0,IF(TipoProgramaPersonalTecnico=1,ROUND(Programa!F$64*'a)Plantilla'!$C17,RedondeoPersonalTecnico),IF(TipoProgramaPersonalTecnico=2,ROUND(Programa!D$64*'a)Plantilla'!$C17,RedondeoPersonalTecnico),ROUND(Programa!D$64*Hjor*'a)Plantilla'!$C17,RedondeoPersonalTecnico))),0)</f>
        <v>0</v>
      </c>
      <c r="BE41" s="6">
        <f>IF(Programa!D$65&gt;0,IF(TipoProgramaPersonalTecnico=1,ROUND(Programa!F$65*'a)Plantilla'!$C17,RedondeoPersonalTecnico),IF(TipoProgramaPersonalTecnico=2,ROUND(Programa!D$65*'a)Plantilla'!$C17,RedondeoPersonalTecnico),ROUND(Programa!D$65*Hjor*'a)Plantilla'!$C17,RedondeoPersonalTecnico))),0)</f>
        <v>0</v>
      </c>
      <c r="BF41" s="6">
        <f>IF(Programa!D$66&gt;0,IF(TipoProgramaPersonalTecnico=1,ROUND(Programa!F$66*'a)Plantilla'!$C17,RedondeoPersonalTecnico),IF(TipoProgramaPersonalTecnico=2,ROUND(Programa!D$66*'a)Plantilla'!$C17,RedondeoPersonalTecnico),ROUND(Programa!D$66*Hjor*'a)Plantilla'!$C17,RedondeoPersonalTecnico))),0)</f>
        <v>0</v>
      </c>
      <c r="BG41" s="6">
        <f>IF(Programa!D$67&gt;0,IF(TipoProgramaPersonalTecnico=1,ROUND(Programa!F$67*'a)Plantilla'!$C17,RedondeoPersonalTecnico),IF(TipoProgramaPersonalTecnico=2,ROUND(Programa!D$67*'a)Plantilla'!$C17,RedondeoPersonalTecnico),ROUND(Programa!D$67*Hjor*'a)Plantilla'!$C17,RedondeoPersonalTecnico))),0)</f>
        <v>0</v>
      </c>
      <c r="BH41" s="6">
        <f>IF(Programa!D$68&gt;0,IF(TipoProgramaPersonalTecnico=1,ROUND(Programa!F$68*'a)Plantilla'!$C17,RedondeoPersonalTecnico),IF(TipoProgramaPersonalTecnico=2,ROUND(Programa!D$68*'a)Plantilla'!$C17,RedondeoPersonalTecnico),ROUND(Programa!D$68*Hjor*'a)Plantilla'!$C17,RedondeoPersonalTecnico))),0)</f>
        <v>0</v>
      </c>
      <c r="BI41" s="6">
        <f>IF(Programa!D$69&gt;0,IF(TipoProgramaPersonalTecnico=1,ROUND(Programa!F$69*'a)Plantilla'!$C17,RedondeoPersonalTecnico),IF(TipoProgramaPersonalTecnico=2,ROUND(Programa!D$69*'a)Plantilla'!$C17,RedondeoPersonalTecnico),ROUND(Programa!D$69*Hjor*'a)Plantilla'!$C17,RedondeoPersonalTecnico))),0)</f>
        <v>0</v>
      </c>
      <c r="BJ41" s="6">
        <f>IF(Programa!D$70&gt;0,IF(TipoProgramaPersonalTecnico=1,ROUND(Programa!F$70*'a)Plantilla'!$C17,RedondeoPersonalTecnico),IF(TipoProgramaPersonalTecnico=2,ROUND(Programa!D$70*'a)Plantilla'!$C17,RedondeoPersonalTecnico),ROUND(Programa!D$70*Hjor*'a)Plantilla'!$C17,RedondeoPersonalTecnico))),0)</f>
        <v>0</v>
      </c>
      <c r="BK41" s="6">
        <f>IF(Programa!D$71&gt;0,IF(TipoProgramaPersonalTecnico=1,ROUND(Programa!F$71*'a)Plantilla'!$C17,RedondeoPersonalTecnico),IF(TipoProgramaPersonalTecnico=2,ROUND(Programa!D$71*'a)Plantilla'!$C17,RedondeoPersonalTecnico),ROUND(Programa!D$71*Hjor*'a)Plantilla'!$C17,RedondeoPersonalTecnico))),0)</f>
        <v>0</v>
      </c>
      <c r="BL41" s="78">
        <f>IF(Programa!D$72&gt;0,IF(TipoProgramaPersonalTecnico=1,ROUND(Programa!F$72*'a)Plantilla'!$C17,RedondeoPersonalTecnico),IF(TipoProgramaPersonalTecnico=2,ROUND(Programa!D$72*'a)Plantilla'!$C17,RedondeoPersonalTecnico),ROUND(Programa!D$72*Hjor*'a)Plantilla'!$C17,RedondeoPersonalTecnico))),0)</f>
        <v>0</v>
      </c>
    </row>
    <row r="42" spans="1:64" ht="8.1" customHeight="1">
      <c r="A42" s="67"/>
      <c r="B42" s="46"/>
      <c r="C42" s="31"/>
      <c r="D42" s="22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78"/>
      <c r="Q42" s="27"/>
      <c r="R42" s="6"/>
      <c r="S42" s="6"/>
      <c r="T42" s="6"/>
      <c r="U42" s="6"/>
      <c r="V42" s="6"/>
      <c r="W42" s="6"/>
      <c r="X42" s="6"/>
      <c r="Y42" s="6"/>
      <c r="Z42" s="6"/>
      <c r="AA42" s="6"/>
      <c r="AB42" s="78"/>
      <c r="AC42" s="27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78"/>
      <c r="AO42" s="27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78"/>
    </row>
    <row r="43" spans="1:64" ht="11.25" customHeight="1">
      <c r="A43" s="67"/>
      <c r="B43" s="46" t="str">
        <f>IF('a)Plantilla'!C18&gt;0,'a)Plantilla'!B18,"")</f>
        <v/>
      </c>
      <c r="C43" s="17" t="str">
        <f>IF('a)Plantilla'!C$18&gt;0,IF(TipoProgramaPersonalTecnico=1,"Personas",IF(TipoProgramaPersonalTecnico=2,"Jornal","horas-Hombre")),"")</f>
        <v/>
      </c>
      <c r="D43" s="226">
        <f>ROUND(SUM(E43:BL43),RedondeoPersonalTecnico)</f>
        <v>0</v>
      </c>
      <c r="E43" s="6">
        <f>IF(Programa!D$13&gt;0,IF(TipoProgramaPersonalTecnico=1,ROUND(Programa!F$13*'a)Plantilla'!$C18,RedondeoPersonalTecnico),IF(TipoProgramaPersonalTecnico=2,ROUND(Programa!D$13*'a)Plantilla'!$C18,RedondeoPersonalTecnico),ROUND(Programa!D$13*Hjor*'a)Plantilla'!$C18,RedondeoPersonalTecnico))),0)</f>
        <v>0</v>
      </c>
      <c r="F43" s="6">
        <f>IF(Programa!D$14&gt;0,IF(TipoProgramaPersonalTecnico=1,ROUND(Programa!F$14*'a)Plantilla'!$C18,RedondeoPersonalTecnico),IF(TipoProgramaPersonalTecnico=2,ROUND(Programa!D$14*'a)Plantilla'!$C18,RedondeoPersonalTecnico),ROUND(Programa!D$14*Hjor*'a)Plantilla'!$C18,RedondeoPersonalTecnico))),0)</f>
        <v>0</v>
      </c>
      <c r="G43" s="6">
        <f>IF(Programa!D$15&gt;0,IF(TipoProgramaPersonalTecnico=1,ROUND(Programa!F$15*'a)Plantilla'!$C18,RedondeoPersonalTecnico),IF(TipoProgramaPersonalTecnico=2,ROUND(Programa!D$15*'a)Plantilla'!$C18,RedondeoPersonalTecnico),ROUND(Programa!D$15*Hjor*'a)Plantilla'!$C18,RedondeoPersonalTecnico))),0)</f>
        <v>0</v>
      </c>
      <c r="H43" s="6">
        <f>IF(Programa!D$16&gt;0,IF(TipoProgramaPersonalTecnico=1,ROUND(Programa!F$16*'a)Plantilla'!$C18,RedondeoPersonalTecnico),IF(TipoProgramaPersonalTecnico=2,ROUND(Programa!D$16*'a)Plantilla'!$C18,RedondeoPersonalTecnico),ROUND(Programa!D$16*Hjor*'a)Plantilla'!$C18,RedondeoPersonalTecnico))),0)</f>
        <v>0</v>
      </c>
      <c r="I43" s="6">
        <f>IF(Programa!D$17&gt;0,IF(TipoProgramaPersonalTecnico=1,ROUND(Programa!F$17*'a)Plantilla'!$C18,RedondeoPersonalTecnico),IF(TipoProgramaPersonalTecnico=2,ROUND(Programa!D$17*'a)Plantilla'!$C18,RedondeoPersonalTecnico),ROUND(Programa!D$17*Hjor*'a)Plantilla'!$C18,RedondeoPersonalTecnico))),0)</f>
        <v>0</v>
      </c>
      <c r="J43" s="6">
        <f>IF(Programa!D$18&gt;0,IF(TipoProgramaPersonalTecnico=1,ROUND(Programa!F$18*'a)Plantilla'!$C18,RedondeoPersonalTecnico),IF(TipoProgramaPersonalTecnico=2,ROUND(Programa!D$18*'a)Plantilla'!$C18,RedondeoPersonalTecnico),ROUND(Programa!D$18*Hjor*'a)Plantilla'!$C18,RedondeoPersonalTecnico))),0)</f>
        <v>0</v>
      </c>
      <c r="K43" s="6">
        <f>IF(Programa!D$19&gt;0,IF(TipoProgramaPersonalTecnico=1,ROUND(Programa!F$19*'a)Plantilla'!$C18,RedondeoPersonalTecnico),IF(TipoProgramaPersonalTecnico=2,ROUND(Programa!D$19*'a)Plantilla'!$C18,RedondeoPersonalTecnico),ROUND(Programa!D$19*Hjor*'a)Plantilla'!$C18,RedondeoPersonalTecnico))),0)</f>
        <v>0</v>
      </c>
      <c r="L43" s="6">
        <f>IF(Programa!D$20&gt;0,IF(TipoProgramaPersonalTecnico=1,ROUND(Programa!F$20*'a)Plantilla'!$C18,RedondeoPersonalTecnico),IF(TipoProgramaPersonalTecnico=2,ROUND(Programa!D$20*'a)Plantilla'!$C18,RedondeoPersonalTecnico),ROUND(Programa!D$20*Hjor*'a)Plantilla'!$C18,RedondeoPersonalTecnico))),0)</f>
        <v>0</v>
      </c>
      <c r="M43" s="6">
        <f>IF(Programa!D$21&gt;0,IF(TipoProgramaPersonalTecnico=1,ROUND(Programa!F$21*'a)Plantilla'!$C18,RedondeoPersonalTecnico),IF(TipoProgramaPersonalTecnico=2,ROUND(Programa!D$21*'a)Plantilla'!$C18,RedondeoPersonalTecnico),ROUND(Programa!D$21*Hjor*'a)Plantilla'!$C18,RedondeoPersonalTecnico))),0)</f>
        <v>0</v>
      </c>
      <c r="N43" s="6">
        <f>IF(Programa!D$22&gt;0,IF(TipoProgramaPersonalTecnico=1,ROUND(Programa!F$22*'a)Plantilla'!$C18,RedondeoPersonalTecnico),IF(TipoProgramaPersonalTecnico=2,ROUND(Programa!D$22*'a)Plantilla'!$C18,RedondeoPersonalTecnico),ROUND(Programa!D$22*Hjor*'a)Plantilla'!$C18,RedondeoPersonalTecnico))),0)</f>
        <v>0</v>
      </c>
      <c r="O43" s="6">
        <f>IF(Programa!D$23&gt;0,IF(TipoProgramaPersonalTecnico=1,ROUND(Programa!F$23*'a)Plantilla'!$C18,RedondeoPersonalTecnico),IF(TipoProgramaPersonalTecnico=2,ROUND(Programa!D$23*'a)Plantilla'!$C18,RedondeoPersonalTecnico),ROUND(Programa!D$23*Hjor*'a)Plantilla'!$C18,RedondeoPersonalTecnico))),0)</f>
        <v>0</v>
      </c>
      <c r="P43" s="78">
        <f>IF(Programa!D$24&gt;0,IF(TipoProgramaPersonalTecnico=1,ROUND(Programa!F$24*'a)Plantilla'!$C18,RedondeoPersonalTecnico),IF(TipoProgramaPersonalTecnico=2,ROUND(Programa!D$24*'a)Plantilla'!$C18,RedondeoPersonalTecnico),ROUND(Programa!D$24*Hjor*'a)Plantilla'!$C18,RedondeoPersonalTecnico))),0)</f>
        <v>0</v>
      </c>
      <c r="Q43" s="27">
        <f>IF(Programa!D$25&gt;0,IF(TipoProgramaPersonalTecnico=1,ROUND(Programa!F$25*'a)Plantilla'!$C18,RedondeoPersonalTecnico),IF(TipoProgramaPersonalTecnico=2,ROUND(Programa!D$25*'a)Plantilla'!$C18,RedondeoPersonalTecnico),ROUND(Programa!D$25*Hjor*'a)Plantilla'!$C18,RedondeoPersonalTecnico))),0)</f>
        <v>0</v>
      </c>
      <c r="R43" s="6">
        <f>IF(Programa!D$26&gt;0,IF(TipoProgramaPersonalTecnico=1,ROUND(Programa!F$26*'a)Plantilla'!$C18,RedondeoPersonalTecnico),IF(TipoProgramaPersonalTecnico=2,ROUND(Programa!D$26*'a)Plantilla'!$C18,RedondeoPersonalTecnico),ROUND(Programa!D$26*Hjor*'a)Plantilla'!$C18,RedondeoPersonalTecnico))),0)</f>
        <v>0</v>
      </c>
      <c r="S43" s="6">
        <f>IF(Programa!D$27&gt;0,IF(TipoProgramaPersonalTecnico=1,ROUND(Programa!F$27*'a)Plantilla'!$C18,RedondeoPersonalTecnico),IF(TipoProgramaPersonalTecnico=2,ROUND(Programa!D$27*'a)Plantilla'!$C18,RedondeoPersonalTecnico),ROUND(Programa!D$27*Hjor*'a)Plantilla'!$C18,RedondeoPersonalTecnico))),0)</f>
        <v>0</v>
      </c>
      <c r="T43" s="6">
        <f>IF(Programa!D$28&gt;0,IF(TipoProgramaPersonalTecnico=1,ROUND(Programa!F$28*'a)Plantilla'!$C18,RedondeoPersonalTecnico),IF(TipoProgramaPersonalTecnico=2,ROUND(Programa!D$28*'a)Plantilla'!$C18,RedondeoPersonalTecnico),ROUND(Programa!D$28*Hjor*'a)Plantilla'!$C18,RedondeoPersonalTecnico))),0)</f>
        <v>0</v>
      </c>
      <c r="U43" s="6">
        <f>IF(Programa!D$29&gt;0,IF(TipoProgramaPersonalTecnico=1,ROUND(Programa!F$29*'a)Plantilla'!$C18,RedondeoPersonalTecnico),IF(TipoProgramaPersonalTecnico=2,ROUND(Programa!D$29*'a)Plantilla'!$C18,RedondeoPersonalTecnico),ROUND(Programa!D$29*Hjor*'a)Plantilla'!$C18,RedondeoPersonalTecnico))),0)</f>
        <v>0</v>
      </c>
      <c r="V43" s="6">
        <f>IF(Programa!D$30&gt;0,IF(TipoProgramaPersonalTecnico=1,ROUND(Programa!F$30*'a)Plantilla'!$C18,RedondeoPersonalTecnico),IF(TipoProgramaPersonalTecnico=2,ROUND(Programa!D$30*'a)Plantilla'!$C18,RedondeoPersonalTecnico),ROUND(Programa!D$30*Hjor*'a)Plantilla'!$C18,RedondeoPersonalTecnico))),0)</f>
        <v>0</v>
      </c>
      <c r="W43" s="6">
        <f>IF(Programa!D$31&gt;0,IF(TipoProgramaPersonalTecnico=1,ROUND(Programa!F$31*'a)Plantilla'!$C18,RedondeoPersonalTecnico),IF(TipoProgramaPersonalTecnico=2,ROUND(Programa!D$31*'a)Plantilla'!$C18,RedondeoPersonalTecnico),ROUND(Programa!D$31*Hjor*'a)Plantilla'!$C18,RedondeoPersonalTecnico))),0)</f>
        <v>0</v>
      </c>
      <c r="X43" s="6">
        <f>IF(Programa!D$32&gt;0,IF(TipoProgramaPersonalTecnico=1,ROUND(Programa!F$32*'a)Plantilla'!$C18,RedondeoPersonalTecnico),IF(TipoProgramaPersonalTecnico=2,ROUND(Programa!D$32*'a)Plantilla'!$C18,RedondeoPersonalTecnico),ROUND(Programa!D$32*Hjor*'a)Plantilla'!$C18,RedondeoPersonalTecnico))),0)</f>
        <v>0</v>
      </c>
      <c r="Y43" s="6">
        <f>IF(Programa!D$33&gt;0,IF(TipoProgramaPersonalTecnico=1,ROUND(Programa!F$33*'a)Plantilla'!$C18,RedondeoPersonalTecnico),IF(TipoProgramaPersonalTecnico=2,ROUND(Programa!D$33*'a)Plantilla'!$C18,RedondeoPersonalTecnico),ROUND(Programa!D$33*Hjor*'a)Plantilla'!$C18,RedondeoPersonalTecnico))),0)</f>
        <v>0</v>
      </c>
      <c r="Z43" s="6">
        <f>IF(Programa!D$34&gt;0,IF(TipoProgramaPersonalTecnico=1,ROUND(Programa!F$34*'a)Plantilla'!$C18,RedondeoPersonalTecnico),IF(TipoProgramaPersonalTecnico=2,ROUND(Programa!D$34*'a)Plantilla'!$C18,RedondeoPersonalTecnico),ROUND(Programa!D$34*Hjor*'a)Plantilla'!$C18,RedondeoPersonalTecnico))),0)</f>
        <v>0</v>
      </c>
      <c r="AA43" s="6">
        <f>IF(Programa!D$35&gt;0,IF(TipoProgramaPersonalTecnico=1,ROUND(Programa!F$35*'a)Plantilla'!$C18,RedondeoPersonalTecnico),IF(TipoProgramaPersonalTecnico=2,ROUND(Programa!D$35*'a)Plantilla'!$C18,RedondeoPersonalTecnico),ROUND(Programa!D$35*Hjor*'a)Plantilla'!$C18,RedondeoPersonalTecnico))),0)</f>
        <v>0</v>
      </c>
      <c r="AB43" s="78">
        <f>IF(Programa!D$36&gt;0,IF(TipoProgramaPersonalTecnico=1,ROUND(Programa!F$36*'a)Plantilla'!$C18,RedondeoPersonalTecnico),IF(TipoProgramaPersonalTecnico=2,ROUND(Programa!D$36*'a)Plantilla'!$C18,RedondeoPersonalTecnico),ROUND(Programa!D$36*Hjor*'a)Plantilla'!$C18,RedondeoPersonalTecnico))),0)</f>
        <v>0</v>
      </c>
      <c r="AC43" s="27">
        <f>IF(Programa!D$37&gt;0,IF(TipoProgramaPersonalTecnico=1,ROUND(Programa!F$37*'a)Plantilla'!$C18,RedondeoPersonalTecnico),IF(TipoProgramaPersonalTecnico=2,ROUND(Programa!D$37*'a)Plantilla'!$C18,RedondeoPersonalTecnico),ROUND(Programa!D$37*Hjor*'a)Plantilla'!$C18,RedondeoPersonalTecnico))),0)</f>
        <v>0</v>
      </c>
      <c r="AD43" s="6">
        <f>IF(Programa!D$38&gt;0,IF(TipoProgramaPersonalTecnico=1,ROUND(Programa!F$38*'a)Plantilla'!$C18,RedondeoPersonalTecnico),IF(TipoProgramaPersonalTecnico=2,ROUND(Programa!D$38*'a)Plantilla'!$C18,RedondeoPersonalTecnico),ROUND(Programa!D$38*Hjor*'a)Plantilla'!$C18,RedondeoPersonalTecnico))),0)</f>
        <v>0</v>
      </c>
      <c r="AE43" s="6">
        <f>IF(Programa!D$39&gt;0,IF(TipoProgramaPersonalTecnico=1,ROUND(Programa!F$39*'a)Plantilla'!$C18,RedondeoPersonalTecnico),IF(TipoProgramaPersonalTecnico=2,ROUND(Programa!D$39*'a)Plantilla'!$C18,RedondeoPersonalTecnico),ROUND(Programa!D$39*Hjor*'a)Plantilla'!$C18,RedondeoPersonalTecnico))),0)</f>
        <v>0</v>
      </c>
      <c r="AF43" s="6">
        <f>IF(Programa!D$40&gt;0,IF(TipoProgramaPersonalTecnico=1,ROUND(Programa!F$40*'a)Plantilla'!$C18,RedondeoPersonalTecnico),IF(TipoProgramaPersonalTecnico=2,ROUND(Programa!D$40*'a)Plantilla'!$C18,RedondeoPersonalTecnico),ROUND(Programa!D$40*Hjor*'a)Plantilla'!$C18,RedondeoPersonalTecnico))),0)</f>
        <v>0</v>
      </c>
      <c r="AG43" s="6">
        <f>IF(Programa!D$41&gt;0,IF(TipoProgramaPersonalTecnico=1,ROUND(Programa!F$41*'a)Plantilla'!$C18,RedondeoPersonalTecnico),IF(TipoProgramaPersonalTecnico=2,ROUND(Programa!D$41*'a)Plantilla'!$C18,RedondeoPersonalTecnico),ROUND(Programa!D$41*Hjor*'a)Plantilla'!$C18,RedondeoPersonalTecnico))),0)</f>
        <v>0</v>
      </c>
      <c r="AH43" s="6">
        <f>IF(Programa!D$42&gt;0,IF(TipoProgramaPersonalTecnico=1,ROUND(Programa!F$42*'a)Plantilla'!$C18,RedondeoPersonalTecnico),IF(TipoProgramaPersonalTecnico=2,ROUND(Programa!D$42*'a)Plantilla'!$C18,RedondeoPersonalTecnico),ROUND(Programa!D$42*Hjor*'a)Plantilla'!$C18,RedondeoPersonalTecnico))),0)</f>
        <v>0</v>
      </c>
      <c r="AI43" s="6">
        <f>IF(Programa!D$43&gt;0,IF(TipoProgramaPersonalTecnico=1,ROUND(Programa!F$43*'a)Plantilla'!$C18,RedondeoPersonalTecnico),IF(TipoProgramaPersonalTecnico=2,ROUND(Programa!D$43*'a)Plantilla'!$C18,RedondeoPersonalTecnico),ROUND(Programa!D$43*Hjor*'a)Plantilla'!$C18,RedondeoPersonalTecnico))),0)</f>
        <v>0</v>
      </c>
      <c r="AJ43" s="6">
        <f>IF(Programa!D$44&gt;0,IF(TipoProgramaPersonalTecnico=1,ROUND(Programa!F$44*'a)Plantilla'!$C18,RedondeoPersonalTecnico),IF(TipoProgramaPersonalTecnico=2,ROUND(Programa!D$44*'a)Plantilla'!$C18,RedondeoPersonalTecnico),ROUND(Programa!D$44*Hjor*'a)Plantilla'!$C18,RedondeoPersonalTecnico))),0)</f>
        <v>0</v>
      </c>
      <c r="AK43" s="6">
        <f>IF(Programa!D$45&gt;0,IF(TipoProgramaPersonalTecnico=1,ROUND(Programa!F$45*'a)Plantilla'!$C18,RedondeoPersonalTecnico),IF(TipoProgramaPersonalTecnico=2,ROUND(Programa!D$45*'a)Plantilla'!$C18,RedondeoPersonalTecnico),ROUND(Programa!D$45*Hjor*'a)Plantilla'!$C18,RedondeoPersonalTecnico))),0)</f>
        <v>0</v>
      </c>
      <c r="AL43" s="6">
        <f>IF(Programa!D$46&gt;0,IF(TipoProgramaPersonalTecnico=1,ROUND(Programa!F$46*'a)Plantilla'!$C18,RedondeoPersonalTecnico),IF(TipoProgramaPersonalTecnico=2,ROUND(Programa!D$46*'a)Plantilla'!$C18,RedondeoPersonalTecnico),ROUND(Programa!D$46*Hjor*'a)Plantilla'!$C18,RedondeoPersonalTecnico))),0)</f>
        <v>0</v>
      </c>
      <c r="AM43" s="6">
        <f>IF(Programa!D$47&gt;0,IF(TipoProgramaPersonalTecnico=1,ROUND(Programa!F$47*'a)Plantilla'!$C18,RedondeoPersonalTecnico),IF(TipoProgramaPersonalTecnico=2,ROUND(Programa!D$47*'a)Plantilla'!$C18,RedondeoPersonalTecnico),ROUND(Programa!D$47*Hjor*'a)Plantilla'!$C18,RedondeoPersonalTecnico))),0)</f>
        <v>0</v>
      </c>
      <c r="AN43" s="78">
        <f>IF(Programa!D$48&gt;0,IF(TipoProgramaPersonalTecnico=1,ROUND(Programa!F$48*'a)Plantilla'!$C18,RedondeoPersonalTecnico),IF(TipoProgramaPersonalTecnico=2,ROUND(Programa!D$48*'a)Plantilla'!$C18,RedondeoPersonalTecnico),ROUND(Programa!D$48*Hjor*'a)Plantilla'!$C18,RedondeoPersonalTecnico))),0)</f>
        <v>0</v>
      </c>
      <c r="AO43" s="27">
        <f>IF(Programa!D$49&gt;0,IF(TipoProgramaPersonalTecnico=1,ROUND(Programa!F$49*'a)Plantilla'!$C18,RedondeoPersonalTecnico),IF(TipoProgramaPersonalTecnico=2,ROUND(Programa!D$49*'a)Plantilla'!$C18,RedondeoPersonalTecnico),ROUND(Programa!D$49*Hjor*'a)Plantilla'!$C18,RedondeoPersonalTecnico))),0)</f>
        <v>0</v>
      </c>
      <c r="AP43" s="6">
        <f>IF(Programa!D$50&gt;0,IF(TipoProgramaPersonalTecnico=1,ROUND(Programa!F$50*'a)Plantilla'!$C18,RedondeoPersonalTecnico),IF(TipoProgramaPersonalTecnico=2,ROUND(Programa!D$50*'a)Plantilla'!$C18,RedondeoPersonalTecnico),ROUND(Programa!D$50*Hjor*'a)Plantilla'!$C18,RedondeoPersonalTecnico))),0)</f>
        <v>0</v>
      </c>
      <c r="AQ43" s="6">
        <f>IF(Programa!D$51&gt;0,IF(TipoProgramaPersonalTecnico=1,ROUND(Programa!F$51*'a)Plantilla'!$C18,RedondeoPersonalTecnico),IF(TipoProgramaPersonalTecnico=2,ROUND(Programa!D$51*'a)Plantilla'!$C18,RedondeoPersonalTecnico),ROUND(Programa!D$51*Hjor*'a)Plantilla'!$C18,RedondeoPersonalTecnico))),0)</f>
        <v>0</v>
      </c>
      <c r="AR43" s="6">
        <f>IF(Programa!D$52&gt;0,IF(TipoProgramaPersonalTecnico=1,ROUND(Programa!F$52*'a)Plantilla'!$C18,RedondeoPersonalTecnico),IF(TipoProgramaPersonalTecnico=2,ROUND(Programa!D$52*'a)Plantilla'!$C18,RedondeoPersonalTecnico),ROUND(Programa!D$52*Hjor*'a)Plantilla'!$C18,RedondeoPersonalTecnico))),0)</f>
        <v>0</v>
      </c>
      <c r="AS43" s="6">
        <f>IF(Programa!D$53&gt;0,IF(TipoProgramaPersonalTecnico=1,ROUND(Programa!F$53*'a)Plantilla'!$C18,RedondeoPersonalTecnico),IF(TipoProgramaPersonalTecnico=2,ROUND(Programa!D$53*'a)Plantilla'!$C18,RedondeoPersonalTecnico),ROUND(Programa!D$53*Hjor*'a)Plantilla'!$C18,RedondeoPersonalTecnico))),0)</f>
        <v>0</v>
      </c>
      <c r="AT43" s="6">
        <f>IF(Programa!D$54&gt;0,IF(TipoProgramaPersonalTecnico=1,ROUND(Programa!F$54*'a)Plantilla'!$C18,RedondeoPersonalTecnico),IF(TipoProgramaPersonalTecnico=2,ROUND(Programa!D$54*'a)Plantilla'!$C18,RedondeoPersonalTecnico),ROUND(Programa!D$54*Hjor*'a)Plantilla'!$C18,RedondeoPersonalTecnico))),0)</f>
        <v>0</v>
      </c>
      <c r="AU43" s="6">
        <f>IF(Programa!D$55&gt;0,IF(TipoProgramaPersonalTecnico=1,ROUND(Programa!F$55*'a)Plantilla'!$C18,RedondeoPersonalTecnico),IF(TipoProgramaPersonalTecnico=2,ROUND(Programa!D$55*'a)Plantilla'!$C18,RedondeoPersonalTecnico),ROUND(Programa!D$55*Hjor*'a)Plantilla'!$C18,RedondeoPersonalTecnico))),0)</f>
        <v>0</v>
      </c>
      <c r="AV43" s="6">
        <f>IF(Programa!D$56&gt;0,IF(TipoProgramaPersonalTecnico=1,ROUND(Programa!F$56*'a)Plantilla'!$C18,RedondeoPersonalTecnico),IF(TipoProgramaPersonalTecnico=2,ROUND(Programa!D$56*'a)Plantilla'!$C18,RedondeoPersonalTecnico),ROUND(Programa!D$56*Hjor*'a)Plantilla'!$C18,RedondeoPersonalTecnico))),0)</f>
        <v>0</v>
      </c>
      <c r="AW43" s="6">
        <f>IF(Programa!D$57&gt;0,IF(TipoProgramaPersonalTecnico=1,ROUND(Programa!F$57*'a)Plantilla'!$C18,RedondeoPersonalTecnico),IF(TipoProgramaPersonalTecnico=2,ROUND(Programa!D$57*'a)Plantilla'!$C18,RedondeoPersonalTecnico),ROUND(Programa!D$57*Hjor*'a)Plantilla'!$C18,RedondeoPersonalTecnico))),0)</f>
        <v>0</v>
      </c>
      <c r="AX43" s="6">
        <f>IF(Programa!D$58&gt;0,IF(TipoProgramaPersonalTecnico=1,ROUND(Programa!F$58*'a)Plantilla'!$C18,RedondeoPersonalTecnico),IF(TipoProgramaPersonalTecnico=2,ROUND(Programa!D$58*'a)Plantilla'!$C18,RedondeoPersonalTecnico),ROUND(Programa!D$58*Hjor*'a)Plantilla'!$C18,RedondeoPersonalTecnico))),0)</f>
        <v>0</v>
      </c>
      <c r="AY43" s="6">
        <f>IF(Programa!D$59&gt;0,IF(TipoProgramaPersonalTecnico=1,ROUND(Programa!F$59*'a)Plantilla'!$C18,RedondeoPersonalTecnico),IF(TipoProgramaPersonalTecnico=2,ROUND(Programa!D$59*'a)Plantilla'!$C18,RedondeoPersonalTecnico),ROUND(Programa!D$59*Hjor*'a)Plantilla'!$C18,RedondeoPersonalTecnico))),0)</f>
        <v>0</v>
      </c>
      <c r="AZ43" s="6">
        <f>IF(Programa!D$60&gt;0,IF(TipoProgramaPersonalTecnico=1,ROUND(Programa!F$60*'a)Plantilla'!$C18,RedondeoPersonalTecnico),IF(TipoProgramaPersonalTecnico=2,ROUND(Programa!D$60*'a)Plantilla'!$C18,RedondeoPersonalTecnico),ROUND(Programa!D$60*Hjor*'a)Plantilla'!$C18,RedondeoPersonalTecnico))),0)</f>
        <v>0</v>
      </c>
      <c r="BA43" s="6">
        <f>IF(Programa!D$61&gt;0,IF(TipoProgramaPersonalTecnico=1,ROUND(Programa!F$61*'a)Plantilla'!$C18,RedondeoPersonalTecnico),IF(TipoProgramaPersonalTecnico=2,ROUND(Programa!D$61*'a)Plantilla'!$C18,RedondeoPersonalTecnico),ROUND(Programa!D$61*Hjor*'a)Plantilla'!$C18,RedondeoPersonalTecnico))),0)</f>
        <v>0</v>
      </c>
      <c r="BB43" s="6">
        <f>IF(Programa!D$62&gt;0,IF(TipoProgramaPersonalTecnico=1,ROUND(Programa!F$62*'a)Plantilla'!$C18,RedondeoPersonalTecnico),IF(TipoProgramaPersonalTecnico=2,ROUND(Programa!D$62*'a)Plantilla'!$C18,RedondeoPersonalTecnico),ROUND(Programa!D$62*Hjor*'a)Plantilla'!$C18,RedondeoPersonalTecnico))),0)</f>
        <v>0</v>
      </c>
      <c r="BC43" s="6">
        <f>IF(Programa!D$63&gt;0,IF(TipoProgramaPersonalTecnico=1,ROUND(Programa!F$63*'a)Plantilla'!$C18,RedondeoPersonalTecnico),IF(TipoProgramaPersonalTecnico=2,ROUND(Programa!D$63*'a)Plantilla'!$C18,RedondeoPersonalTecnico),ROUND(Programa!D$63*Hjor*'a)Plantilla'!$C18,RedondeoPersonalTecnico))),0)</f>
        <v>0</v>
      </c>
      <c r="BD43" s="6">
        <f>IF(Programa!D$64&gt;0,IF(TipoProgramaPersonalTecnico=1,ROUND(Programa!F$64*'a)Plantilla'!$C18,RedondeoPersonalTecnico),IF(TipoProgramaPersonalTecnico=2,ROUND(Programa!D$64*'a)Plantilla'!$C18,RedondeoPersonalTecnico),ROUND(Programa!D$64*Hjor*'a)Plantilla'!$C18,RedondeoPersonalTecnico))),0)</f>
        <v>0</v>
      </c>
      <c r="BE43" s="6">
        <f>IF(Programa!D$65&gt;0,IF(TipoProgramaPersonalTecnico=1,ROUND(Programa!F$65*'a)Plantilla'!$C18,RedondeoPersonalTecnico),IF(TipoProgramaPersonalTecnico=2,ROUND(Programa!D$65*'a)Plantilla'!$C18,RedondeoPersonalTecnico),ROUND(Programa!D$65*Hjor*'a)Plantilla'!$C18,RedondeoPersonalTecnico))),0)</f>
        <v>0</v>
      </c>
      <c r="BF43" s="6">
        <f>IF(Programa!D$66&gt;0,IF(TipoProgramaPersonalTecnico=1,ROUND(Programa!F$66*'a)Plantilla'!$C18,RedondeoPersonalTecnico),IF(TipoProgramaPersonalTecnico=2,ROUND(Programa!D$66*'a)Plantilla'!$C18,RedondeoPersonalTecnico),ROUND(Programa!D$66*Hjor*'a)Plantilla'!$C18,RedondeoPersonalTecnico))),0)</f>
        <v>0</v>
      </c>
      <c r="BG43" s="6">
        <f>IF(Programa!D$67&gt;0,IF(TipoProgramaPersonalTecnico=1,ROUND(Programa!F$67*'a)Plantilla'!$C18,RedondeoPersonalTecnico),IF(TipoProgramaPersonalTecnico=2,ROUND(Programa!D$67*'a)Plantilla'!$C18,RedondeoPersonalTecnico),ROUND(Programa!D$67*Hjor*'a)Plantilla'!$C18,RedondeoPersonalTecnico))),0)</f>
        <v>0</v>
      </c>
      <c r="BH43" s="6">
        <f>IF(Programa!D$68&gt;0,IF(TipoProgramaPersonalTecnico=1,ROUND(Programa!F$68*'a)Plantilla'!$C18,RedondeoPersonalTecnico),IF(TipoProgramaPersonalTecnico=2,ROUND(Programa!D$68*'a)Plantilla'!$C18,RedondeoPersonalTecnico),ROUND(Programa!D$68*Hjor*'a)Plantilla'!$C18,RedondeoPersonalTecnico))),0)</f>
        <v>0</v>
      </c>
      <c r="BI43" s="6">
        <f>IF(Programa!D$69&gt;0,IF(TipoProgramaPersonalTecnico=1,ROUND(Programa!F$69*'a)Plantilla'!$C18,RedondeoPersonalTecnico),IF(TipoProgramaPersonalTecnico=2,ROUND(Programa!D$69*'a)Plantilla'!$C18,RedondeoPersonalTecnico),ROUND(Programa!D$69*Hjor*'a)Plantilla'!$C18,RedondeoPersonalTecnico))),0)</f>
        <v>0</v>
      </c>
      <c r="BJ43" s="6">
        <f>IF(Programa!D$70&gt;0,IF(TipoProgramaPersonalTecnico=1,ROUND(Programa!F$70*'a)Plantilla'!$C18,RedondeoPersonalTecnico),IF(TipoProgramaPersonalTecnico=2,ROUND(Programa!D$70*'a)Plantilla'!$C18,RedondeoPersonalTecnico),ROUND(Programa!D$70*Hjor*'a)Plantilla'!$C18,RedondeoPersonalTecnico))),0)</f>
        <v>0</v>
      </c>
      <c r="BK43" s="6">
        <f>IF(Programa!D$71&gt;0,IF(TipoProgramaPersonalTecnico=1,ROUND(Programa!F$71*'a)Plantilla'!$C18,RedondeoPersonalTecnico),IF(TipoProgramaPersonalTecnico=2,ROUND(Programa!D$71*'a)Plantilla'!$C18,RedondeoPersonalTecnico),ROUND(Programa!D$71*Hjor*'a)Plantilla'!$C18,RedondeoPersonalTecnico))),0)</f>
        <v>0</v>
      </c>
      <c r="BL43" s="78">
        <f>IF(Programa!D$72&gt;0,IF(TipoProgramaPersonalTecnico=1,ROUND(Programa!F$72*'a)Plantilla'!$C18,RedondeoPersonalTecnico),IF(TipoProgramaPersonalTecnico=2,ROUND(Programa!D$72*'a)Plantilla'!$C18,RedondeoPersonalTecnico),ROUND(Programa!D$72*Hjor*'a)Plantilla'!$C18,RedondeoPersonalTecnico))),0)</f>
        <v>0</v>
      </c>
    </row>
    <row r="44" spans="1:64" ht="8.1" customHeight="1">
      <c r="A44" s="67"/>
      <c r="B44" s="46"/>
      <c r="C44" s="31"/>
      <c r="D44" s="22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8"/>
      <c r="Q44" s="27"/>
      <c r="R44" s="6"/>
      <c r="S44" s="6"/>
      <c r="T44" s="6"/>
      <c r="U44" s="6"/>
      <c r="V44" s="6"/>
      <c r="W44" s="6"/>
      <c r="X44" s="6"/>
      <c r="Y44" s="6"/>
      <c r="Z44" s="6"/>
      <c r="AA44" s="6"/>
      <c r="AB44" s="78"/>
      <c r="AC44" s="27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78"/>
      <c r="AO44" s="27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78"/>
    </row>
    <row r="45" spans="1:64" ht="11.25" customHeight="1">
      <c r="A45" s="67"/>
      <c r="B45" s="46" t="str">
        <f>IF('a)Plantilla'!C19&gt;0,'a)Plantilla'!B19,"")</f>
        <v/>
      </c>
      <c r="C45" s="17" t="str">
        <f>IF('a)Plantilla'!C$19&gt;0,IF(TipoProgramaPersonalTecnico=1,"Personas",IF(TipoProgramaPersonalTecnico=2,"Jornal","horas-Hombre")),"")</f>
        <v/>
      </c>
      <c r="D45" s="226">
        <f>ROUND(SUM(E45:BL45),RedondeoPersonalTecnico)</f>
        <v>0</v>
      </c>
      <c r="E45" s="6">
        <f>IF(Programa!D$13&gt;0,IF(TipoProgramaPersonalTecnico=1,ROUND(Programa!F$13*'a)Plantilla'!$C19,RedondeoPersonalTecnico),IF(TipoProgramaPersonalTecnico=2,ROUND(Programa!D$13*'a)Plantilla'!$C19,RedondeoPersonalTecnico),ROUND(Programa!D$13*Hjor*'a)Plantilla'!$C19,RedondeoPersonalTecnico))),0)</f>
        <v>0</v>
      </c>
      <c r="F45" s="6">
        <f>IF(Programa!D$14&gt;0,IF(TipoProgramaPersonalTecnico=1,ROUND(Programa!F$14*'a)Plantilla'!$C19,RedondeoPersonalTecnico),IF(TipoProgramaPersonalTecnico=2,ROUND(Programa!D$14*'a)Plantilla'!$C19,RedondeoPersonalTecnico),ROUND(Programa!D$14*Hjor*'a)Plantilla'!$C19,RedondeoPersonalTecnico))),0)</f>
        <v>0</v>
      </c>
      <c r="G45" s="6">
        <f>IF(Programa!D$15&gt;0,IF(TipoProgramaPersonalTecnico=1,ROUND(Programa!F$15*'a)Plantilla'!$C19,RedondeoPersonalTecnico),IF(TipoProgramaPersonalTecnico=2,ROUND(Programa!D$15*'a)Plantilla'!$C19,RedondeoPersonalTecnico),ROUND(Programa!D$15*Hjor*'a)Plantilla'!$C19,RedondeoPersonalTecnico))),0)</f>
        <v>0</v>
      </c>
      <c r="H45" s="6">
        <f>IF(Programa!D$16&gt;0,IF(TipoProgramaPersonalTecnico=1,ROUND(Programa!F$16*'a)Plantilla'!$C19,RedondeoPersonalTecnico),IF(TipoProgramaPersonalTecnico=2,ROUND(Programa!D$16*'a)Plantilla'!$C19,RedondeoPersonalTecnico),ROUND(Programa!D$16*Hjor*'a)Plantilla'!$C19,RedondeoPersonalTecnico))),0)</f>
        <v>0</v>
      </c>
      <c r="I45" s="6">
        <f>IF(Programa!D$17&gt;0,IF(TipoProgramaPersonalTecnico=1,ROUND(Programa!F$17*'a)Plantilla'!$C19,RedondeoPersonalTecnico),IF(TipoProgramaPersonalTecnico=2,ROUND(Programa!D$17*'a)Plantilla'!$C19,RedondeoPersonalTecnico),ROUND(Programa!D$17*Hjor*'a)Plantilla'!$C19,RedondeoPersonalTecnico))),0)</f>
        <v>0</v>
      </c>
      <c r="J45" s="6">
        <f>IF(Programa!D$18&gt;0,IF(TipoProgramaPersonalTecnico=1,ROUND(Programa!F$18*'a)Plantilla'!$C19,RedondeoPersonalTecnico),IF(TipoProgramaPersonalTecnico=2,ROUND(Programa!D$18*'a)Plantilla'!$C19,RedondeoPersonalTecnico),ROUND(Programa!D$18*Hjor*'a)Plantilla'!$C19,RedondeoPersonalTecnico))),0)</f>
        <v>0</v>
      </c>
      <c r="K45" s="6">
        <f>IF(Programa!D$19&gt;0,IF(TipoProgramaPersonalTecnico=1,ROUND(Programa!F$19*'a)Plantilla'!$C19,RedondeoPersonalTecnico),IF(TipoProgramaPersonalTecnico=2,ROUND(Programa!D$19*'a)Plantilla'!$C19,RedondeoPersonalTecnico),ROUND(Programa!D$19*Hjor*'a)Plantilla'!$C19,RedondeoPersonalTecnico))),0)</f>
        <v>0</v>
      </c>
      <c r="L45" s="6">
        <f>IF(Programa!D$20&gt;0,IF(TipoProgramaPersonalTecnico=1,ROUND(Programa!F$20*'a)Plantilla'!$C19,RedondeoPersonalTecnico),IF(TipoProgramaPersonalTecnico=2,ROUND(Programa!D$20*'a)Plantilla'!$C19,RedondeoPersonalTecnico),ROUND(Programa!D$20*Hjor*'a)Plantilla'!$C19,RedondeoPersonalTecnico))),0)</f>
        <v>0</v>
      </c>
      <c r="M45" s="6">
        <f>IF(Programa!D$21&gt;0,IF(TipoProgramaPersonalTecnico=1,ROUND(Programa!F$21*'a)Plantilla'!$C19,RedondeoPersonalTecnico),IF(TipoProgramaPersonalTecnico=2,ROUND(Programa!D$21*'a)Plantilla'!$C19,RedondeoPersonalTecnico),ROUND(Programa!D$21*Hjor*'a)Plantilla'!$C19,RedondeoPersonalTecnico))),0)</f>
        <v>0</v>
      </c>
      <c r="N45" s="6">
        <f>IF(Programa!D$22&gt;0,IF(TipoProgramaPersonalTecnico=1,ROUND(Programa!F$22*'a)Plantilla'!$C19,RedondeoPersonalTecnico),IF(TipoProgramaPersonalTecnico=2,ROUND(Programa!D$22*'a)Plantilla'!$C19,RedondeoPersonalTecnico),ROUND(Programa!D$22*Hjor*'a)Plantilla'!$C19,RedondeoPersonalTecnico))),0)</f>
        <v>0</v>
      </c>
      <c r="O45" s="6">
        <f>IF(Programa!D$23&gt;0,IF(TipoProgramaPersonalTecnico=1,ROUND(Programa!F$23*'a)Plantilla'!$C19,RedondeoPersonalTecnico),IF(TipoProgramaPersonalTecnico=2,ROUND(Programa!D$23*'a)Plantilla'!$C19,RedondeoPersonalTecnico),ROUND(Programa!D$23*Hjor*'a)Plantilla'!$C19,RedondeoPersonalTecnico))),0)</f>
        <v>0</v>
      </c>
      <c r="P45" s="78">
        <f>IF(Programa!D$24&gt;0,IF(TipoProgramaPersonalTecnico=1,ROUND(Programa!F$24*'a)Plantilla'!$C19,RedondeoPersonalTecnico),IF(TipoProgramaPersonalTecnico=2,ROUND(Programa!D$24*'a)Plantilla'!$C19,RedondeoPersonalTecnico),ROUND(Programa!D$24*Hjor*'a)Plantilla'!$C19,RedondeoPersonalTecnico))),0)</f>
        <v>0</v>
      </c>
      <c r="Q45" s="27">
        <f>IF(Programa!D$25&gt;0,IF(TipoProgramaPersonalTecnico=1,ROUND(Programa!F$25*'a)Plantilla'!$C19,RedondeoPersonalTecnico),IF(TipoProgramaPersonalTecnico=2,ROUND(Programa!D$25*'a)Plantilla'!$C19,RedondeoPersonalTecnico),ROUND(Programa!D$25*Hjor*'a)Plantilla'!$C19,RedondeoPersonalTecnico))),0)</f>
        <v>0</v>
      </c>
      <c r="R45" s="6">
        <f>IF(Programa!D$26&gt;0,IF(TipoProgramaPersonalTecnico=1,ROUND(Programa!F$26*'a)Plantilla'!$C19,RedondeoPersonalTecnico),IF(TipoProgramaPersonalTecnico=2,ROUND(Programa!D$26*'a)Plantilla'!$C19,RedondeoPersonalTecnico),ROUND(Programa!D$26*Hjor*'a)Plantilla'!$C19,RedondeoPersonalTecnico))),0)</f>
        <v>0</v>
      </c>
      <c r="S45" s="6">
        <f>IF(Programa!D$27&gt;0,IF(TipoProgramaPersonalTecnico=1,ROUND(Programa!F$27*'a)Plantilla'!$C19,RedondeoPersonalTecnico),IF(TipoProgramaPersonalTecnico=2,ROUND(Programa!D$27*'a)Plantilla'!$C19,RedondeoPersonalTecnico),ROUND(Programa!D$27*Hjor*'a)Plantilla'!$C19,RedondeoPersonalTecnico))),0)</f>
        <v>0</v>
      </c>
      <c r="T45" s="6">
        <f>IF(Programa!D$28&gt;0,IF(TipoProgramaPersonalTecnico=1,ROUND(Programa!F$28*'a)Plantilla'!$C19,RedondeoPersonalTecnico),IF(TipoProgramaPersonalTecnico=2,ROUND(Programa!D$28*'a)Plantilla'!$C19,RedondeoPersonalTecnico),ROUND(Programa!D$28*Hjor*'a)Plantilla'!$C19,RedondeoPersonalTecnico))),0)</f>
        <v>0</v>
      </c>
      <c r="U45" s="6">
        <f>IF(Programa!D$29&gt;0,IF(TipoProgramaPersonalTecnico=1,ROUND(Programa!F$29*'a)Plantilla'!$C19,RedondeoPersonalTecnico),IF(TipoProgramaPersonalTecnico=2,ROUND(Programa!D$29*'a)Plantilla'!$C19,RedondeoPersonalTecnico),ROUND(Programa!D$29*Hjor*'a)Plantilla'!$C19,RedondeoPersonalTecnico))),0)</f>
        <v>0</v>
      </c>
      <c r="V45" s="6">
        <f>IF(Programa!D$30&gt;0,IF(TipoProgramaPersonalTecnico=1,ROUND(Programa!F$30*'a)Plantilla'!$C19,RedondeoPersonalTecnico),IF(TipoProgramaPersonalTecnico=2,ROUND(Programa!D$30*'a)Plantilla'!$C19,RedondeoPersonalTecnico),ROUND(Programa!D$30*Hjor*'a)Plantilla'!$C19,RedondeoPersonalTecnico))),0)</f>
        <v>0</v>
      </c>
      <c r="W45" s="6">
        <f>IF(Programa!D$31&gt;0,IF(TipoProgramaPersonalTecnico=1,ROUND(Programa!F$31*'a)Plantilla'!$C19,RedondeoPersonalTecnico),IF(TipoProgramaPersonalTecnico=2,ROUND(Programa!D$31*'a)Plantilla'!$C19,RedondeoPersonalTecnico),ROUND(Programa!D$31*Hjor*'a)Plantilla'!$C19,RedondeoPersonalTecnico))),0)</f>
        <v>0</v>
      </c>
      <c r="X45" s="6">
        <f>IF(Programa!D$32&gt;0,IF(TipoProgramaPersonalTecnico=1,ROUND(Programa!F$32*'a)Plantilla'!$C19,RedondeoPersonalTecnico),IF(TipoProgramaPersonalTecnico=2,ROUND(Programa!D$32*'a)Plantilla'!$C19,RedondeoPersonalTecnico),ROUND(Programa!D$32*Hjor*'a)Plantilla'!$C19,RedondeoPersonalTecnico))),0)</f>
        <v>0</v>
      </c>
      <c r="Y45" s="6">
        <f>IF(Programa!D$33&gt;0,IF(TipoProgramaPersonalTecnico=1,ROUND(Programa!F$33*'a)Plantilla'!$C19,RedondeoPersonalTecnico),IF(TipoProgramaPersonalTecnico=2,ROUND(Programa!D$33*'a)Plantilla'!$C19,RedondeoPersonalTecnico),ROUND(Programa!D$33*Hjor*'a)Plantilla'!$C19,RedondeoPersonalTecnico))),0)</f>
        <v>0</v>
      </c>
      <c r="Z45" s="6">
        <f>IF(Programa!D$34&gt;0,IF(TipoProgramaPersonalTecnico=1,ROUND(Programa!F$34*'a)Plantilla'!$C19,RedondeoPersonalTecnico),IF(TipoProgramaPersonalTecnico=2,ROUND(Programa!D$34*'a)Plantilla'!$C19,RedondeoPersonalTecnico),ROUND(Programa!D$34*Hjor*'a)Plantilla'!$C19,RedondeoPersonalTecnico))),0)</f>
        <v>0</v>
      </c>
      <c r="AA45" s="6">
        <f>IF(Programa!D$35&gt;0,IF(TipoProgramaPersonalTecnico=1,ROUND(Programa!F$35*'a)Plantilla'!$C19,RedondeoPersonalTecnico),IF(TipoProgramaPersonalTecnico=2,ROUND(Programa!D$35*'a)Plantilla'!$C19,RedondeoPersonalTecnico),ROUND(Programa!D$35*Hjor*'a)Plantilla'!$C19,RedondeoPersonalTecnico))),0)</f>
        <v>0</v>
      </c>
      <c r="AB45" s="78">
        <f>IF(Programa!D$36&gt;0,IF(TipoProgramaPersonalTecnico=1,ROUND(Programa!F$36*'a)Plantilla'!$C19,RedondeoPersonalTecnico),IF(TipoProgramaPersonalTecnico=2,ROUND(Programa!D$36*'a)Plantilla'!$C19,RedondeoPersonalTecnico),ROUND(Programa!D$36*Hjor*'a)Plantilla'!$C19,RedondeoPersonalTecnico))),0)</f>
        <v>0</v>
      </c>
      <c r="AC45" s="27">
        <f>IF(Programa!D$37&gt;0,IF(TipoProgramaPersonalTecnico=1,ROUND(Programa!F$37*'a)Plantilla'!$C19,RedondeoPersonalTecnico),IF(TipoProgramaPersonalTecnico=2,ROUND(Programa!D$37*'a)Plantilla'!$C19,RedondeoPersonalTecnico),ROUND(Programa!D$37*Hjor*'a)Plantilla'!$C19,RedondeoPersonalTecnico))),0)</f>
        <v>0</v>
      </c>
      <c r="AD45" s="6">
        <f>IF(Programa!D$38&gt;0,IF(TipoProgramaPersonalTecnico=1,ROUND(Programa!F$38*'a)Plantilla'!$C19,RedondeoPersonalTecnico),IF(TipoProgramaPersonalTecnico=2,ROUND(Programa!D$38*'a)Plantilla'!$C19,RedondeoPersonalTecnico),ROUND(Programa!D$38*Hjor*'a)Plantilla'!$C19,RedondeoPersonalTecnico))),0)</f>
        <v>0</v>
      </c>
      <c r="AE45" s="6">
        <f>IF(Programa!D$39&gt;0,IF(TipoProgramaPersonalTecnico=1,ROUND(Programa!F$39*'a)Plantilla'!$C19,RedondeoPersonalTecnico),IF(TipoProgramaPersonalTecnico=2,ROUND(Programa!D$39*'a)Plantilla'!$C19,RedondeoPersonalTecnico),ROUND(Programa!D$39*Hjor*'a)Plantilla'!$C19,RedondeoPersonalTecnico))),0)</f>
        <v>0</v>
      </c>
      <c r="AF45" s="6">
        <f>IF(Programa!D$40&gt;0,IF(TipoProgramaPersonalTecnico=1,ROUND(Programa!F$40*'a)Plantilla'!$C19,RedondeoPersonalTecnico),IF(TipoProgramaPersonalTecnico=2,ROUND(Programa!D$40*'a)Plantilla'!$C19,RedondeoPersonalTecnico),ROUND(Programa!D$40*Hjor*'a)Plantilla'!$C19,RedondeoPersonalTecnico))),0)</f>
        <v>0</v>
      </c>
      <c r="AG45" s="6">
        <f>IF(Programa!D$41&gt;0,IF(TipoProgramaPersonalTecnico=1,ROUND(Programa!F$41*'a)Plantilla'!$C19,RedondeoPersonalTecnico),IF(TipoProgramaPersonalTecnico=2,ROUND(Programa!D$41*'a)Plantilla'!$C19,RedondeoPersonalTecnico),ROUND(Programa!D$41*Hjor*'a)Plantilla'!$C19,RedondeoPersonalTecnico))),0)</f>
        <v>0</v>
      </c>
      <c r="AH45" s="6">
        <f>IF(Programa!D$42&gt;0,IF(TipoProgramaPersonalTecnico=1,ROUND(Programa!F$42*'a)Plantilla'!$C19,RedondeoPersonalTecnico),IF(TipoProgramaPersonalTecnico=2,ROUND(Programa!D$42*'a)Plantilla'!$C19,RedondeoPersonalTecnico),ROUND(Programa!D$42*Hjor*'a)Plantilla'!$C19,RedondeoPersonalTecnico))),0)</f>
        <v>0</v>
      </c>
      <c r="AI45" s="6">
        <f>IF(Programa!D$43&gt;0,IF(TipoProgramaPersonalTecnico=1,ROUND(Programa!F$43*'a)Plantilla'!$C19,RedondeoPersonalTecnico),IF(TipoProgramaPersonalTecnico=2,ROUND(Programa!D$43*'a)Plantilla'!$C19,RedondeoPersonalTecnico),ROUND(Programa!D$43*Hjor*'a)Plantilla'!$C19,RedondeoPersonalTecnico))),0)</f>
        <v>0</v>
      </c>
      <c r="AJ45" s="6">
        <f>IF(Programa!D$44&gt;0,IF(TipoProgramaPersonalTecnico=1,ROUND(Programa!F$44*'a)Plantilla'!$C19,RedondeoPersonalTecnico),IF(TipoProgramaPersonalTecnico=2,ROUND(Programa!D$44*'a)Plantilla'!$C19,RedondeoPersonalTecnico),ROUND(Programa!D$44*Hjor*'a)Plantilla'!$C19,RedondeoPersonalTecnico))),0)</f>
        <v>0</v>
      </c>
      <c r="AK45" s="6">
        <f>IF(Programa!D$45&gt;0,IF(TipoProgramaPersonalTecnico=1,ROUND(Programa!F$45*'a)Plantilla'!$C19,RedondeoPersonalTecnico),IF(TipoProgramaPersonalTecnico=2,ROUND(Programa!D$45*'a)Plantilla'!$C19,RedondeoPersonalTecnico),ROUND(Programa!D$45*Hjor*'a)Plantilla'!$C19,RedondeoPersonalTecnico))),0)</f>
        <v>0</v>
      </c>
      <c r="AL45" s="6">
        <f>IF(Programa!D$46&gt;0,IF(TipoProgramaPersonalTecnico=1,ROUND(Programa!F$46*'a)Plantilla'!$C19,RedondeoPersonalTecnico),IF(TipoProgramaPersonalTecnico=2,ROUND(Programa!D$46*'a)Plantilla'!$C19,RedondeoPersonalTecnico),ROUND(Programa!D$46*Hjor*'a)Plantilla'!$C19,RedondeoPersonalTecnico))),0)</f>
        <v>0</v>
      </c>
      <c r="AM45" s="6">
        <f>IF(Programa!D$47&gt;0,IF(TipoProgramaPersonalTecnico=1,ROUND(Programa!F$47*'a)Plantilla'!$C19,RedondeoPersonalTecnico),IF(TipoProgramaPersonalTecnico=2,ROUND(Programa!D$47*'a)Plantilla'!$C19,RedondeoPersonalTecnico),ROUND(Programa!D$47*Hjor*'a)Plantilla'!$C19,RedondeoPersonalTecnico))),0)</f>
        <v>0</v>
      </c>
      <c r="AN45" s="78">
        <f>IF(Programa!D$48&gt;0,IF(TipoProgramaPersonalTecnico=1,ROUND(Programa!F$48*'a)Plantilla'!$C19,RedondeoPersonalTecnico),IF(TipoProgramaPersonalTecnico=2,ROUND(Programa!D$48*'a)Plantilla'!$C19,RedondeoPersonalTecnico),ROUND(Programa!D$48*Hjor*'a)Plantilla'!$C19,RedondeoPersonalTecnico))),0)</f>
        <v>0</v>
      </c>
      <c r="AO45" s="27">
        <f>IF(Programa!D$49&gt;0,IF(TipoProgramaPersonalTecnico=1,ROUND(Programa!F$49*'a)Plantilla'!$C19,RedondeoPersonalTecnico),IF(TipoProgramaPersonalTecnico=2,ROUND(Programa!D$49*'a)Plantilla'!$C19,RedondeoPersonalTecnico),ROUND(Programa!D$49*Hjor*'a)Plantilla'!$C19,RedondeoPersonalTecnico))),0)</f>
        <v>0</v>
      </c>
      <c r="AP45" s="6">
        <f>IF(Programa!D$50&gt;0,IF(TipoProgramaPersonalTecnico=1,ROUND(Programa!F$50*'a)Plantilla'!$C19,RedondeoPersonalTecnico),IF(TipoProgramaPersonalTecnico=2,ROUND(Programa!D$50*'a)Plantilla'!$C19,RedondeoPersonalTecnico),ROUND(Programa!D$50*Hjor*'a)Plantilla'!$C19,RedondeoPersonalTecnico))),0)</f>
        <v>0</v>
      </c>
      <c r="AQ45" s="6">
        <f>IF(Programa!D$51&gt;0,IF(TipoProgramaPersonalTecnico=1,ROUND(Programa!F$51*'a)Plantilla'!$C19,RedondeoPersonalTecnico),IF(TipoProgramaPersonalTecnico=2,ROUND(Programa!D$51*'a)Plantilla'!$C19,RedondeoPersonalTecnico),ROUND(Programa!D$51*Hjor*'a)Plantilla'!$C19,RedondeoPersonalTecnico))),0)</f>
        <v>0</v>
      </c>
      <c r="AR45" s="6">
        <f>IF(Programa!D$52&gt;0,IF(TipoProgramaPersonalTecnico=1,ROUND(Programa!F$52*'a)Plantilla'!$C19,RedondeoPersonalTecnico),IF(TipoProgramaPersonalTecnico=2,ROUND(Programa!D$52*'a)Plantilla'!$C19,RedondeoPersonalTecnico),ROUND(Programa!D$52*Hjor*'a)Plantilla'!$C19,RedondeoPersonalTecnico))),0)</f>
        <v>0</v>
      </c>
      <c r="AS45" s="6">
        <f>IF(Programa!D$53&gt;0,IF(TipoProgramaPersonalTecnico=1,ROUND(Programa!F$53*'a)Plantilla'!$C19,RedondeoPersonalTecnico),IF(TipoProgramaPersonalTecnico=2,ROUND(Programa!D$53*'a)Plantilla'!$C19,RedondeoPersonalTecnico),ROUND(Programa!D$53*Hjor*'a)Plantilla'!$C19,RedondeoPersonalTecnico))),0)</f>
        <v>0</v>
      </c>
      <c r="AT45" s="6">
        <f>IF(Programa!D$54&gt;0,IF(TipoProgramaPersonalTecnico=1,ROUND(Programa!F$54*'a)Plantilla'!$C19,RedondeoPersonalTecnico),IF(TipoProgramaPersonalTecnico=2,ROUND(Programa!D$54*'a)Plantilla'!$C19,RedondeoPersonalTecnico),ROUND(Programa!D$54*Hjor*'a)Plantilla'!$C19,RedondeoPersonalTecnico))),0)</f>
        <v>0</v>
      </c>
      <c r="AU45" s="6">
        <f>IF(Programa!D$55&gt;0,IF(TipoProgramaPersonalTecnico=1,ROUND(Programa!F$55*'a)Plantilla'!$C19,RedondeoPersonalTecnico),IF(TipoProgramaPersonalTecnico=2,ROUND(Programa!D$55*'a)Plantilla'!$C19,RedondeoPersonalTecnico),ROUND(Programa!D$55*Hjor*'a)Plantilla'!$C19,RedondeoPersonalTecnico))),0)</f>
        <v>0</v>
      </c>
      <c r="AV45" s="6">
        <f>IF(Programa!D$56&gt;0,IF(TipoProgramaPersonalTecnico=1,ROUND(Programa!F$56*'a)Plantilla'!$C19,RedondeoPersonalTecnico),IF(TipoProgramaPersonalTecnico=2,ROUND(Programa!D$56*'a)Plantilla'!$C19,RedondeoPersonalTecnico),ROUND(Programa!D$56*Hjor*'a)Plantilla'!$C19,RedondeoPersonalTecnico))),0)</f>
        <v>0</v>
      </c>
      <c r="AW45" s="6">
        <f>IF(Programa!D$57&gt;0,IF(TipoProgramaPersonalTecnico=1,ROUND(Programa!F$57*'a)Plantilla'!$C19,RedondeoPersonalTecnico),IF(TipoProgramaPersonalTecnico=2,ROUND(Programa!D$57*'a)Plantilla'!$C19,RedondeoPersonalTecnico),ROUND(Programa!D$57*Hjor*'a)Plantilla'!$C19,RedondeoPersonalTecnico))),0)</f>
        <v>0</v>
      </c>
      <c r="AX45" s="6">
        <f>IF(Programa!D$58&gt;0,IF(TipoProgramaPersonalTecnico=1,ROUND(Programa!F$58*'a)Plantilla'!$C19,RedondeoPersonalTecnico),IF(TipoProgramaPersonalTecnico=2,ROUND(Programa!D$58*'a)Plantilla'!$C19,RedondeoPersonalTecnico),ROUND(Programa!D$58*Hjor*'a)Plantilla'!$C19,RedondeoPersonalTecnico))),0)</f>
        <v>0</v>
      </c>
      <c r="AY45" s="6">
        <f>IF(Programa!D$59&gt;0,IF(TipoProgramaPersonalTecnico=1,ROUND(Programa!F$59*'a)Plantilla'!$C19,RedondeoPersonalTecnico),IF(TipoProgramaPersonalTecnico=2,ROUND(Programa!D$59*'a)Plantilla'!$C19,RedondeoPersonalTecnico),ROUND(Programa!D$59*Hjor*'a)Plantilla'!$C19,RedondeoPersonalTecnico))),0)</f>
        <v>0</v>
      </c>
      <c r="AZ45" s="6">
        <f>IF(Programa!D$60&gt;0,IF(TipoProgramaPersonalTecnico=1,ROUND(Programa!F$60*'a)Plantilla'!$C19,RedondeoPersonalTecnico),IF(TipoProgramaPersonalTecnico=2,ROUND(Programa!D$60*'a)Plantilla'!$C19,RedondeoPersonalTecnico),ROUND(Programa!D$60*Hjor*'a)Plantilla'!$C19,RedondeoPersonalTecnico))),0)</f>
        <v>0</v>
      </c>
      <c r="BA45" s="6">
        <f>IF(Programa!D$61&gt;0,IF(TipoProgramaPersonalTecnico=1,ROUND(Programa!F$61*'a)Plantilla'!$C19,RedondeoPersonalTecnico),IF(TipoProgramaPersonalTecnico=2,ROUND(Programa!D$61*'a)Plantilla'!$C19,RedondeoPersonalTecnico),ROUND(Programa!D$61*Hjor*'a)Plantilla'!$C19,RedondeoPersonalTecnico))),0)</f>
        <v>0</v>
      </c>
      <c r="BB45" s="6">
        <f>IF(Programa!D$62&gt;0,IF(TipoProgramaPersonalTecnico=1,ROUND(Programa!F$62*'a)Plantilla'!$C19,RedondeoPersonalTecnico),IF(TipoProgramaPersonalTecnico=2,ROUND(Programa!D$62*'a)Plantilla'!$C19,RedondeoPersonalTecnico),ROUND(Programa!D$62*Hjor*'a)Plantilla'!$C19,RedondeoPersonalTecnico))),0)</f>
        <v>0</v>
      </c>
      <c r="BC45" s="6">
        <f>IF(Programa!D$63&gt;0,IF(TipoProgramaPersonalTecnico=1,ROUND(Programa!F$63*'a)Plantilla'!$C19,RedondeoPersonalTecnico),IF(TipoProgramaPersonalTecnico=2,ROUND(Programa!D$63*'a)Plantilla'!$C19,RedondeoPersonalTecnico),ROUND(Programa!D$63*Hjor*'a)Plantilla'!$C19,RedondeoPersonalTecnico))),0)</f>
        <v>0</v>
      </c>
      <c r="BD45" s="6">
        <f>IF(Programa!D$64&gt;0,IF(TipoProgramaPersonalTecnico=1,ROUND(Programa!F$64*'a)Plantilla'!$C19,RedondeoPersonalTecnico),IF(TipoProgramaPersonalTecnico=2,ROUND(Programa!D$64*'a)Plantilla'!$C19,RedondeoPersonalTecnico),ROUND(Programa!D$64*Hjor*'a)Plantilla'!$C19,RedondeoPersonalTecnico))),0)</f>
        <v>0</v>
      </c>
      <c r="BE45" s="6">
        <f>IF(Programa!D$65&gt;0,IF(TipoProgramaPersonalTecnico=1,ROUND(Programa!F$65*'a)Plantilla'!$C19,RedondeoPersonalTecnico),IF(TipoProgramaPersonalTecnico=2,ROUND(Programa!D$65*'a)Plantilla'!$C19,RedondeoPersonalTecnico),ROUND(Programa!D$65*Hjor*'a)Plantilla'!$C19,RedondeoPersonalTecnico))),0)</f>
        <v>0</v>
      </c>
      <c r="BF45" s="6">
        <f>IF(Programa!D$66&gt;0,IF(TipoProgramaPersonalTecnico=1,ROUND(Programa!F$66*'a)Plantilla'!$C19,RedondeoPersonalTecnico),IF(TipoProgramaPersonalTecnico=2,ROUND(Programa!D$66*'a)Plantilla'!$C19,RedondeoPersonalTecnico),ROUND(Programa!D$66*Hjor*'a)Plantilla'!$C19,RedondeoPersonalTecnico))),0)</f>
        <v>0</v>
      </c>
      <c r="BG45" s="6">
        <f>IF(Programa!D$67&gt;0,IF(TipoProgramaPersonalTecnico=1,ROUND(Programa!F$67*'a)Plantilla'!$C19,RedondeoPersonalTecnico),IF(TipoProgramaPersonalTecnico=2,ROUND(Programa!D$67*'a)Plantilla'!$C19,RedondeoPersonalTecnico),ROUND(Programa!D$67*Hjor*'a)Plantilla'!$C19,RedondeoPersonalTecnico))),0)</f>
        <v>0</v>
      </c>
      <c r="BH45" s="6">
        <f>IF(Programa!D$68&gt;0,IF(TipoProgramaPersonalTecnico=1,ROUND(Programa!F$68*'a)Plantilla'!$C19,RedondeoPersonalTecnico),IF(TipoProgramaPersonalTecnico=2,ROUND(Programa!D$68*'a)Plantilla'!$C19,RedondeoPersonalTecnico),ROUND(Programa!D$68*Hjor*'a)Plantilla'!$C19,RedondeoPersonalTecnico))),0)</f>
        <v>0</v>
      </c>
      <c r="BI45" s="6">
        <f>IF(Programa!D$69&gt;0,IF(TipoProgramaPersonalTecnico=1,ROUND(Programa!F$69*'a)Plantilla'!$C19,RedondeoPersonalTecnico),IF(TipoProgramaPersonalTecnico=2,ROUND(Programa!D$69*'a)Plantilla'!$C19,RedondeoPersonalTecnico),ROUND(Programa!D$69*Hjor*'a)Plantilla'!$C19,RedondeoPersonalTecnico))),0)</f>
        <v>0</v>
      </c>
      <c r="BJ45" s="6">
        <f>IF(Programa!D$70&gt;0,IF(TipoProgramaPersonalTecnico=1,ROUND(Programa!F$70*'a)Plantilla'!$C19,RedondeoPersonalTecnico),IF(TipoProgramaPersonalTecnico=2,ROUND(Programa!D$70*'a)Plantilla'!$C19,RedondeoPersonalTecnico),ROUND(Programa!D$70*Hjor*'a)Plantilla'!$C19,RedondeoPersonalTecnico))),0)</f>
        <v>0</v>
      </c>
      <c r="BK45" s="6">
        <f>IF(Programa!D$71&gt;0,IF(TipoProgramaPersonalTecnico=1,ROUND(Programa!F$71*'a)Plantilla'!$C19,RedondeoPersonalTecnico),IF(TipoProgramaPersonalTecnico=2,ROUND(Programa!D$71*'a)Plantilla'!$C19,RedondeoPersonalTecnico),ROUND(Programa!D$71*Hjor*'a)Plantilla'!$C19,RedondeoPersonalTecnico))),0)</f>
        <v>0</v>
      </c>
      <c r="BL45" s="78">
        <f>IF(Programa!D$72&gt;0,IF(TipoProgramaPersonalTecnico=1,ROUND(Programa!F$72*'a)Plantilla'!$C19,RedondeoPersonalTecnico),IF(TipoProgramaPersonalTecnico=2,ROUND(Programa!D$72*'a)Plantilla'!$C19,RedondeoPersonalTecnico),ROUND(Programa!D$72*Hjor*'a)Plantilla'!$C19,RedondeoPersonalTecnico))),0)</f>
        <v>0</v>
      </c>
    </row>
    <row r="46" spans="1:64" ht="8.1" customHeight="1">
      <c r="A46" s="67"/>
      <c r="B46" s="46"/>
      <c r="C46" s="31"/>
      <c r="D46" s="22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78"/>
      <c r="Q46" s="27"/>
      <c r="R46" s="6"/>
      <c r="S46" s="6"/>
      <c r="T46" s="6"/>
      <c r="U46" s="6"/>
      <c r="V46" s="6"/>
      <c r="W46" s="6"/>
      <c r="X46" s="6"/>
      <c r="Y46" s="6"/>
      <c r="Z46" s="6"/>
      <c r="AA46" s="6"/>
      <c r="AB46" s="78"/>
      <c r="AC46" s="27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78"/>
      <c r="AO46" s="27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78"/>
    </row>
    <row r="47" spans="1:64" ht="11.25" customHeight="1">
      <c r="A47" s="67"/>
      <c r="B47" s="46" t="str">
        <f>IF('a)Plantilla'!C20&gt;0,'a)Plantilla'!B20,"")</f>
        <v/>
      </c>
      <c r="C47" s="17" t="str">
        <f>IF('a)Plantilla'!C$20&gt;0,IF(TipoProgramaPersonalTecnico=1,"Personas",IF(TipoProgramaPersonalTecnico=2,"Jornal","horas-Hombre")),"")</f>
        <v/>
      </c>
      <c r="D47" s="226">
        <f>ROUND(SUM(E47:BL47),RedondeoPersonalTecnico)</f>
        <v>0</v>
      </c>
      <c r="E47" s="6">
        <f>IF(Programa!D$13&gt;0,IF(TipoProgramaPersonalTecnico=1,ROUND(Programa!F$13*'a)Plantilla'!$C20,RedondeoPersonalTecnico),IF(TipoProgramaPersonalTecnico=2,ROUND(Programa!D$13*'a)Plantilla'!$C20,RedondeoPersonalTecnico),ROUND(Programa!D$13*Hjor*'a)Plantilla'!$C20,RedondeoPersonalTecnico))),0)</f>
        <v>0</v>
      </c>
      <c r="F47" s="6">
        <f>IF(Programa!D$14&gt;0,IF(TipoProgramaPersonalTecnico=1,ROUND(Programa!F$14*'a)Plantilla'!$C20,RedondeoPersonalTecnico),IF(TipoProgramaPersonalTecnico=2,ROUND(Programa!D$14*'a)Plantilla'!$C20,RedondeoPersonalTecnico),ROUND(Programa!D$14*Hjor*'a)Plantilla'!$C20,RedondeoPersonalTecnico))),0)</f>
        <v>0</v>
      </c>
      <c r="G47" s="6">
        <f>IF(Programa!D$15&gt;0,IF(TipoProgramaPersonalTecnico=1,ROUND(Programa!F$15*'a)Plantilla'!$C20,RedondeoPersonalTecnico),IF(TipoProgramaPersonalTecnico=2,ROUND(Programa!D$15*'a)Plantilla'!$C20,RedondeoPersonalTecnico),ROUND(Programa!D$15*Hjor*'a)Plantilla'!$C20,RedondeoPersonalTecnico))),0)</f>
        <v>0</v>
      </c>
      <c r="H47" s="6">
        <f>IF(Programa!D$16&gt;0,IF(TipoProgramaPersonalTecnico=1,ROUND(Programa!F$16*'a)Plantilla'!$C20,RedondeoPersonalTecnico),IF(TipoProgramaPersonalTecnico=2,ROUND(Programa!D$16*'a)Plantilla'!$C20,RedondeoPersonalTecnico),ROUND(Programa!D$16*Hjor*'a)Plantilla'!$C20,RedondeoPersonalTecnico))),0)</f>
        <v>0</v>
      </c>
      <c r="I47" s="6">
        <f>IF(Programa!D$17&gt;0,IF(TipoProgramaPersonalTecnico=1,ROUND(Programa!F$17*'a)Plantilla'!$C20,RedondeoPersonalTecnico),IF(TipoProgramaPersonalTecnico=2,ROUND(Programa!D$17*'a)Plantilla'!$C20,RedondeoPersonalTecnico),ROUND(Programa!D$17*Hjor*'a)Plantilla'!$C20,RedondeoPersonalTecnico))),0)</f>
        <v>0</v>
      </c>
      <c r="J47" s="6">
        <f>IF(Programa!D$18&gt;0,IF(TipoProgramaPersonalTecnico=1,ROUND(Programa!F$18*'a)Plantilla'!$C20,RedondeoPersonalTecnico),IF(TipoProgramaPersonalTecnico=2,ROUND(Programa!D$18*'a)Plantilla'!$C20,RedondeoPersonalTecnico),ROUND(Programa!D$18*Hjor*'a)Plantilla'!$C20,RedondeoPersonalTecnico))),0)</f>
        <v>0</v>
      </c>
      <c r="K47" s="6">
        <f>IF(Programa!D$19&gt;0,IF(TipoProgramaPersonalTecnico=1,ROUND(Programa!F$19*'a)Plantilla'!$C20,RedondeoPersonalTecnico),IF(TipoProgramaPersonalTecnico=2,ROUND(Programa!D$19*'a)Plantilla'!$C20,RedondeoPersonalTecnico),ROUND(Programa!D$19*Hjor*'a)Plantilla'!$C20,RedondeoPersonalTecnico))),0)</f>
        <v>0</v>
      </c>
      <c r="L47" s="6">
        <f>IF(Programa!D$20&gt;0,IF(TipoProgramaPersonalTecnico=1,ROUND(Programa!F$20*'a)Plantilla'!$C20,RedondeoPersonalTecnico),IF(TipoProgramaPersonalTecnico=2,ROUND(Programa!D$20*'a)Plantilla'!$C20,RedondeoPersonalTecnico),ROUND(Programa!D$20*Hjor*'a)Plantilla'!$C20,RedondeoPersonalTecnico))),0)</f>
        <v>0</v>
      </c>
      <c r="M47" s="6">
        <f>IF(Programa!D$21&gt;0,IF(TipoProgramaPersonalTecnico=1,ROUND(Programa!F$21*'a)Plantilla'!$C20,RedondeoPersonalTecnico),IF(TipoProgramaPersonalTecnico=2,ROUND(Programa!D$21*'a)Plantilla'!$C20,RedondeoPersonalTecnico),ROUND(Programa!D$21*Hjor*'a)Plantilla'!$C20,RedondeoPersonalTecnico))),0)</f>
        <v>0</v>
      </c>
      <c r="N47" s="6">
        <f>IF(Programa!D$22&gt;0,IF(TipoProgramaPersonalTecnico=1,ROUND(Programa!F$22*'a)Plantilla'!$C20,RedondeoPersonalTecnico),IF(TipoProgramaPersonalTecnico=2,ROUND(Programa!D$22*'a)Plantilla'!$C20,RedondeoPersonalTecnico),ROUND(Programa!D$22*Hjor*'a)Plantilla'!$C20,RedondeoPersonalTecnico))),0)</f>
        <v>0</v>
      </c>
      <c r="O47" s="6">
        <f>IF(Programa!D$23&gt;0,IF(TipoProgramaPersonalTecnico=1,ROUND(Programa!F$23*'a)Plantilla'!$C20,RedondeoPersonalTecnico),IF(TipoProgramaPersonalTecnico=2,ROUND(Programa!D$23*'a)Plantilla'!$C20,RedondeoPersonalTecnico),ROUND(Programa!D$23*Hjor*'a)Plantilla'!$C20,RedondeoPersonalTecnico))),0)</f>
        <v>0</v>
      </c>
      <c r="P47" s="78">
        <f>IF(Programa!D$24&gt;0,IF(TipoProgramaPersonalTecnico=1,ROUND(Programa!F$24*'a)Plantilla'!$C20,RedondeoPersonalTecnico),IF(TipoProgramaPersonalTecnico=2,ROUND(Programa!D$24*'a)Plantilla'!$C20,RedondeoPersonalTecnico),ROUND(Programa!D$24*Hjor*'a)Plantilla'!$C20,RedondeoPersonalTecnico))),0)</f>
        <v>0</v>
      </c>
      <c r="Q47" s="27">
        <f>IF(Programa!D$25&gt;0,IF(TipoProgramaPersonalTecnico=1,ROUND(Programa!F$25*'a)Plantilla'!$C20,RedondeoPersonalTecnico),IF(TipoProgramaPersonalTecnico=2,ROUND(Programa!D$25*'a)Plantilla'!$C20,RedondeoPersonalTecnico),ROUND(Programa!D$25*Hjor*'a)Plantilla'!$C20,RedondeoPersonalTecnico))),0)</f>
        <v>0</v>
      </c>
      <c r="R47" s="6">
        <f>IF(Programa!D$26&gt;0,IF(TipoProgramaPersonalTecnico=1,ROUND(Programa!F$26*'a)Plantilla'!$C20,RedondeoPersonalTecnico),IF(TipoProgramaPersonalTecnico=2,ROUND(Programa!D$26*'a)Plantilla'!$C20,RedondeoPersonalTecnico),ROUND(Programa!D$26*Hjor*'a)Plantilla'!$C20,RedondeoPersonalTecnico))),0)</f>
        <v>0</v>
      </c>
      <c r="S47" s="6">
        <f>IF(Programa!D$27&gt;0,IF(TipoProgramaPersonalTecnico=1,ROUND(Programa!F$27*'a)Plantilla'!$C20,RedondeoPersonalTecnico),IF(TipoProgramaPersonalTecnico=2,ROUND(Programa!D$27*'a)Plantilla'!$C20,RedondeoPersonalTecnico),ROUND(Programa!D$27*Hjor*'a)Plantilla'!$C20,RedondeoPersonalTecnico))),0)</f>
        <v>0</v>
      </c>
      <c r="T47" s="6">
        <f>IF(Programa!D$28&gt;0,IF(TipoProgramaPersonalTecnico=1,ROUND(Programa!F$28*'a)Plantilla'!$C20,RedondeoPersonalTecnico),IF(TipoProgramaPersonalTecnico=2,ROUND(Programa!D$28*'a)Plantilla'!$C20,RedondeoPersonalTecnico),ROUND(Programa!D$28*Hjor*'a)Plantilla'!$C20,RedondeoPersonalTecnico))),0)</f>
        <v>0</v>
      </c>
      <c r="U47" s="6">
        <f>IF(Programa!D$29&gt;0,IF(TipoProgramaPersonalTecnico=1,ROUND(Programa!F$29*'a)Plantilla'!$C20,RedondeoPersonalTecnico),IF(TipoProgramaPersonalTecnico=2,ROUND(Programa!D$29*'a)Plantilla'!$C20,RedondeoPersonalTecnico),ROUND(Programa!D$29*Hjor*'a)Plantilla'!$C20,RedondeoPersonalTecnico))),0)</f>
        <v>0</v>
      </c>
      <c r="V47" s="6">
        <f>IF(Programa!D$30&gt;0,IF(TipoProgramaPersonalTecnico=1,ROUND(Programa!F$30*'a)Plantilla'!$C20,RedondeoPersonalTecnico),IF(TipoProgramaPersonalTecnico=2,ROUND(Programa!D$30*'a)Plantilla'!$C20,RedondeoPersonalTecnico),ROUND(Programa!D$30*Hjor*'a)Plantilla'!$C20,RedondeoPersonalTecnico))),0)</f>
        <v>0</v>
      </c>
      <c r="W47" s="6">
        <f>IF(Programa!D$31&gt;0,IF(TipoProgramaPersonalTecnico=1,ROUND(Programa!F$31*'a)Plantilla'!$C20,RedondeoPersonalTecnico),IF(TipoProgramaPersonalTecnico=2,ROUND(Programa!D$31*'a)Plantilla'!$C20,RedondeoPersonalTecnico),ROUND(Programa!D$31*Hjor*'a)Plantilla'!$C20,RedondeoPersonalTecnico))),0)</f>
        <v>0</v>
      </c>
      <c r="X47" s="6">
        <f>IF(Programa!D$32&gt;0,IF(TipoProgramaPersonalTecnico=1,ROUND(Programa!F$32*'a)Plantilla'!$C20,RedondeoPersonalTecnico),IF(TipoProgramaPersonalTecnico=2,ROUND(Programa!D$32*'a)Plantilla'!$C20,RedondeoPersonalTecnico),ROUND(Programa!D$32*Hjor*'a)Plantilla'!$C20,RedondeoPersonalTecnico))),0)</f>
        <v>0</v>
      </c>
      <c r="Y47" s="6">
        <f>IF(Programa!D$33&gt;0,IF(TipoProgramaPersonalTecnico=1,ROUND(Programa!F$33*'a)Plantilla'!$C20,RedondeoPersonalTecnico),IF(TipoProgramaPersonalTecnico=2,ROUND(Programa!D$33*'a)Plantilla'!$C20,RedondeoPersonalTecnico),ROUND(Programa!D$33*Hjor*'a)Plantilla'!$C20,RedondeoPersonalTecnico))),0)</f>
        <v>0</v>
      </c>
      <c r="Z47" s="6">
        <f>IF(Programa!D$34&gt;0,IF(TipoProgramaPersonalTecnico=1,ROUND(Programa!F$34*'a)Plantilla'!$C20,RedondeoPersonalTecnico),IF(TipoProgramaPersonalTecnico=2,ROUND(Programa!D$34*'a)Plantilla'!$C20,RedondeoPersonalTecnico),ROUND(Programa!D$34*Hjor*'a)Plantilla'!$C20,RedondeoPersonalTecnico))),0)</f>
        <v>0</v>
      </c>
      <c r="AA47" s="6">
        <f>IF(Programa!D$35&gt;0,IF(TipoProgramaPersonalTecnico=1,ROUND(Programa!F$35*'a)Plantilla'!$C20,RedondeoPersonalTecnico),IF(TipoProgramaPersonalTecnico=2,ROUND(Programa!D$35*'a)Plantilla'!$C20,RedondeoPersonalTecnico),ROUND(Programa!D$35*Hjor*'a)Plantilla'!$C20,RedondeoPersonalTecnico))),0)</f>
        <v>0</v>
      </c>
      <c r="AB47" s="78">
        <f>IF(Programa!D$36&gt;0,IF(TipoProgramaPersonalTecnico=1,ROUND(Programa!F$36*'a)Plantilla'!$C20,RedondeoPersonalTecnico),IF(TipoProgramaPersonalTecnico=2,ROUND(Programa!D$36*'a)Plantilla'!$C20,RedondeoPersonalTecnico),ROUND(Programa!D$36*Hjor*'a)Plantilla'!$C20,RedondeoPersonalTecnico))),0)</f>
        <v>0</v>
      </c>
      <c r="AC47" s="27">
        <f>IF(Programa!D$37&gt;0,IF(TipoProgramaPersonalTecnico=1,ROUND(Programa!F$37*'a)Plantilla'!$C20,RedondeoPersonalTecnico),IF(TipoProgramaPersonalTecnico=2,ROUND(Programa!D$37*'a)Plantilla'!$C20,RedondeoPersonalTecnico),ROUND(Programa!D$37*Hjor*'a)Plantilla'!$C20,RedondeoPersonalTecnico))),0)</f>
        <v>0</v>
      </c>
      <c r="AD47" s="6">
        <f>IF(Programa!D$38&gt;0,IF(TipoProgramaPersonalTecnico=1,ROUND(Programa!F$38*'a)Plantilla'!$C20,RedondeoPersonalTecnico),IF(TipoProgramaPersonalTecnico=2,ROUND(Programa!D$38*'a)Plantilla'!$C20,RedondeoPersonalTecnico),ROUND(Programa!D$38*Hjor*'a)Plantilla'!$C20,RedondeoPersonalTecnico))),0)</f>
        <v>0</v>
      </c>
      <c r="AE47" s="6">
        <f>IF(Programa!D$39&gt;0,IF(TipoProgramaPersonalTecnico=1,ROUND(Programa!F$39*'a)Plantilla'!$C20,RedondeoPersonalTecnico),IF(TipoProgramaPersonalTecnico=2,ROUND(Programa!D$39*'a)Plantilla'!$C20,RedondeoPersonalTecnico),ROUND(Programa!D$39*Hjor*'a)Plantilla'!$C20,RedondeoPersonalTecnico))),0)</f>
        <v>0</v>
      </c>
      <c r="AF47" s="6">
        <f>IF(Programa!D$40&gt;0,IF(TipoProgramaPersonalTecnico=1,ROUND(Programa!F$40*'a)Plantilla'!$C20,RedondeoPersonalTecnico),IF(TipoProgramaPersonalTecnico=2,ROUND(Programa!D$40*'a)Plantilla'!$C20,RedondeoPersonalTecnico),ROUND(Programa!D$40*Hjor*'a)Plantilla'!$C20,RedondeoPersonalTecnico))),0)</f>
        <v>0</v>
      </c>
      <c r="AG47" s="6">
        <f>IF(Programa!D$41&gt;0,IF(TipoProgramaPersonalTecnico=1,ROUND(Programa!F$41*'a)Plantilla'!$C20,RedondeoPersonalTecnico),IF(TipoProgramaPersonalTecnico=2,ROUND(Programa!D$41*'a)Plantilla'!$C20,RedondeoPersonalTecnico),ROUND(Programa!D$41*Hjor*'a)Plantilla'!$C20,RedondeoPersonalTecnico))),0)</f>
        <v>0</v>
      </c>
      <c r="AH47" s="6">
        <f>IF(Programa!D$42&gt;0,IF(TipoProgramaPersonalTecnico=1,ROUND(Programa!F$42*'a)Plantilla'!$C20,RedondeoPersonalTecnico),IF(TipoProgramaPersonalTecnico=2,ROUND(Programa!D$42*'a)Plantilla'!$C20,RedondeoPersonalTecnico),ROUND(Programa!D$42*Hjor*'a)Plantilla'!$C20,RedondeoPersonalTecnico))),0)</f>
        <v>0</v>
      </c>
      <c r="AI47" s="6">
        <f>IF(Programa!D$43&gt;0,IF(TipoProgramaPersonalTecnico=1,ROUND(Programa!F$43*'a)Plantilla'!$C20,RedondeoPersonalTecnico),IF(TipoProgramaPersonalTecnico=2,ROUND(Programa!D$43*'a)Plantilla'!$C20,RedondeoPersonalTecnico),ROUND(Programa!D$43*Hjor*'a)Plantilla'!$C20,RedondeoPersonalTecnico))),0)</f>
        <v>0</v>
      </c>
      <c r="AJ47" s="6">
        <f>IF(Programa!D$44&gt;0,IF(TipoProgramaPersonalTecnico=1,ROUND(Programa!F$44*'a)Plantilla'!$C20,RedondeoPersonalTecnico),IF(TipoProgramaPersonalTecnico=2,ROUND(Programa!D$44*'a)Plantilla'!$C20,RedondeoPersonalTecnico),ROUND(Programa!D$44*Hjor*'a)Plantilla'!$C20,RedondeoPersonalTecnico))),0)</f>
        <v>0</v>
      </c>
      <c r="AK47" s="6">
        <f>IF(Programa!D$45&gt;0,IF(TipoProgramaPersonalTecnico=1,ROUND(Programa!F$45*'a)Plantilla'!$C20,RedondeoPersonalTecnico),IF(TipoProgramaPersonalTecnico=2,ROUND(Programa!D$45*'a)Plantilla'!$C20,RedondeoPersonalTecnico),ROUND(Programa!D$45*Hjor*'a)Plantilla'!$C20,RedondeoPersonalTecnico))),0)</f>
        <v>0</v>
      </c>
      <c r="AL47" s="6">
        <f>IF(Programa!D$46&gt;0,IF(TipoProgramaPersonalTecnico=1,ROUND(Programa!F$46*'a)Plantilla'!$C20,RedondeoPersonalTecnico),IF(TipoProgramaPersonalTecnico=2,ROUND(Programa!D$46*'a)Plantilla'!$C20,RedondeoPersonalTecnico),ROUND(Programa!D$46*Hjor*'a)Plantilla'!$C20,RedondeoPersonalTecnico))),0)</f>
        <v>0</v>
      </c>
      <c r="AM47" s="6">
        <f>IF(Programa!D$47&gt;0,IF(TipoProgramaPersonalTecnico=1,ROUND(Programa!F$47*'a)Plantilla'!$C20,RedondeoPersonalTecnico),IF(TipoProgramaPersonalTecnico=2,ROUND(Programa!D$47*'a)Plantilla'!$C20,RedondeoPersonalTecnico),ROUND(Programa!D$47*Hjor*'a)Plantilla'!$C20,RedondeoPersonalTecnico))),0)</f>
        <v>0</v>
      </c>
      <c r="AN47" s="78">
        <f>IF(Programa!D$48&gt;0,IF(TipoProgramaPersonalTecnico=1,ROUND(Programa!F$48*'a)Plantilla'!$C20,RedondeoPersonalTecnico),IF(TipoProgramaPersonalTecnico=2,ROUND(Programa!D$48*'a)Plantilla'!$C20,RedondeoPersonalTecnico),ROUND(Programa!D$48*Hjor*'a)Plantilla'!$C20,RedondeoPersonalTecnico))),0)</f>
        <v>0</v>
      </c>
      <c r="AO47" s="27">
        <f>IF(Programa!D$49&gt;0,IF(TipoProgramaPersonalTecnico=1,ROUND(Programa!F$49*'a)Plantilla'!$C20,RedondeoPersonalTecnico),IF(TipoProgramaPersonalTecnico=2,ROUND(Programa!D$49*'a)Plantilla'!$C20,RedondeoPersonalTecnico),ROUND(Programa!D$49*Hjor*'a)Plantilla'!$C20,RedondeoPersonalTecnico))),0)</f>
        <v>0</v>
      </c>
      <c r="AP47" s="6">
        <f>IF(Programa!D$50&gt;0,IF(TipoProgramaPersonalTecnico=1,ROUND(Programa!F$50*'a)Plantilla'!$C20,RedondeoPersonalTecnico),IF(TipoProgramaPersonalTecnico=2,ROUND(Programa!D$50*'a)Plantilla'!$C20,RedondeoPersonalTecnico),ROUND(Programa!D$50*Hjor*'a)Plantilla'!$C20,RedondeoPersonalTecnico))),0)</f>
        <v>0</v>
      </c>
      <c r="AQ47" s="6">
        <f>IF(Programa!D$51&gt;0,IF(TipoProgramaPersonalTecnico=1,ROUND(Programa!F$51*'a)Plantilla'!$C20,RedondeoPersonalTecnico),IF(TipoProgramaPersonalTecnico=2,ROUND(Programa!D$51*'a)Plantilla'!$C20,RedondeoPersonalTecnico),ROUND(Programa!D$51*Hjor*'a)Plantilla'!$C20,RedondeoPersonalTecnico))),0)</f>
        <v>0</v>
      </c>
      <c r="AR47" s="6">
        <f>IF(Programa!D$52&gt;0,IF(TipoProgramaPersonalTecnico=1,ROUND(Programa!F$52*'a)Plantilla'!$C20,RedondeoPersonalTecnico),IF(TipoProgramaPersonalTecnico=2,ROUND(Programa!D$52*'a)Plantilla'!$C20,RedondeoPersonalTecnico),ROUND(Programa!D$52*Hjor*'a)Plantilla'!$C20,RedondeoPersonalTecnico))),0)</f>
        <v>0</v>
      </c>
      <c r="AS47" s="6">
        <f>IF(Programa!D$53&gt;0,IF(TipoProgramaPersonalTecnico=1,ROUND(Programa!F$53*'a)Plantilla'!$C20,RedondeoPersonalTecnico),IF(TipoProgramaPersonalTecnico=2,ROUND(Programa!D$53*'a)Plantilla'!$C20,RedondeoPersonalTecnico),ROUND(Programa!D$53*Hjor*'a)Plantilla'!$C20,RedondeoPersonalTecnico))),0)</f>
        <v>0</v>
      </c>
      <c r="AT47" s="6">
        <f>IF(Programa!D$54&gt;0,IF(TipoProgramaPersonalTecnico=1,ROUND(Programa!F$54*'a)Plantilla'!$C20,RedondeoPersonalTecnico),IF(TipoProgramaPersonalTecnico=2,ROUND(Programa!D$54*'a)Plantilla'!$C20,RedondeoPersonalTecnico),ROUND(Programa!D$54*Hjor*'a)Plantilla'!$C20,RedondeoPersonalTecnico))),0)</f>
        <v>0</v>
      </c>
      <c r="AU47" s="6">
        <f>IF(Programa!D$55&gt;0,IF(TipoProgramaPersonalTecnico=1,ROUND(Programa!F$55*'a)Plantilla'!$C20,RedondeoPersonalTecnico),IF(TipoProgramaPersonalTecnico=2,ROUND(Programa!D$55*'a)Plantilla'!$C20,RedondeoPersonalTecnico),ROUND(Programa!D$55*Hjor*'a)Plantilla'!$C20,RedondeoPersonalTecnico))),0)</f>
        <v>0</v>
      </c>
      <c r="AV47" s="6">
        <f>IF(Programa!D$56&gt;0,IF(TipoProgramaPersonalTecnico=1,ROUND(Programa!F$56*'a)Plantilla'!$C20,RedondeoPersonalTecnico),IF(TipoProgramaPersonalTecnico=2,ROUND(Programa!D$56*'a)Plantilla'!$C20,RedondeoPersonalTecnico),ROUND(Programa!D$56*Hjor*'a)Plantilla'!$C20,RedondeoPersonalTecnico))),0)</f>
        <v>0</v>
      </c>
      <c r="AW47" s="6">
        <f>IF(Programa!D$57&gt;0,IF(TipoProgramaPersonalTecnico=1,ROUND(Programa!F$57*'a)Plantilla'!$C20,RedondeoPersonalTecnico),IF(TipoProgramaPersonalTecnico=2,ROUND(Programa!D$57*'a)Plantilla'!$C20,RedondeoPersonalTecnico),ROUND(Programa!D$57*Hjor*'a)Plantilla'!$C20,RedondeoPersonalTecnico))),0)</f>
        <v>0</v>
      </c>
      <c r="AX47" s="6">
        <f>IF(Programa!D$58&gt;0,IF(TipoProgramaPersonalTecnico=1,ROUND(Programa!F$58*'a)Plantilla'!$C20,RedondeoPersonalTecnico),IF(TipoProgramaPersonalTecnico=2,ROUND(Programa!D$58*'a)Plantilla'!$C20,RedondeoPersonalTecnico),ROUND(Programa!D$58*Hjor*'a)Plantilla'!$C20,RedondeoPersonalTecnico))),0)</f>
        <v>0</v>
      </c>
      <c r="AY47" s="6">
        <f>IF(Programa!D$59&gt;0,IF(TipoProgramaPersonalTecnico=1,ROUND(Programa!F$59*'a)Plantilla'!$C20,RedondeoPersonalTecnico),IF(TipoProgramaPersonalTecnico=2,ROUND(Programa!D$59*'a)Plantilla'!$C20,RedondeoPersonalTecnico),ROUND(Programa!D$59*Hjor*'a)Plantilla'!$C20,RedondeoPersonalTecnico))),0)</f>
        <v>0</v>
      </c>
      <c r="AZ47" s="6">
        <f>IF(Programa!D$60&gt;0,IF(TipoProgramaPersonalTecnico=1,ROUND(Programa!F$60*'a)Plantilla'!$C20,RedondeoPersonalTecnico),IF(TipoProgramaPersonalTecnico=2,ROUND(Programa!D$60*'a)Plantilla'!$C20,RedondeoPersonalTecnico),ROUND(Programa!D$60*Hjor*'a)Plantilla'!$C20,RedondeoPersonalTecnico))),0)</f>
        <v>0</v>
      </c>
      <c r="BA47" s="6">
        <f>IF(Programa!D$61&gt;0,IF(TipoProgramaPersonalTecnico=1,ROUND(Programa!F$61*'a)Plantilla'!$C20,RedondeoPersonalTecnico),IF(TipoProgramaPersonalTecnico=2,ROUND(Programa!D$61*'a)Plantilla'!$C20,RedondeoPersonalTecnico),ROUND(Programa!D$61*Hjor*'a)Plantilla'!$C20,RedondeoPersonalTecnico))),0)</f>
        <v>0</v>
      </c>
      <c r="BB47" s="6">
        <f>IF(Programa!D$62&gt;0,IF(TipoProgramaPersonalTecnico=1,ROUND(Programa!F$62*'a)Plantilla'!$C20,RedondeoPersonalTecnico),IF(TipoProgramaPersonalTecnico=2,ROUND(Programa!D$62*'a)Plantilla'!$C20,RedondeoPersonalTecnico),ROUND(Programa!D$62*Hjor*'a)Plantilla'!$C20,RedondeoPersonalTecnico))),0)</f>
        <v>0</v>
      </c>
      <c r="BC47" s="6">
        <f>IF(Programa!D$63&gt;0,IF(TipoProgramaPersonalTecnico=1,ROUND(Programa!F$63*'a)Plantilla'!$C20,RedondeoPersonalTecnico),IF(TipoProgramaPersonalTecnico=2,ROUND(Programa!D$63*'a)Plantilla'!$C20,RedondeoPersonalTecnico),ROUND(Programa!D$63*Hjor*'a)Plantilla'!$C20,RedondeoPersonalTecnico))),0)</f>
        <v>0</v>
      </c>
      <c r="BD47" s="6">
        <f>IF(Programa!D$64&gt;0,IF(TipoProgramaPersonalTecnico=1,ROUND(Programa!F$64*'a)Plantilla'!$C20,RedondeoPersonalTecnico),IF(TipoProgramaPersonalTecnico=2,ROUND(Programa!D$64*'a)Plantilla'!$C20,RedondeoPersonalTecnico),ROUND(Programa!D$64*Hjor*'a)Plantilla'!$C20,RedondeoPersonalTecnico))),0)</f>
        <v>0</v>
      </c>
      <c r="BE47" s="6">
        <f>IF(Programa!D$65&gt;0,IF(TipoProgramaPersonalTecnico=1,ROUND(Programa!F$65*'a)Plantilla'!$C20,RedondeoPersonalTecnico),IF(TipoProgramaPersonalTecnico=2,ROUND(Programa!D$65*'a)Plantilla'!$C20,RedondeoPersonalTecnico),ROUND(Programa!D$65*Hjor*'a)Plantilla'!$C20,RedondeoPersonalTecnico))),0)</f>
        <v>0</v>
      </c>
      <c r="BF47" s="6">
        <f>IF(Programa!D$66&gt;0,IF(TipoProgramaPersonalTecnico=1,ROUND(Programa!F$66*'a)Plantilla'!$C20,RedondeoPersonalTecnico),IF(TipoProgramaPersonalTecnico=2,ROUND(Programa!D$66*'a)Plantilla'!$C20,RedondeoPersonalTecnico),ROUND(Programa!D$66*Hjor*'a)Plantilla'!$C20,RedondeoPersonalTecnico))),0)</f>
        <v>0</v>
      </c>
      <c r="BG47" s="6">
        <f>IF(Programa!D$67&gt;0,IF(TipoProgramaPersonalTecnico=1,ROUND(Programa!F$67*'a)Plantilla'!$C20,RedondeoPersonalTecnico),IF(TipoProgramaPersonalTecnico=2,ROUND(Programa!D$67*'a)Plantilla'!$C20,RedondeoPersonalTecnico),ROUND(Programa!D$67*Hjor*'a)Plantilla'!$C20,RedondeoPersonalTecnico))),0)</f>
        <v>0</v>
      </c>
      <c r="BH47" s="6">
        <f>IF(Programa!D$68&gt;0,IF(TipoProgramaPersonalTecnico=1,ROUND(Programa!F$68*'a)Plantilla'!$C20,RedondeoPersonalTecnico),IF(TipoProgramaPersonalTecnico=2,ROUND(Programa!D$68*'a)Plantilla'!$C20,RedondeoPersonalTecnico),ROUND(Programa!D$68*Hjor*'a)Plantilla'!$C20,RedondeoPersonalTecnico))),0)</f>
        <v>0</v>
      </c>
      <c r="BI47" s="6">
        <f>IF(Programa!D$69&gt;0,IF(TipoProgramaPersonalTecnico=1,ROUND(Programa!F$69*'a)Plantilla'!$C20,RedondeoPersonalTecnico),IF(TipoProgramaPersonalTecnico=2,ROUND(Programa!D$69*'a)Plantilla'!$C20,RedondeoPersonalTecnico),ROUND(Programa!D$69*Hjor*'a)Plantilla'!$C20,RedondeoPersonalTecnico))),0)</f>
        <v>0</v>
      </c>
      <c r="BJ47" s="6">
        <f>IF(Programa!D$70&gt;0,IF(TipoProgramaPersonalTecnico=1,ROUND(Programa!F$70*'a)Plantilla'!$C20,RedondeoPersonalTecnico),IF(TipoProgramaPersonalTecnico=2,ROUND(Programa!D$70*'a)Plantilla'!$C20,RedondeoPersonalTecnico),ROUND(Programa!D$70*Hjor*'a)Plantilla'!$C20,RedondeoPersonalTecnico))),0)</f>
        <v>0</v>
      </c>
      <c r="BK47" s="6">
        <f>IF(Programa!D$71&gt;0,IF(TipoProgramaPersonalTecnico=1,ROUND(Programa!F$71*'a)Plantilla'!$C20,RedondeoPersonalTecnico),IF(TipoProgramaPersonalTecnico=2,ROUND(Programa!D$71*'a)Plantilla'!$C20,RedondeoPersonalTecnico),ROUND(Programa!D$71*Hjor*'a)Plantilla'!$C20,RedondeoPersonalTecnico))),0)</f>
        <v>0</v>
      </c>
      <c r="BL47" s="78">
        <f>IF(Programa!D$72&gt;0,IF(TipoProgramaPersonalTecnico=1,ROUND(Programa!F$72*'a)Plantilla'!$C20,RedondeoPersonalTecnico),IF(TipoProgramaPersonalTecnico=2,ROUND(Programa!D$72*'a)Plantilla'!$C20,RedondeoPersonalTecnico),ROUND(Programa!D$72*Hjor*'a)Plantilla'!$C20,RedondeoPersonalTecnico))),0)</f>
        <v>0</v>
      </c>
    </row>
    <row r="48" spans="1:64" ht="8.1" customHeight="1">
      <c r="A48" s="67"/>
      <c r="B48" s="46"/>
      <c r="C48" s="31"/>
      <c r="D48" s="22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78"/>
      <c r="Q48" s="27"/>
      <c r="R48" s="6"/>
      <c r="S48" s="6"/>
      <c r="T48" s="6"/>
      <c r="U48" s="6"/>
      <c r="V48" s="6"/>
      <c r="W48" s="6"/>
      <c r="X48" s="6"/>
      <c r="Y48" s="6"/>
      <c r="Z48" s="6"/>
      <c r="AA48" s="6"/>
      <c r="AB48" s="78"/>
      <c r="AC48" s="27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78"/>
      <c r="AO48" s="27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78"/>
    </row>
    <row r="49" spans="1:64" ht="11.25" customHeight="1">
      <c r="A49" s="67"/>
      <c r="B49" s="46" t="str">
        <f>IF('a)Plantilla'!C21&gt;0,'a)Plantilla'!B21,"")</f>
        <v/>
      </c>
      <c r="C49" s="17" t="str">
        <f>IF('a)Plantilla'!C$21&gt;0,IF(TipoProgramaPersonalTecnico=1,"Personas",IF(TipoProgramaPersonalTecnico=2,"Jornal","horas-Hombre")),"")</f>
        <v/>
      </c>
      <c r="D49" s="226">
        <f>ROUND(SUM(E49:BL49),RedondeoPersonalTecnico)</f>
        <v>0</v>
      </c>
      <c r="E49" s="6">
        <f>IF(Programa!D$13&gt;0,IF(TipoProgramaPersonalTecnico=1,ROUND(Programa!F$13*'a)Plantilla'!$C21,RedondeoPersonalTecnico),IF(TipoProgramaPersonalTecnico=2,ROUND(Programa!D$13*'a)Plantilla'!$C21,RedondeoPersonalTecnico),ROUND(Programa!D$13*Hjor*'a)Plantilla'!$C21,RedondeoPersonalTecnico))),0)</f>
        <v>0</v>
      </c>
      <c r="F49" s="6">
        <f>IF(Programa!D$14&gt;0,IF(TipoProgramaPersonalTecnico=1,ROUND(Programa!F$14*'a)Plantilla'!$C21,RedondeoPersonalTecnico),IF(TipoProgramaPersonalTecnico=2,ROUND(Programa!D$14*'a)Plantilla'!$C21,RedondeoPersonalTecnico),ROUND(Programa!D$14*Hjor*'a)Plantilla'!$C21,RedondeoPersonalTecnico))),0)</f>
        <v>0</v>
      </c>
      <c r="G49" s="6">
        <f>IF(Programa!D$15&gt;0,IF(TipoProgramaPersonalTecnico=1,ROUND(Programa!F$15*'a)Plantilla'!$C21,RedondeoPersonalTecnico),IF(TipoProgramaPersonalTecnico=2,ROUND(Programa!D$15*'a)Plantilla'!$C21,RedondeoPersonalTecnico),ROUND(Programa!D$15*Hjor*'a)Plantilla'!$C21,RedondeoPersonalTecnico))),0)</f>
        <v>0</v>
      </c>
      <c r="H49" s="6">
        <f>IF(Programa!D$16&gt;0,IF(TipoProgramaPersonalTecnico=1,ROUND(Programa!F$16*'a)Plantilla'!$C21,RedondeoPersonalTecnico),IF(TipoProgramaPersonalTecnico=2,ROUND(Programa!D$16*'a)Plantilla'!$C21,RedondeoPersonalTecnico),ROUND(Programa!D$16*Hjor*'a)Plantilla'!$C21,RedondeoPersonalTecnico))),0)</f>
        <v>0</v>
      </c>
      <c r="I49" s="6">
        <f>IF(Programa!D$17&gt;0,IF(TipoProgramaPersonalTecnico=1,ROUND(Programa!F$17*'a)Plantilla'!$C21,RedondeoPersonalTecnico),IF(TipoProgramaPersonalTecnico=2,ROUND(Programa!D$17*'a)Plantilla'!$C21,RedondeoPersonalTecnico),ROUND(Programa!D$17*Hjor*'a)Plantilla'!$C21,RedondeoPersonalTecnico))),0)</f>
        <v>0</v>
      </c>
      <c r="J49" s="6">
        <f>IF(Programa!D$18&gt;0,IF(TipoProgramaPersonalTecnico=1,ROUND(Programa!F$18*'a)Plantilla'!$C21,RedondeoPersonalTecnico),IF(TipoProgramaPersonalTecnico=2,ROUND(Programa!D$18*'a)Plantilla'!$C21,RedondeoPersonalTecnico),ROUND(Programa!D$18*Hjor*'a)Plantilla'!$C21,RedondeoPersonalTecnico))),0)</f>
        <v>0</v>
      </c>
      <c r="K49" s="6">
        <f>IF(Programa!D$19&gt;0,IF(TipoProgramaPersonalTecnico=1,ROUND(Programa!F$19*'a)Plantilla'!$C21,RedondeoPersonalTecnico),IF(TipoProgramaPersonalTecnico=2,ROUND(Programa!D$19*'a)Plantilla'!$C21,RedondeoPersonalTecnico),ROUND(Programa!D$19*Hjor*'a)Plantilla'!$C21,RedondeoPersonalTecnico))),0)</f>
        <v>0</v>
      </c>
      <c r="L49" s="6">
        <f>IF(Programa!D$20&gt;0,IF(TipoProgramaPersonalTecnico=1,ROUND(Programa!F$20*'a)Plantilla'!$C21,RedondeoPersonalTecnico),IF(TipoProgramaPersonalTecnico=2,ROUND(Programa!D$20*'a)Plantilla'!$C21,RedondeoPersonalTecnico),ROUND(Programa!D$20*Hjor*'a)Plantilla'!$C21,RedondeoPersonalTecnico))),0)</f>
        <v>0</v>
      </c>
      <c r="M49" s="6">
        <f>IF(Programa!D$21&gt;0,IF(TipoProgramaPersonalTecnico=1,ROUND(Programa!F$21*'a)Plantilla'!$C21,RedondeoPersonalTecnico),IF(TipoProgramaPersonalTecnico=2,ROUND(Programa!D$21*'a)Plantilla'!$C21,RedondeoPersonalTecnico),ROUND(Programa!D$21*Hjor*'a)Plantilla'!$C21,RedondeoPersonalTecnico))),0)</f>
        <v>0</v>
      </c>
      <c r="N49" s="6">
        <f>IF(Programa!D$22&gt;0,IF(TipoProgramaPersonalTecnico=1,ROUND(Programa!F$22*'a)Plantilla'!$C21,RedondeoPersonalTecnico),IF(TipoProgramaPersonalTecnico=2,ROUND(Programa!D$22*'a)Plantilla'!$C21,RedondeoPersonalTecnico),ROUND(Programa!D$22*Hjor*'a)Plantilla'!$C21,RedondeoPersonalTecnico))),0)</f>
        <v>0</v>
      </c>
      <c r="O49" s="6">
        <f>IF(Programa!D$23&gt;0,IF(TipoProgramaPersonalTecnico=1,ROUND(Programa!F$23*'a)Plantilla'!$C21,RedondeoPersonalTecnico),IF(TipoProgramaPersonalTecnico=2,ROUND(Programa!D$23*'a)Plantilla'!$C21,RedondeoPersonalTecnico),ROUND(Programa!D$23*Hjor*'a)Plantilla'!$C21,RedondeoPersonalTecnico))),0)</f>
        <v>0</v>
      </c>
      <c r="P49" s="78">
        <f>IF(Programa!D$24&gt;0,IF(TipoProgramaPersonalTecnico=1,ROUND(Programa!F$24*'a)Plantilla'!$C21,RedondeoPersonalTecnico),IF(TipoProgramaPersonalTecnico=2,ROUND(Programa!D$24*'a)Plantilla'!$C21,RedondeoPersonalTecnico),ROUND(Programa!D$24*Hjor*'a)Plantilla'!$C21,RedondeoPersonalTecnico))),0)</f>
        <v>0</v>
      </c>
      <c r="Q49" s="27">
        <f>IF(Programa!D$25&gt;0,IF(TipoProgramaPersonalTecnico=1,ROUND(Programa!F$25*'a)Plantilla'!$C21,RedondeoPersonalTecnico),IF(TipoProgramaPersonalTecnico=2,ROUND(Programa!D$25*'a)Plantilla'!$C21,RedondeoPersonalTecnico),ROUND(Programa!D$25*Hjor*'a)Plantilla'!$C21,RedondeoPersonalTecnico))),0)</f>
        <v>0</v>
      </c>
      <c r="R49" s="6">
        <f>IF(Programa!D$26&gt;0,IF(TipoProgramaPersonalTecnico=1,ROUND(Programa!F$26*'a)Plantilla'!$C21,RedondeoPersonalTecnico),IF(TipoProgramaPersonalTecnico=2,ROUND(Programa!D$26*'a)Plantilla'!$C21,RedondeoPersonalTecnico),ROUND(Programa!D$26*Hjor*'a)Plantilla'!$C21,RedondeoPersonalTecnico))),0)</f>
        <v>0</v>
      </c>
      <c r="S49" s="6">
        <f>IF(Programa!D$27&gt;0,IF(TipoProgramaPersonalTecnico=1,ROUND(Programa!F$27*'a)Plantilla'!$C21,RedondeoPersonalTecnico),IF(TipoProgramaPersonalTecnico=2,ROUND(Programa!D$27*'a)Plantilla'!$C21,RedondeoPersonalTecnico),ROUND(Programa!D$27*Hjor*'a)Plantilla'!$C21,RedondeoPersonalTecnico))),0)</f>
        <v>0</v>
      </c>
      <c r="T49" s="6">
        <f>IF(Programa!D$28&gt;0,IF(TipoProgramaPersonalTecnico=1,ROUND(Programa!F$28*'a)Plantilla'!$C21,RedondeoPersonalTecnico),IF(TipoProgramaPersonalTecnico=2,ROUND(Programa!D$28*'a)Plantilla'!$C21,RedondeoPersonalTecnico),ROUND(Programa!D$28*Hjor*'a)Plantilla'!$C21,RedondeoPersonalTecnico))),0)</f>
        <v>0</v>
      </c>
      <c r="U49" s="6">
        <f>IF(Programa!D$29&gt;0,IF(TipoProgramaPersonalTecnico=1,ROUND(Programa!F$29*'a)Plantilla'!$C21,RedondeoPersonalTecnico),IF(TipoProgramaPersonalTecnico=2,ROUND(Programa!D$29*'a)Plantilla'!$C21,RedondeoPersonalTecnico),ROUND(Programa!D$29*Hjor*'a)Plantilla'!$C21,RedondeoPersonalTecnico))),0)</f>
        <v>0</v>
      </c>
      <c r="V49" s="6">
        <f>IF(Programa!D$30&gt;0,IF(TipoProgramaPersonalTecnico=1,ROUND(Programa!F$30*'a)Plantilla'!$C21,RedondeoPersonalTecnico),IF(TipoProgramaPersonalTecnico=2,ROUND(Programa!D$30*'a)Plantilla'!$C21,RedondeoPersonalTecnico),ROUND(Programa!D$30*Hjor*'a)Plantilla'!$C21,RedondeoPersonalTecnico))),0)</f>
        <v>0</v>
      </c>
      <c r="W49" s="6">
        <f>IF(Programa!D$31&gt;0,IF(TipoProgramaPersonalTecnico=1,ROUND(Programa!F$31*'a)Plantilla'!$C21,RedondeoPersonalTecnico),IF(TipoProgramaPersonalTecnico=2,ROUND(Programa!D$31*'a)Plantilla'!$C21,RedondeoPersonalTecnico),ROUND(Programa!D$31*Hjor*'a)Plantilla'!$C21,RedondeoPersonalTecnico))),0)</f>
        <v>0</v>
      </c>
      <c r="X49" s="6">
        <f>IF(Programa!D$32&gt;0,IF(TipoProgramaPersonalTecnico=1,ROUND(Programa!F$32*'a)Plantilla'!$C21,RedondeoPersonalTecnico),IF(TipoProgramaPersonalTecnico=2,ROUND(Programa!D$32*'a)Plantilla'!$C21,RedondeoPersonalTecnico),ROUND(Programa!D$32*Hjor*'a)Plantilla'!$C21,RedondeoPersonalTecnico))),0)</f>
        <v>0</v>
      </c>
      <c r="Y49" s="6">
        <f>IF(Programa!D$33&gt;0,IF(TipoProgramaPersonalTecnico=1,ROUND(Programa!F$33*'a)Plantilla'!$C21,RedondeoPersonalTecnico),IF(TipoProgramaPersonalTecnico=2,ROUND(Programa!D$33*'a)Plantilla'!$C21,RedondeoPersonalTecnico),ROUND(Programa!D$33*Hjor*'a)Plantilla'!$C21,RedondeoPersonalTecnico))),0)</f>
        <v>0</v>
      </c>
      <c r="Z49" s="6">
        <f>IF(Programa!D$34&gt;0,IF(TipoProgramaPersonalTecnico=1,ROUND(Programa!F$34*'a)Plantilla'!$C21,RedondeoPersonalTecnico),IF(TipoProgramaPersonalTecnico=2,ROUND(Programa!D$34*'a)Plantilla'!$C21,RedondeoPersonalTecnico),ROUND(Programa!D$34*Hjor*'a)Plantilla'!$C21,RedondeoPersonalTecnico))),0)</f>
        <v>0</v>
      </c>
      <c r="AA49" s="6">
        <f>IF(Programa!D$35&gt;0,IF(TipoProgramaPersonalTecnico=1,ROUND(Programa!F$35*'a)Plantilla'!$C21,RedondeoPersonalTecnico),IF(TipoProgramaPersonalTecnico=2,ROUND(Programa!D$35*'a)Plantilla'!$C21,RedondeoPersonalTecnico),ROUND(Programa!D$35*Hjor*'a)Plantilla'!$C21,RedondeoPersonalTecnico))),0)</f>
        <v>0</v>
      </c>
      <c r="AB49" s="78">
        <f>IF(Programa!D$36&gt;0,IF(TipoProgramaPersonalTecnico=1,ROUND(Programa!F$36*'a)Plantilla'!$C21,RedondeoPersonalTecnico),IF(TipoProgramaPersonalTecnico=2,ROUND(Programa!D$36*'a)Plantilla'!$C21,RedondeoPersonalTecnico),ROUND(Programa!D$36*Hjor*'a)Plantilla'!$C21,RedondeoPersonalTecnico))),0)</f>
        <v>0</v>
      </c>
      <c r="AC49" s="27">
        <f>IF(Programa!D$37&gt;0,IF(TipoProgramaPersonalTecnico=1,ROUND(Programa!F$37*'a)Plantilla'!$C21,RedondeoPersonalTecnico),IF(TipoProgramaPersonalTecnico=2,ROUND(Programa!D$37*'a)Plantilla'!$C21,RedondeoPersonalTecnico),ROUND(Programa!D$37*Hjor*'a)Plantilla'!$C21,RedondeoPersonalTecnico))),0)</f>
        <v>0</v>
      </c>
      <c r="AD49" s="6">
        <f>IF(Programa!D$38&gt;0,IF(TipoProgramaPersonalTecnico=1,ROUND(Programa!F$38*'a)Plantilla'!$C21,RedondeoPersonalTecnico),IF(TipoProgramaPersonalTecnico=2,ROUND(Programa!D$38*'a)Plantilla'!$C21,RedondeoPersonalTecnico),ROUND(Programa!D$38*Hjor*'a)Plantilla'!$C21,RedondeoPersonalTecnico))),0)</f>
        <v>0</v>
      </c>
      <c r="AE49" s="6">
        <f>IF(Programa!D$39&gt;0,IF(TipoProgramaPersonalTecnico=1,ROUND(Programa!F$39*'a)Plantilla'!$C21,RedondeoPersonalTecnico),IF(TipoProgramaPersonalTecnico=2,ROUND(Programa!D$39*'a)Plantilla'!$C21,RedondeoPersonalTecnico),ROUND(Programa!D$39*Hjor*'a)Plantilla'!$C21,RedondeoPersonalTecnico))),0)</f>
        <v>0</v>
      </c>
      <c r="AF49" s="6">
        <f>IF(Programa!D$40&gt;0,IF(TipoProgramaPersonalTecnico=1,ROUND(Programa!F$40*'a)Plantilla'!$C21,RedondeoPersonalTecnico),IF(TipoProgramaPersonalTecnico=2,ROUND(Programa!D$40*'a)Plantilla'!$C21,RedondeoPersonalTecnico),ROUND(Programa!D$40*Hjor*'a)Plantilla'!$C21,RedondeoPersonalTecnico))),0)</f>
        <v>0</v>
      </c>
      <c r="AG49" s="6">
        <f>IF(Programa!D$41&gt;0,IF(TipoProgramaPersonalTecnico=1,ROUND(Programa!F$41*'a)Plantilla'!$C21,RedondeoPersonalTecnico),IF(TipoProgramaPersonalTecnico=2,ROUND(Programa!D$41*'a)Plantilla'!$C21,RedondeoPersonalTecnico),ROUND(Programa!D$41*Hjor*'a)Plantilla'!$C21,RedondeoPersonalTecnico))),0)</f>
        <v>0</v>
      </c>
      <c r="AH49" s="6">
        <f>IF(Programa!D$42&gt;0,IF(TipoProgramaPersonalTecnico=1,ROUND(Programa!F$42*'a)Plantilla'!$C21,RedondeoPersonalTecnico),IF(TipoProgramaPersonalTecnico=2,ROUND(Programa!D$42*'a)Plantilla'!$C21,RedondeoPersonalTecnico),ROUND(Programa!D$42*Hjor*'a)Plantilla'!$C21,RedondeoPersonalTecnico))),0)</f>
        <v>0</v>
      </c>
      <c r="AI49" s="6">
        <f>IF(Programa!D$43&gt;0,IF(TipoProgramaPersonalTecnico=1,ROUND(Programa!F$43*'a)Plantilla'!$C21,RedondeoPersonalTecnico),IF(TipoProgramaPersonalTecnico=2,ROUND(Programa!D$43*'a)Plantilla'!$C21,RedondeoPersonalTecnico),ROUND(Programa!D$43*Hjor*'a)Plantilla'!$C21,RedondeoPersonalTecnico))),0)</f>
        <v>0</v>
      </c>
      <c r="AJ49" s="6">
        <f>IF(Programa!D$44&gt;0,IF(TipoProgramaPersonalTecnico=1,ROUND(Programa!F$44*'a)Plantilla'!$C21,RedondeoPersonalTecnico),IF(TipoProgramaPersonalTecnico=2,ROUND(Programa!D$44*'a)Plantilla'!$C21,RedondeoPersonalTecnico),ROUND(Programa!D$44*Hjor*'a)Plantilla'!$C21,RedondeoPersonalTecnico))),0)</f>
        <v>0</v>
      </c>
      <c r="AK49" s="6">
        <f>IF(Programa!D$45&gt;0,IF(TipoProgramaPersonalTecnico=1,ROUND(Programa!F$45*'a)Plantilla'!$C21,RedondeoPersonalTecnico),IF(TipoProgramaPersonalTecnico=2,ROUND(Programa!D$45*'a)Plantilla'!$C21,RedondeoPersonalTecnico),ROUND(Programa!D$45*Hjor*'a)Plantilla'!$C21,RedondeoPersonalTecnico))),0)</f>
        <v>0</v>
      </c>
      <c r="AL49" s="6">
        <f>IF(Programa!D$46&gt;0,IF(TipoProgramaPersonalTecnico=1,ROUND(Programa!F$46*'a)Plantilla'!$C21,RedondeoPersonalTecnico),IF(TipoProgramaPersonalTecnico=2,ROUND(Programa!D$46*'a)Plantilla'!$C21,RedondeoPersonalTecnico),ROUND(Programa!D$46*Hjor*'a)Plantilla'!$C21,RedondeoPersonalTecnico))),0)</f>
        <v>0</v>
      </c>
      <c r="AM49" s="6">
        <f>IF(Programa!D$47&gt;0,IF(TipoProgramaPersonalTecnico=1,ROUND(Programa!F$47*'a)Plantilla'!$C21,RedondeoPersonalTecnico),IF(TipoProgramaPersonalTecnico=2,ROUND(Programa!D$47*'a)Plantilla'!$C21,RedondeoPersonalTecnico),ROUND(Programa!D$47*Hjor*'a)Plantilla'!$C21,RedondeoPersonalTecnico))),0)</f>
        <v>0</v>
      </c>
      <c r="AN49" s="78">
        <f>IF(Programa!D$48&gt;0,IF(TipoProgramaPersonalTecnico=1,ROUND(Programa!F$48*'a)Plantilla'!$C21,RedondeoPersonalTecnico),IF(TipoProgramaPersonalTecnico=2,ROUND(Programa!D$48*'a)Plantilla'!$C21,RedondeoPersonalTecnico),ROUND(Programa!D$48*Hjor*'a)Plantilla'!$C21,RedondeoPersonalTecnico))),0)</f>
        <v>0</v>
      </c>
      <c r="AO49" s="27">
        <f>IF(Programa!D$49&gt;0,IF(TipoProgramaPersonalTecnico=1,ROUND(Programa!F$49*'a)Plantilla'!$C21,RedondeoPersonalTecnico),IF(TipoProgramaPersonalTecnico=2,ROUND(Programa!D$49*'a)Plantilla'!$C21,RedondeoPersonalTecnico),ROUND(Programa!D$49*Hjor*'a)Plantilla'!$C21,RedondeoPersonalTecnico))),0)</f>
        <v>0</v>
      </c>
      <c r="AP49" s="6">
        <f>IF(Programa!D$50&gt;0,IF(TipoProgramaPersonalTecnico=1,ROUND(Programa!F$50*'a)Plantilla'!$C21,RedondeoPersonalTecnico),IF(TipoProgramaPersonalTecnico=2,ROUND(Programa!D$50*'a)Plantilla'!$C21,RedondeoPersonalTecnico),ROUND(Programa!D$50*Hjor*'a)Plantilla'!$C21,RedondeoPersonalTecnico))),0)</f>
        <v>0</v>
      </c>
      <c r="AQ49" s="6">
        <f>IF(Programa!D$51&gt;0,IF(TipoProgramaPersonalTecnico=1,ROUND(Programa!F$51*'a)Plantilla'!$C21,RedondeoPersonalTecnico),IF(TipoProgramaPersonalTecnico=2,ROUND(Programa!D$51*'a)Plantilla'!$C21,RedondeoPersonalTecnico),ROUND(Programa!D$51*Hjor*'a)Plantilla'!$C21,RedondeoPersonalTecnico))),0)</f>
        <v>0</v>
      </c>
      <c r="AR49" s="6">
        <f>IF(Programa!D$52&gt;0,IF(TipoProgramaPersonalTecnico=1,ROUND(Programa!F$52*'a)Plantilla'!$C21,RedondeoPersonalTecnico),IF(TipoProgramaPersonalTecnico=2,ROUND(Programa!D$52*'a)Plantilla'!$C21,RedondeoPersonalTecnico),ROUND(Programa!D$52*Hjor*'a)Plantilla'!$C21,RedondeoPersonalTecnico))),0)</f>
        <v>0</v>
      </c>
      <c r="AS49" s="6">
        <f>IF(Programa!D$53&gt;0,IF(TipoProgramaPersonalTecnico=1,ROUND(Programa!F$53*'a)Plantilla'!$C21,RedondeoPersonalTecnico),IF(TipoProgramaPersonalTecnico=2,ROUND(Programa!D$53*'a)Plantilla'!$C21,RedondeoPersonalTecnico),ROUND(Programa!D$53*Hjor*'a)Plantilla'!$C21,RedondeoPersonalTecnico))),0)</f>
        <v>0</v>
      </c>
      <c r="AT49" s="6">
        <f>IF(Programa!D$54&gt;0,IF(TipoProgramaPersonalTecnico=1,ROUND(Programa!F$54*'a)Plantilla'!$C21,RedondeoPersonalTecnico),IF(TipoProgramaPersonalTecnico=2,ROUND(Programa!D$54*'a)Plantilla'!$C21,RedondeoPersonalTecnico),ROUND(Programa!D$54*Hjor*'a)Plantilla'!$C21,RedondeoPersonalTecnico))),0)</f>
        <v>0</v>
      </c>
      <c r="AU49" s="6">
        <f>IF(Programa!D$55&gt;0,IF(TipoProgramaPersonalTecnico=1,ROUND(Programa!F$55*'a)Plantilla'!$C21,RedondeoPersonalTecnico),IF(TipoProgramaPersonalTecnico=2,ROUND(Programa!D$55*'a)Plantilla'!$C21,RedondeoPersonalTecnico),ROUND(Programa!D$55*Hjor*'a)Plantilla'!$C21,RedondeoPersonalTecnico))),0)</f>
        <v>0</v>
      </c>
      <c r="AV49" s="6">
        <f>IF(Programa!D$56&gt;0,IF(TipoProgramaPersonalTecnico=1,ROUND(Programa!F$56*'a)Plantilla'!$C21,RedondeoPersonalTecnico),IF(TipoProgramaPersonalTecnico=2,ROUND(Programa!D$56*'a)Plantilla'!$C21,RedondeoPersonalTecnico),ROUND(Programa!D$56*Hjor*'a)Plantilla'!$C21,RedondeoPersonalTecnico))),0)</f>
        <v>0</v>
      </c>
      <c r="AW49" s="6">
        <f>IF(Programa!D$57&gt;0,IF(TipoProgramaPersonalTecnico=1,ROUND(Programa!F$57*'a)Plantilla'!$C21,RedondeoPersonalTecnico),IF(TipoProgramaPersonalTecnico=2,ROUND(Programa!D$57*'a)Plantilla'!$C21,RedondeoPersonalTecnico),ROUND(Programa!D$57*Hjor*'a)Plantilla'!$C21,RedondeoPersonalTecnico))),0)</f>
        <v>0</v>
      </c>
      <c r="AX49" s="6">
        <f>IF(Programa!D$58&gt;0,IF(TipoProgramaPersonalTecnico=1,ROUND(Programa!F$58*'a)Plantilla'!$C21,RedondeoPersonalTecnico),IF(TipoProgramaPersonalTecnico=2,ROUND(Programa!D$58*'a)Plantilla'!$C21,RedondeoPersonalTecnico),ROUND(Programa!D$58*Hjor*'a)Plantilla'!$C21,RedondeoPersonalTecnico))),0)</f>
        <v>0</v>
      </c>
      <c r="AY49" s="6">
        <f>IF(Programa!D$59&gt;0,IF(TipoProgramaPersonalTecnico=1,ROUND(Programa!F$59*'a)Plantilla'!$C21,RedondeoPersonalTecnico),IF(TipoProgramaPersonalTecnico=2,ROUND(Programa!D$59*'a)Plantilla'!$C21,RedondeoPersonalTecnico),ROUND(Programa!D$59*Hjor*'a)Plantilla'!$C21,RedondeoPersonalTecnico))),0)</f>
        <v>0</v>
      </c>
      <c r="AZ49" s="6">
        <f>IF(Programa!D$60&gt;0,IF(TipoProgramaPersonalTecnico=1,ROUND(Programa!F$60*'a)Plantilla'!$C21,RedondeoPersonalTecnico),IF(TipoProgramaPersonalTecnico=2,ROUND(Programa!D$60*'a)Plantilla'!$C21,RedondeoPersonalTecnico),ROUND(Programa!D$60*Hjor*'a)Plantilla'!$C21,RedondeoPersonalTecnico))),0)</f>
        <v>0</v>
      </c>
      <c r="BA49" s="6">
        <f>IF(Programa!D$61&gt;0,IF(TipoProgramaPersonalTecnico=1,ROUND(Programa!F$61*'a)Plantilla'!$C21,RedondeoPersonalTecnico),IF(TipoProgramaPersonalTecnico=2,ROUND(Programa!D$61*'a)Plantilla'!$C21,RedondeoPersonalTecnico),ROUND(Programa!D$61*Hjor*'a)Plantilla'!$C21,RedondeoPersonalTecnico))),0)</f>
        <v>0</v>
      </c>
      <c r="BB49" s="6">
        <f>IF(Programa!D$62&gt;0,IF(TipoProgramaPersonalTecnico=1,ROUND(Programa!F$62*'a)Plantilla'!$C21,RedondeoPersonalTecnico),IF(TipoProgramaPersonalTecnico=2,ROUND(Programa!D$62*'a)Plantilla'!$C21,RedondeoPersonalTecnico),ROUND(Programa!D$62*Hjor*'a)Plantilla'!$C21,RedondeoPersonalTecnico))),0)</f>
        <v>0</v>
      </c>
      <c r="BC49" s="6">
        <f>IF(Programa!D$63&gt;0,IF(TipoProgramaPersonalTecnico=1,ROUND(Programa!F$63*'a)Plantilla'!$C21,RedondeoPersonalTecnico),IF(TipoProgramaPersonalTecnico=2,ROUND(Programa!D$63*'a)Plantilla'!$C21,RedondeoPersonalTecnico),ROUND(Programa!D$63*Hjor*'a)Plantilla'!$C21,RedondeoPersonalTecnico))),0)</f>
        <v>0</v>
      </c>
      <c r="BD49" s="6">
        <f>IF(Programa!D$64&gt;0,IF(TipoProgramaPersonalTecnico=1,ROUND(Programa!F$64*'a)Plantilla'!$C21,RedondeoPersonalTecnico),IF(TipoProgramaPersonalTecnico=2,ROUND(Programa!D$64*'a)Plantilla'!$C21,RedondeoPersonalTecnico),ROUND(Programa!D$64*Hjor*'a)Plantilla'!$C21,RedondeoPersonalTecnico))),0)</f>
        <v>0</v>
      </c>
      <c r="BE49" s="6">
        <f>IF(Programa!D$65&gt;0,IF(TipoProgramaPersonalTecnico=1,ROUND(Programa!F$65*'a)Plantilla'!$C21,RedondeoPersonalTecnico),IF(TipoProgramaPersonalTecnico=2,ROUND(Programa!D$65*'a)Plantilla'!$C21,RedondeoPersonalTecnico),ROUND(Programa!D$65*Hjor*'a)Plantilla'!$C21,RedondeoPersonalTecnico))),0)</f>
        <v>0</v>
      </c>
      <c r="BF49" s="6">
        <f>IF(Programa!D$66&gt;0,IF(TipoProgramaPersonalTecnico=1,ROUND(Programa!F$66*'a)Plantilla'!$C21,RedondeoPersonalTecnico),IF(TipoProgramaPersonalTecnico=2,ROUND(Programa!D$66*'a)Plantilla'!$C21,RedondeoPersonalTecnico),ROUND(Programa!D$66*Hjor*'a)Plantilla'!$C21,RedondeoPersonalTecnico))),0)</f>
        <v>0</v>
      </c>
      <c r="BG49" s="6">
        <f>IF(Programa!D$67&gt;0,IF(TipoProgramaPersonalTecnico=1,ROUND(Programa!F$67*'a)Plantilla'!$C21,RedondeoPersonalTecnico),IF(TipoProgramaPersonalTecnico=2,ROUND(Programa!D$67*'a)Plantilla'!$C21,RedondeoPersonalTecnico),ROUND(Programa!D$67*Hjor*'a)Plantilla'!$C21,RedondeoPersonalTecnico))),0)</f>
        <v>0</v>
      </c>
      <c r="BH49" s="6">
        <f>IF(Programa!D$68&gt;0,IF(TipoProgramaPersonalTecnico=1,ROUND(Programa!F$68*'a)Plantilla'!$C21,RedondeoPersonalTecnico),IF(TipoProgramaPersonalTecnico=2,ROUND(Programa!D$68*'a)Plantilla'!$C21,RedondeoPersonalTecnico),ROUND(Programa!D$68*Hjor*'a)Plantilla'!$C21,RedondeoPersonalTecnico))),0)</f>
        <v>0</v>
      </c>
      <c r="BI49" s="6">
        <f>IF(Programa!D$69&gt;0,IF(TipoProgramaPersonalTecnico=1,ROUND(Programa!F$69*'a)Plantilla'!$C21,RedondeoPersonalTecnico),IF(TipoProgramaPersonalTecnico=2,ROUND(Programa!D$69*'a)Plantilla'!$C21,RedondeoPersonalTecnico),ROUND(Programa!D$69*Hjor*'a)Plantilla'!$C21,RedondeoPersonalTecnico))),0)</f>
        <v>0</v>
      </c>
      <c r="BJ49" s="6">
        <f>IF(Programa!D$70&gt;0,IF(TipoProgramaPersonalTecnico=1,ROUND(Programa!F$70*'a)Plantilla'!$C21,RedondeoPersonalTecnico),IF(TipoProgramaPersonalTecnico=2,ROUND(Programa!D$70*'a)Plantilla'!$C21,RedondeoPersonalTecnico),ROUND(Programa!D$70*Hjor*'a)Plantilla'!$C21,RedondeoPersonalTecnico))),0)</f>
        <v>0</v>
      </c>
      <c r="BK49" s="6">
        <f>IF(Programa!D$71&gt;0,IF(TipoProgramaPersonalTecnico=1,ROUND(Programa!F$71*'a)Plantilla'!$C21,RedondeoPersonalTecnico),IF(TipoProgramaPersonalTecnico=2,ROUND(Programa!D$71*'a)Plantilla'!$C21,RedondeoPersonalTecnico),ROUND(Programa!D$71*Hjor*'a)Plantilla'!$C21,RedondeoPersonalTecnico))),0)</f>
        <v>0</v>
      </c>
      <c r="BL49" s="78">
        <f>IF(Programa!D$72&gt;0,IF(TipoProgramaPersonalTecnico=1,ROUND(Programa!F$72*'a)Plantilla'!$C21,RedondeoPersonalTecnico),IF(TipoProgramaPersonalTecnico=2,ROUND(Programa!D$72*'a)Plantilla'!$C21,RedondeoPersonalTecnico),ROUND(Programa!D$72*Hjor*'a)Plantilla'!$C21,RedondeoPersonalTecnico))),0)</f>
        <v>0</v>
      </c>
    </row>
    <row r="50" spans="1:64" ht="8.1" customHeight="1">
      <c r="A50" s="67"/>
      <c r="B50" s="46"/>
      <c r="C50" s="31"/>
      <c r="D50" s="22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78"/>
      <c r="Q50" s="27"/>
      <c r="R50" s="6"/>
      <c r="S50" s="6"/>
      <c r="T50" s="6"/>
      <c r="U50" s="6"/>
      <c r="V50" s="6"/>
      <c r="W50" s="6"/>
      <c r="X50" s="6"/>
      <c r="Y50" s="6"/>
      <c r="Z50" s="6"/>
      <c r="AA50" s="6"/>
      <c r="AB50" s="78"/>
      <c r="AC50" s="27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78"/>
      <c r="AO50" s="27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78"/>
    </row>
    <row r="51" spans="1:64" ht="11.25" customHeight="1">
      <c r="A51" s="133"/>
      <c r="B51" s="46" t="str">
        <f>IF('a)Plantilla'!C22&gt;0,'a)Plantilla'!B22,"")</f>
        <v/>
      </c>
      <c r="C51" s="17" t="str">
        <f>IF('a)Plantilla'!C$22&gt;0,IF(TipoProgramaPersonalTecnico=1,"Personas",IF(TipoProgramaPersonalTecnico=2,"Jornal","horas-Hombre")),"")</f>
        <v/>
      </c>
      <c r="D51" s="226">
        <f>ROUND(SUM(E51:BL51),RedondeoPersonalTecnico)</f>
        <v>0</v>
      </c>
      <c r="E51" s="6">
        <f>IF(Programa!D$13&gt;0,IF(TipoProgramaPersonalTecnico=1,ROUND(Programa!F$13*'a)Plantilla'!$C22,RedondeoPersonalTecnico),IF(TipoProgramaPersonalTecnico=2,ROUND(Programa!D$13*'a)Plantilla'!$C22,RedondeoPersonalTecnico),ROUND(Programa!D$13*Hjor*'a)Plantilla'!$C22,RedondeoPersonalTecnico))),0)</f>
        <v>0</v>
      </c>
      <c r="F51" s="6">
        <f>IF(Programa!D$14&gt;0,IF(TipoProgramaPersonalTecnico=1,ROUND(Programa!F$14*'a)Plantilla'!$C22,RedondeoPersonalTecnico),IF(TipoProgramaPersonalTecnico=2,ROUND(Programa!D$14*'a)Plantilla'!$C22,RedondeoPersonalTecnico),ROUND(Programa!D$14*Hjor*'a)Plantilla'!$C22,RedondeoPersonalTecnico))),0)</f>
        <v>0</v>
      </c>
      <c r="G51" s="6">
        <f>IF(Programa!D$15&gt;0,IF(TipoProgramaPersonalTecnico=1,ROUND(Programa!F$15*'a)Plantilla'!$C22,RedondeoPersonalTecnico),IF(TipoProgramaPersonalTecnico=2,ROUND(Programa!D$15*'a)Plantilla'!$C22,RedondeoPersonalTecnico),ROUND(Programa!D$15*Hjor*'a)Plantilla'!$C22,RedondeoPersonalTecnico))),0)</f>
        <v>0</v>
      </c>
      <c r="H51" s="6">
        <f>IF(Programa!D$16&gt;0,IF(TipoProgramaPersonalTecnico=1,ROUND(Programa!F$16*'a)Plantilla'!$C22,RedondeoPersonalTecnico),IF(TipoProgramaPersonalTecnico=2,ROUND(Programa!D$16*'a)Plantilla'!$C22,RedondeoPersonalTecnico),ROUND(Programa!D$16*Hjor*'a)Plantilla'!$C22,RedondeoPersonalTecnico))),0)</f>
        <v>0</v>
      </c>
      <c r="I51" s="6">
        <f>IF(Programa!D$17&gt;0,IF(TipoProgramaPersonalTecnico=1,ROUND(Programa!F$17*'a)Plantilla'!$C22,RedondeoPersonalTecnico),IF(TipoProgramaPersonalTecnico=2,ROUND(Programa!D$17*'a)Plantilla'!$C22,RedondeoPersonalTecnico),ROUND(Programa!D$17*Hjor*'a)Plantilla'!$C22,RedondeoPersonalTecnico))),0)</f>
        <v>0</v>
      </c>
      <c r="J51" s="6">
        <f>IF(Programa!D$18&gt;0,IF(TipoProgramaPersonalTecnico=1,ROUND(Programa!F$18*'a)Plantilla'!$C22,RedondeoPersonalTecnico),IF(TipoProgramaPersonalTecnico=2,ROUND(Programa!D$18*'a)Plantilla'!$C22,RedondeoPersonalTecnico),ROUND(Programa!D$18*Hjor*'a)Plantilla'!$C22,RedondeoPersonalTecnico))),0)</f>
        <v>0</v>
      </c>
      <c r="K51" s="6">
        <f>IF(Programa!D$19&gt;0,IF(TipoProgramaPersonalTecnico=1,ROUND(Programa!F$19*'a)Plantilla'!$C22,RedondeoPersonalTecnico),IF(TipoProgramaPersonalTecnico=2,ROUND(Programa!D$19*'a)Plantilla'!$C22,RedondeoPersonalTecnico),ROUND(Programa!D$19*Hjor*'a)Plantilla'!$C22,RedondeoPersonalTecnico))),0)</f>
        <v>0</v>
      </c>
      <c r="L51" s="6">
        <f>IF(Programa!D$20&gt;0,IF(TipoProgramaPersonalTecnico=1,ROUND(Programa!F$20*'a)Plantilla'!$C22,RedondeoPersonalTecnico),IF(TipoProgramaPersonalTecnico=2,ROUND(Programa!D$20*'a)Plantilla'!$C22,RedondeoPersonalTecnico),ROUND(Programa!D$20*Hjor*'a)Plantilla'!$C22,RedondeoPersonalTecnico))),0)</f>
        <v>0</v>
      </c>
      <c r="M51" s="6">
        <f>IF(Programa!D$21&gt;0,IF(TipoProgramaPersonalTecnico=1,ROUND(Programa!F$21*'a)Plantilla'!$C22,RedondeoPersonalTecnico),IF(TipoProgramaPersonalTecnico=2,ROUND(Programa!D$21*'a)Plantilla'!$C22,RedondeoPersonalTecnico),ROUND(Programa!D$21*Hjor*'a)Plantilla'!$C22,RedondeoPersonalTecnico))),0)</f>
        <v>0</v>
      </c>
      <c r="N51" s="6">
        <f>IF(Programa!D$22&gt;0,IF(TipoProgramaPersonalTecnico=1,ROUND(Programa!F$22*'a)Plantilla'!$C22,RedondeoPersonalTecnico),IF(TipoProgramaPersonalTecnico=2,ROUND(Programa!D$22*'a)Plantilla'!$C22,RedondeoPersonalTecnico),ROUND(Programa!D$22*Hjor*'a)Plantilla'!$C22,RedondeoPersonalTecnico))),0)</f>
        <v>0</v>
      </c>
      <c r="O51" s="6">
        <f>IF(Programa!D$23&gt;0,IF(TipoProgramaPersonalTecnico=1,ROUND(Programa!F$23*'a)Plantilla'!$C22,RedondeoPersonalTecnico),IF(TipoProgramaPersonalTecnico=2,ROUND(Programa!D$23*'a)Plantilla'!$C22,RedondeoPersonalTecnico),ROUND(Programa!D$23*Hjor*'a)Plantilla'!$C22,RedondeoPersonalTecnico))),0)</f>
        <v>0</v>
      </c>
      <c r="P51" s="78">
        <f>IF(Programa!D$24&gt;0,IF(TipoProgramaPersonalTecnico=1,ROUND(Programa!F$24*'a)Plantilla'!$C22,RedondeoPersonalTecnico),IF(TipoProgramaPersonalTecnico=2,ROUND(Programa!D$24*'a)Plantilla'!$C22,RedondeoPersonalTecnico),ROUND(Programa!D$24*Hjor*'a)Plantilla'!$C22,RedondeoPersonalTecnico))),0)</f>
        <v>0</v>
      </c>
      <c r="Q51" s="27">
        <f>IF(Programa!D$25&gt;0,IF(TipoProgramaPersonalTecnico=1,ROUND(Programa!F$25*'a)Plantilla'!$C22,RedondeoPersonalTecnico),IF(TipoProgramaPersonalTecnico=2,ROUND(Programa!D$25*'a)Plantilla'!$C22,RedondeoPersonalTecnico),ROUND(Programa!D$25*Hjor*'a)Plantilla'!$C22,RedondeoPersonalTecnico))),0)</f>
        <v>0</v>
      </c>
      <c r="R51" s="6">
        <f>IF(Programa!D$26&gt;0,IF(TipoProgramaPersonalTecnico=1,ROUND(Programa!F$26*'a)Plantilla'!$C22,RedondeoPersonalTecnico),IF(TipoProgramaPersonalTecnico=2,ROUND(Programa!D$26*'a)Plantilla'!$C22,RedondeoPersonalTecnico),ROUND(Programa!D$26*Hjor*'a)Plantilla'!$C22,RedondeoPersonalTecnico))),0)</f>
        <v>0</v>
      </c>
      <c r="S51" s="6">
        <f>IF(Programa!D$27&gt;0,IF(TipoProgramaPersonalTecnico=1,ROUND(Programa!F$27*'a)Plantilla'!$C22,RedondeoPersonalTecnico),IF(TipoProgramaPersonalTecnico=2,ROUND(Programa!D$27*'a)Plantilla'!$C22,RedondeoPersonalTecnico),ROUND(Programa!D$27*Hjor*'a)Plantilla'!$C22,RedondeoPersonalTecnico))),0)</f>
        <v>0</v>
      </c>
      <c r="T51" s="6">
        <f>IF(Programa!D$28&gt;0,IF(TipoProgramaPersonalTecnico=1,ROUND(Programa!F$28*'a)Plantilla'!$C22,RedondeoPersonalTecnico),IF(TipoProgramaPersonalTecnico=2,ROUND(Programa!D$28*'a)Plantilla'!$C22,RedondeoPersonalTecnico),ROUND(Programa!D$28*Hjor*'a)Plantilla'!$C22,RedondeoPersonalTecnico))),0)</f>
        <v>0</v>
      </c>
      <c r="U51" s="6">
        <f>IF(Programa!D$29&gt;0,IF(TipoProgramaPersonalTecnico=1,ROUND(Programa!F$29*'a)Plantilla'!$C22,RedondeoPersonalTecnico),IF(TipoProgramaPersonalTecnico=2,ROUND(Programa!D$29*'a)Plantilla'!$C22,RedondeoPersonalTecnico),ROUND(Programa!D$29*Hjor*'a)Plantilla'!$C22,RedondeoPersonalTecnico))),0)</f>
        <v>0</v>
      </c>
      <c r="V51" s="6">
        <f>IF(Programa!D$30&gt;0,IF(TipoProgramaPersonalTecnico=1,ROUND(Programa!F$30*'a)Plantilla'!$C22,RedondeoPersonalTecnico),IF(TipoProgramaPersonalTecnico=2,ROUND(Programa!D$30*'a)Plantilla'!$C22,RedondeoPersonalTecnico),ROUND(Programa!D$30*Hjor*'a)Plantilla'!$C22,RedondeoPersonalTecnico))),0)</f>
        <v>0</v>
      </c>
      <c r="W51" s="6">
        <f>IF(Programa!D$31&gt;0,IF(TipoProgramaPersonalTecnico=1,ROUND(Programa!F$31*'a)Plantilla'!$C22,RedondeoPersonalTecnico),IF(TipoProgramaPersonalTecnico=2,ROUND(Programa!D$31*'a)Plantilla'!$C22,RedondeoPersonalTecnico),ROUND(Programa!D$31*Hjor*'a)Plantilla'!$C22,RedondeoPersonalTecnico))),0)</f>
        <v>0</v>
      </c>
      <c r="X51" s="6">
        <f>IF(Programa!D$32&gt;0,IF(TipoProgramaPersonalTecnico=1,ROUND(Programa!F$32*'a)Plantilla'!$C22,RedondeoPersonalTecnico),IF(TipoProgramaPersonalTecnico=2,ROUND(Programa!D$32*'a)Plantilla'!$C22,RedondeoPersonalTecnico),ROUND(Programa!D$32*Hjor*'a)Plantilla'!$C22,RedondeoPersonalTecnico))),0)</f>
        <v>0</v>
      </c>
      <c r="Y51" s="6">
        <f>IF(Programa!D$33&gt;0,IF(TipoProgramaPersonalTecnico=1,ROUND(Programa!F$33*'a)Plantilla'!$C22,RedondeoPersonalTecnico),IF(TipoProgramaPersonalTecnico=2,ROUND(Programa!D$33*'a)Plantilla'!$C22,RedondeoPersonalTecnico),ROUND(Programa!D$33*Hjor*'a)Plantilla'!$C22,RedondeoPersonalTecnico))),0)</f>
        <v>0</v>
      </c>
      <c r="Z51" s="6">
        <f>IF(Programa!D$34&gt;0,IF(TipoProgramaPersonalTecnico=1,ROUND(Programa!F$34*'a)Plantilla'!$C22,RedondeoPersonalTecnico),IF(TipoProgramaPersonalTecnico=2,ROUND(Programa!D$34*'a)Plantilla'!$C22,RedondeoPersonalTecnico),ROUND(Programa!D$34*Hjor*'a)Plantilla'!$C22,RedondeoPersonalTecnico))),0)</f>
        <v>0</v>
      </c>
      <c r="AA51" s="6">
        <f>IF(Programa!D$35&gt;0,IF(TipoProgramaPersonalTecnico=1,ROUND(Programa!F$35*'a)Plantilla'!$C22,RedondeoPersonalTecnico),IF(TipoProgramaPersonalTecnico=2,ROUND(Programa!D$35*'a)Plantilla'!$C22,RedondeoPersonalTecnico),ROUND(Programa!D$35*Hjor*'a)Plantilla'!$C22,RedondeoPersonalTecnico))),0)</f>
        <v>0</v>
      </c>
      <c r="AB51" s="78">
        <f>IF(Programa!D$36&gt;0,IF(TipoProgramaPersonalTecnico=1,ROUND(Programa!F$36*'a)Plantilla'!$C22,RedondeoPersonalTecnico),IF(TipoProgramaPersonalTecnico=2,ROUND(Programa!D$36*'a)Plantilla'!$C22,RedondeoPersonalTecnico),ROUND(Programa!D$36*Hjor*'a)Plantilla'!$C22,RedondeoPersonalTecnico))),0)</f>
        <v>0</v>
      </c>
      <c r="AC51" s="27">
        <f>IF(Programa!D$37&gt;0,IF(TipoProgramaPersonalTecnico=1,ROUND(Programa!F$37*'a)Plantilla'!$C22,RedondeoPersonalTecnico),IF(TipoProgramaPersonalTecnico=2,ROUND(Programa!D$37*'a)Plantilla'!$C22,RedondeoPersonalTecnico),ROUND(Programa!D$37*Hjor*'a)Plantilla'!$C22,RedondeoPersonalTecnico))),0)</f>
        <v>0</v>
      </c>
      <c r="AD51" s="6">
        <f>IF(Programa!D$38&gt;0,IF(TipoProgramaPersonalTecnico=1,ROUND(Programa!F$38*'a)Plantilla'!$C22,RedondeoPersonalTecnico),IF(TipoProgramaPersonalTecnico=2,ROUND(Programa!D$38*'a)Plantilla'!$C22,RedondeoPersonalTecnico),ROUND(Programa!D$38*Hjor*'a)Plantilla'!$C22,RedondeoPersonalTecnico))),0)</f>
        <v>0</v>
      </c>
      <c r="AE51" s="6">
        <f>IF(Programa!D$39&gt;0,IF(TipoProgramaPersonalTecnico=1,ROUND(Programa!F$39*'a)Plantilla'!$C22,RedondeoPersonalTecnico),IF(TipoProgramaPersonalTecnico=2,ROUND(Programa!D$39*'a)Plantilla'!$C22,RedondeoPersonalTecnico),ROUND(Programa!D$39*Hjor*'a)Plantilla'!$C22,RedondeoPersonalTecnico))),0)</f>
        <v>0</v>
      </c>
      <c r="AF51" s="6">
        <f>IF(Programa!D$40&gt;0,IF(TipoProgramaPersonalTecnico=1,ROUND(Programa!F$40*'a)Plantilla'!$C22,RedondeoPersonalTecnico),IF(TipoProgramaPersonalTecnico=2,ROUND(Programa!D$40*'a)Plantilla'!$C22,RedondeoPersonalTecnico),ROUND(Programa!D$40*Hjor*'a)Plantilla'!$C22,RedondeoPersonalTecnico))),0)</f>
        <v>0</v>
      </c>
      <c r="AG51" s="6">
        <f>IF(Programa!D$41&gt;0,IF(TipoProgramaPersonalTecnico=1,ROUND(Programa!F$41*'a)Plantilla'!$C22,RedondeoPersonalTecnico),IF(TipoProgramaPersonalTecnico=2,ROUND(Programa!D$41*'a)Plantilla'!$C22,RedondeoPersonalTecnico),ROUND(Programa!D$41*Hjor*'a)Plantilla'!$C22,RedondeoPersonalTecnico))),0)</f>
        <v>0</v>
      </c>
      <c r="AH51" s="6">
        <f>IF(Programa!D$42&gt;0,IF(TipoProgramaPersonalTecnico=1,ROUND(Programa!F$42*'a)Plantilla'!$C22,RedondeoPersonalTecnico),IF(TipoProgramaPersonalTecnico=2,ROUND(Programa!D$42*'a)Plantilla'!$C22,RedondeoPersonalTecnico),ROUND(Programa!D$42*Hjor*'a)Plantilla'!$C22,RedondeoPersonalTecnico))),0)</f>
        <v>0</v>
      </c>
      <c r="AI51" s="6">
        <f>IF(Programa!D$43&gt;0,IF(TipoProgramaPersonalTecnico=1,ROUND(Programa!F$43*'a)Plantilla'!$C22,RedondeoPersonalTecnico),IF(TipoProgramaPersonalTecnico=2,ROUND(Programa!D$43*'a)Plantilla'!$C22,RedondeoPersonalTecnico),ROUND(Programa!D$43*Hjor*'a)Plantilla'!$C22,RedondeoPersonalTecnico))),0)</f>
        <v>0</v>
      </c>
      <c r="AJ51" s="6">
        <f>IF(Programa!D$44&gt;0,IF(TipoProgramaPersonalTecnico=1,ROUND(Programa!F$44*'a)Plantilla'!$C22,RedondeoPersonalTecnico),IF(TipoProgramaPersonalTecnico=2,ROUND(Programa!D$44*'a)Plantilla'!$C22,RedondeoPersonalTecnico),ROUND(Programa!D$44*Hjor*'a)Plantilla'!$C22,RedondeoPersonalTecnico))),0)</f>
        <v>0</v>
      </c>
      <c r="AK51" s="6">
        <f>IF(Programa!D$45&gt;0,IF(TipoProgramaPersonalTecnico=1,ROUND(Programa!F$45*'a)Plantilla'!$C22,RedondeoPersonalTecnico),IF(TipoProgramaPersonalTecnico=2,ROUND(Programa!D$45*'a)Plantilla'!$C22,RedondeoPersonalTecnico),ROUND(Programa!D$45*Hjor*'a)Plantilla'!$C22,RedondeoPersonalTecnico))),0)</f>
        <v>0</v>
      </c>
      <c r="AL51" s="6">
        <f>IF(Programa!D$46&gt;0,IF(TipoProgramaPersonalTecnico=1,ROUND(Programa!F$46*'a)Plantilla'!$C22,RedondeoPersonalTecnico),IF(TipoProgramaPersonalTecnico=2,ROUND(Programa!D$46*'a)Plantilla'!$C22,RedondeoPersonalTecnico),ROUND(Programa!D$46*Hjor*'a)Plantilla'!$C22,RedondeoPersonalTecnico))),0)</f>
        <v>0</v>
      </c>
      <c r="AM51" s="6">
        <f>IF(Programa!D$47&gt;0,IF(TipoProgramaPersonalTecnico=1,ROUND(Programa!F$47*'a)Plantilla'!$C22,RedondeoPersonalTecnico),IF(TipoProgramaPersonalTecnico=2,ROUND(Programa!D$47*'a)Plantilla'!$C22,RedondeoPersonalTecnico),ROUND(Programa!D$47*Hjor*'a)Plantilla'!$C22,RedondeoPersonalTecnico))),0)</f>
        <v>0</v>
      </c>
      <c r="AN51" s="78">
        <f>IF(Programa!D$48&gt;0,IF(TipoProgramaPersonalTecnico=1,ROUND(Programa!F$48*'a)Plantilla'!$C22,RedondeoPersonalTecnico),IF(TipoProgramaPersonalTecnico=2,ROUND(Programa!D$48*'a)Plantilla'!$C22,RedondeoPersonalTecnico),ROUND(Programa!D$48*Hjor*'a)Plantilla'!$C22,RedondeoPersonalTecnico))),0)</f>
        <v>0</v>
      </c>
      <c r="AO51" s="27">
        <f>IF(Programa!D$49&gt;0,IF(TipoProgramaPersonalTecnico=1,ROUND(Programa!F$49*'a)Plantilla'!$C22,RedondeoPersonalTecnico),IF(TipoProgramaPersonalTecnico=2,ROUND(Programa!D$49*'a)Plantilla'!$C22,RedondeoPersonalTecnico),ROUND(Programa!D$49*Hjor*'a)Plantilla'!$C22,RedondeoPersonalTecnico))),0)</f>
        <v>0</v>
      </c>
      <c r="AP51" s="6">
        <f>IF(Programa!D$50&gt;0,IF(TipoProgramaPersonalTecnico=1,ROUND(Programa!F$50*'a)Plantilla'!$C22,RedondeoPersonalTecnico),IF(TipoProgramaPersonalTecnico=2,ROUND(Programa!D$50*'a)Plantilla'!$C22,RedondeoPersonalTecnico),ROUND(Programa!D$50*Hjor*'a)Plantilla'!$C22,RedondeoPersonalTecnico))),0)</f>
        <v>0</v>
      </c>
      <c r="AQ51" s="6">
        <f>IF(Programa!D$51&gt;0,IF(TipoProgramaPersonalTecnico=1,ROUND(Programa!F$51*'a)Plantilla'!$C22,RedondeoPersonalTecnico),IF(TipoProgramaPersonalTecnico=2,ROUND(Programa!D$51*'a)Plantilla'!$C22,RedondeoPersonalTecnico),ROUND(Programa!D$51*Hjor*'a)Plantilla'!$C22,RedondeoPersonalTecnico))),0)</f>
        <v>0</v>
      </c>
      <c r="AR51" s="6">
        <f>IF(Programa!D$52&gt;0,IF(TipoProgramaPersonalTecnico=1,ROUND(Programa!F$52*'a)Plantilla'!$C22,RedondeoPersonalTecnico),IF(TipoProgramaPersonalTecnico=2,ROUND(Programa!D$52*'a)Plantilla'!$C22,RedondeoPersonalTecnico),ROUND(Programa!D$52*Hjor*'a)Plantilla'!$C22,RedondeoPersonalTecnico))),0)</f>
        <v>0</v>
      </c>
      <c r="AS51" s="6">
        <f>IF(Programa!D$53&gt;0,IF(TipoProgramaPersonalTecnico=1,ROUND(Programa!F$53*'a)Plantilla'!$C22,RedondeoPersonalTecnico),IF(TipoProgramaPersonalTecnico=2,ROUND(Programa!D$53*'a)Plantilla'!$C22,RedondeoPersonalTecnico),ROUND(Programa!D$53*Hjor*'a)Plantilla'!$C22,RedondeoPersonalTecnico))),0)</f>
        <v>0</v>
      </c>
      <c r="AT51" s="6">
        <f>IF(Programa!D$54&gt;0,IF(TipoProgramaPersonalTecnico=1,ROUND(Programa!F$54*'a)Plantilla'!$C22,RedondeoPersonalTecnico),IF(TipoProgramaPersonalTecnico=2,ROUND(Programa!D$54*'a)Plantilla'!$C22,RedondeoPersonalTecnico),ROUND(Programa!D$54*Hjor*'a)Plantilla'!$C22,RedondeoPersonalTecnico))),0)</f>
        <v>0</v>
      </c>
      <c r="AU51" s="6">
        <f>IF(Programa!D$55&gt;0,IF(TipoProgramaPersonalTecnico=1,ROUND(Programa!F$55*'a)Plantilla'!$C22,RedondeoPersonalTecnico),IF(TipoProgramaPersonalTecnico=2,ROUND(Programa!D$55*'a)Plantilla'!$C22,RedondeoPersonalTecnico),ROUND(Programa!D$55*Hjor*'a)Plantilla'!$C22,RedondeoPersonalTecnico))),0)</f>
        <v>0</v>
      </c>
      <c r="AV51" s="6">
        <f>IF(Programa!D$56&gt;0,IF(TipoProgramaPersonalTecnico=1,ROUND(Programa!F$56*'a)Plantilla'!$C22,RedondeoPersonalTecnico),IF(TipoProgramaPersonalTecnico=2,ROUND(Programa!D$56*'a)Plantilla'!$C22,RedondeoPersonalTecnico),ROUND(Programa!D$56*Hjor*'a)Plantilla'!$C22,RedondeoPersonalTecnico))),0)</f>
        <v>0</v>
      </c>
      <c r="AW51" s="6">
        <f>IF(Programa!D$57&gt;0,IF(TipoProgramaPersonalTecnico=1,ROUND(Programa!F$57*'a)Plantilla'!$C22,RedondeoPersonalTecnico),IF(TipoProgramaPersonalTecnico=2,ROUND(Programa!D$57*'a)Plantilla'!$C22,RedondeoPersonalTecnico),ROUND(Programa!D$57*Hjor*'a)Plantilla'!$C22,RedondeoPersonalTecnico))),0)</f>
        <v>0</v>
      </c>
      <c r="AX51" s="6">
        <f>IF(Programa!D$58&gt;0,IF(TipoProgramaPersonalTecnico=1,ROUND(Programa!F$58*'a)Plantilla'!$C22,RedondeoPersonalTecnico),IF(TipoProgramaPersonalTecnico=2,ROUND(Programa!D$58*'a)Plantilla'!$C22,RedondeoPersonalTecnico),ROUND(Programa!D$58*Hjor*'a)Plantilla'!$C22,RedondeoPersonalTecnico))),0)</f>
        <v>0</v>
      </c>
      <c r="AY51" s="6">
        <f>IF(Programa!D$59&gt;0,IF(TipoProgramaPersonalTecnico=1,ROUND(Programa!F$59*'a)Plantilla'!$C22,RedondeoPersonalTecnico),IF(TipoProgramaPersonalTecnico=2,ROUND(Programa!D$59*'a)Plantilla'!$C22,RedondeoPersonalTecnico),ROUND(Programa!D$59*Hjor*'a)Plantilla'!$C22,RedondeoPersonalTecnico))),0)</f>
        <v>0</v>
      </c>
      <c r="AZ51" s="6">
        <f>IF(Programa!D$60&gt;0,IF(TipoProgramaPersonalTecnico=1,ROUND(Programa!F$60*'a)Plantilla'!$C22,RedondeoPersonalTecnico),IF(TipoProgramaPersonalTecnico=2,ROUND(Programa!D$60*'a)Plantilla'!$C22,RedondeoPersonalTecnico),ROUND(Programa!D$60*Hjor*'a)Plantilla'!$C22,RedondeoPersonalTecnico))),0)</f>
        <v>0</v>
      </c>
      <c r="BA51" s="6">
        <f>IF(Programa!D$61&gt;0,IF(TipoProgramaPersonalTecnico=1,ROUND(Programa!F$61*'a)Plantilla'!$C22,RedondeoPersonalTecnico),IF(TipoProgramaPersonalTecnico=2,ROUND(Programa!D$61*'a)Plantilla'!$C22,RedondeoPersonalTecnico),ROUND(Programa!D$61*Hjor*'a)Plantilla'!$C22,RedondeoPersonalTecnico))),0)</f>
        <v>0</v>
      </c>
      <c r="BB51" s="6">
        <f>IF(Programa!D$62&gt;0,IF(TipoProgramaPersonalTecnico=1,ROUND(Programa!F$62*'a)Plantilla'!$C22,RedondeoPersonalTecnico),IF(TipoProgramaPersonalTecnico=2,ROUND(Programa!D$62*'a)Plantilla'!$C22,RedondeoPersonalTecnico),ROUND(Programa!D$62*Hjor*'a)Plantilla'!$C22,RedondeoPersonalTecnico))),0)</f>
        <v>0</v>
      </c>
      <c r="BC51" s="6">
        <f>IF(Programa!D$63&gt;0,IF(TipoProgramaPersonalTecnico=1,ROUND(Programa!F$63*'a)Plantilla'!$C22,RedondeoPersonalTecnico),IF(TipoProgramaPersonalTecnico=2,ROUND(Programa!D$63*'a)Plantilla'!$C22,RedondeoPersonalTecnico),ROUND(Programa!D$63*Hjor*'a)Plantilla'!$C22,RedondeoPersonalTecnico))),0)</f>
        <v>0</v>
      </c>
      <c r="BD51" s="6">
        <f>IF(Programa!D$64&gt;0,IF(TipoProgramaPersonalTecnico=1,ROUND(Programa!F$64*'a)Plantilla'!$C22,RedondeoPersonalTecnico),IF(TipoProgramaPersonalTecnico=2,ROUND(Programa!D$64*'a)Plantilla'!$C22,RedondeoPersonalTecnico),ROUND(Programa!D$64*Hjor*'a)Plantilla'!$C22,RedondeoPersonalTecnico))),0)</f>
        <v>0</v>
      </c>
      <c r="BE51" s="6">
        <f>IF(Programa!D$65&gt;0,IF(TipoProgramaPersonalTecnico=1,ROUND(Programa!F$65*'a)Plantilla'!$C22,RedondeoPersonalTecnico),IF(TipoProgramaPersonalTecnico=2,ROUND(Programa!D$65*'a)Plantilla'!$C22,RedondeoPersonalTecnico),ROUND(Programa!D$65*Hjor*'a)Plantilla'!$C22,RedondeoPersonalTecnico))),0)</f>
        <v>0</v>
      </c>
      <c r="BF51" s="6">
        <f>IF(Programa!D$66&gt;0,IF(TipoProgramaPersonalTecnico=1,ROUND(Programa!F$66*'a)Plantilla'!$C22,RedondeoPersonalTecnico),IF(TipoProgramaPersonalTecnico=2,ROUND(Programa!D$66*'a)Plantilla'!$C22,RedondeoPersonalTecnico),ROUND(Programa!D$66*Hjor*'a)Plantilla'!$C22,RedondeoPersonalTecnico))),0)</f>
        <v>0</v>
      </c>
      <c r="BG51" s="6">
        <f>IF(Programa!D$67&gt;0,IF(TipoProgramaPersonalTecnico=1,ROUND(Programa!F$67*'a)Plantilla'!$C22,RedondeoPersonalTecnico),IF(TipoProgramaPersonalTecnico=2,ROUND(Programa!D$67*'a)Plantilla'!$C22,RedondeoPersonalTecnico),ROUND(Programa!D$67*Hjor*'a)Plantilla'!$C22,RedondeoPersonalTecnico))),0)</f>
        <v>0</v>
      </c>
      <c r="BH51" s="6">
        <f>IF(Programa!D$68&gt;0,IF(TipoProgramaPersonalTecnico=1,ROUND(Programa!F$68*'a)Plantilla'!$C22,RedondeoPersonalTecnico),IF(TipoProgramaPersonalTecnico=2,ROUND(Programa!D$68*'a)Plantilla'!$C22,RedondeoPersonalTecnico),ROUND(Programa!D$68*Hjor*'a)Plantilla'!$C22,RedondeoPersonalTecnico))),0)</f>
        <v>0</v>
      </c>
      <c r="BI51" s="6">
        <f>IF(Programa!D$69&gt;0,IF(TipoProgramaPersonalTecnico=1,ROUND(Programa!F$69*'a)Plantilla'!$C22,RedondeoPersonalTecnico),IF(TipoProgramaPersonalTecnico=2,ROUND(Programa!D$69*'a)Plantilla'!$C22,RedondeoPersonalTecnico),ROUND(Programa!D$69*Hjor*'a)Plantilla'!$C22,RedondeoPersonalTecnico))),0)</f>
        <v>0</v>
      </c>
      <c r="BJ51" s="6">
        <f>IF(Programa!D$70&gt;0,IF(TipoProgramaPersonalTecnico=1,ROUND(Programa!F$70*'a)Plantilla'!$C22,RedondeoPersonalTecnico),IF(TipoProgramaPersonalTecnico=2,ROUND(Programa!D$70*'a)Plantilla'!$C22,RedondeoPersonalTecnico),ROUND(Programa!D$70*Hjor*'a)Plantilla'!$C22,RedondeoPersonalTecnico))),0)</f>
        <v>0</v>
      </c>
      <c r="BK51" s="6">
        <f>IF(Programa!D$71&gt;0,IF(TipoProgramaPersonalTecnico=1,ROUND(Programa!F$71*'a)Plantilla'!$C22,RedondeoPersonalTecnico),IF(TipoProgramaPersonalTecnico=2,ROUND(Programa!D$71*'a)Plantilla'!$C22,RedondeoPersonalTecnico),ROUND(Programa!D$71*Hjor*'a)Plantilla'!$C22,RedondeoPersonalTecnico))),0)</f>
        <v>0</v>
      </c>
      <c r="BL51" s="78">
        <f>IF(Programa!D$72&gt;0,IF(TipoProgramaPersonalTecnico=1,ROUND(Programa!F$72*'a)Plantilla'!$C22,RedondeoPersonalTecnico),IF(TipoProgramaPersonalTecnico=2,ROUND(Programa!D$72*'a)Plantilla'!$C22,RedondeoPersonalTecnico),ROUND(Programa!D$72*Hjor*'a)Plantilla'!$C22,RedondeoPersonalTecnico))),0)</f>
        <v>0</v>
      </c>
    </row>
    <row r="52" spans="1:64" ht="8.1" customHeight="1">
      <c r="A52" s="133"/>
      <c r="B52" s="46"/>
      <c r="C52" s="31"/>
      <c r="D52" s="22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78"/>
      <c r="Q52" s="27"/>
      <c r="R52" s="6"/>
      <c r="S52" s="6"/>
      <c r="T52" s="6"/>
      <c r="U52" s="6"/>
      <c r="V52" s="6"/>
      <c r="W52" s="6"/>
      <c r="X52" s="6"/>
      <c r="Y52" s="6"/>
      <c r="Z52" s="6"/>
      <c r="AA52" s="6"/>
      <c r="AB52" s="78"/>
      <c r="AC52" s="27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78"/>
      <c r="AO52" s="27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78"/>
    </row>
    <row r="53" spans="1:64" ht="11.25" customHeight="1">
      <c r="A53" s="67"/>
      <c r="B53" s="46" t="str">
        <f>IF('a)Plantilla'!C23&gt;0,'a)Plantilla'!B23,"")</f>
        <v/>
      </c>
      <c r="C53" s="17" t="str">
        <f>IF('a)Plantilla'!C$23&gt;0,IF(TipoProgramaPersonalTecnico=1,"Personas",IF(TipoProgramaPersonalTecnico=2,"Jornal","horas-Hombre")),"")</f>
        <v/>
      </c>
      <c r="D53" s="226">
        <f>ROUND(SUM(E53:BL53),RedondeoPersonalTecnico)</f>
        <v>0</v>
      </c>
      <c r="E53" s="6">
        <f>IF(Programa!D$13&gt;0,IF(TipoProgramaPersonalTecnico=1,ROUND(Programa!F$13*'a)Plantilla'!$C23,RedondeoPersonalTecnico),IF(TipoProgramaPersonalTecnico=2,ROUND(Programa!D$13*'a)Plantilla'!$C23,RedondeoPersonalTecnico),ROUND(Programa!D$13*Hjor*'a)Plantilla'!$C23,RedondeoPersonalTecnico))),0)</f>
        <v>0</v>
      </c>
      <c r="F53" s="6">
        <f>IF(Programa!D$14&gt;0,IF(TipoProgramaPersonalTecnico=1,ROUND(Programa!F$14*'a)Plantilla'!$C23,RedondeoPersonalTecnico),IF(TipoProgramaPersonalTecnico=2,ROUND(Programa!D$14*'a)Plantilla'!$C23,RedondeoPersonalTecnico),ROUND(Programa!D$14*Hjor*'a)Plantilla'!$C23,RedondeoPersonalTecnico))),0)</f>
        <v>0</v>
      </c>
      <c r="G53" s="6">
        <f>IF(Programa!D$15&gt;0,IF(TipoProgramaPersonalTecnico=1,ROUND(Programa!F$15*'a)Plantilla'!$C23,RedondeoPersonalTecnico),IF(TipoProgramaPersonalTecnico=2,ROUND(Programa!D$15*'a)Plantilla'!$C23,RedondeoPersonalTecnico),ROUND(Programa!D$15*Hjor*'a)Plantilla'!$C23,RedondeoPersonalTecnico))),0)</f>
        <v>0</v>
      </c>
      <c r="H53" s="6">
        <f>IF(Programa!D$16&gt;0,IF(TipoProgramaPersonalTecnico=1,ROUND(Programa!F$16*'a)Plantilla'!$C23,RedondeoPersonalTecnico),IF(TipoProgramaPersonalTecnico=2,ROUND(Programa!D$16*'a)Plantilla'!$C23,RedondeoPersonalTecnico),ROUND(Programa!D$16*Hjor*'a)Plantilla'!$C23,RedondeoPersonalTecnico))),0)</f>
        <v>0</v>
      </c>
      <c r="I53" s="6">
        <f>IF(Programa!D$17&gt;0,IF(TipoProgramaPersonalTecnico=1,ROUND(Programa!F$17*'a)Plantilla'!$C23,RedondeoPersonalTecnico),IF(TipoProgramaPersonalTecnico=2,ROUND(Programa!D$17*'a)Plantilla'!$C23,RedondeoPersonalTecnico),ROUND(Programa!D$17*Hjor*'a)Plantilla'!$C23,RedondeoPersonalTecnico))),0)</f>
        <v>0</v>
      </c>
      <c r="J53" s="6">
        <f>IF(Programa!D$18&gt;0,IF(TipoProgramaPersonalTecnico=1,ROUND(Programa!F$18*'a)Plantilla'!$C23,RedondeoPersonalTecnico),IF(TipoProgramaPersonalTecnico=2,ROUND(Programa!D$18*'a)Plantilla'!$C23,RedondeoPersonalTecnico),ROUND(Programa!D$18*Hjor*'a)Plantilla'!$C23,RedondeoPersonalTecnico))),0)</f>
        <v>0</v>
      </c>
      <c r="K53" s="6">
        <f>IF(Programa!D$19&gt;0,IF(TipoProgramaPersonalTecnico=1,ROUND(Programa!F$19*'a)Plantilla'!$C23,RedondeoPersonalTecnico),IF(TipoProgramaPersonalTecnico=2,ROUND(Programa!D$19*'a)Plantilla'!$C23,RedondeoPersonalTecnico),ROUND(Programa!D$19*Hjor*'a)Plantilla'!$C23,RedondeoPersonalTecnico))),0)</f>
        <v>0</v>
      </c>
      <c r="L53" s="6">
        <f>IF(Programa!D$20&gt;0,IF(TipoProgramaPersonalTecnico=1,ROUND(Programa!F$20*'a)Plantilla'!$C23,RedondeoPersonalTecnico),IF(TipoProgramaPersonalTecnico=2,ROUND(Programa!D$20*'a)Plantilla'!$C23,RedondeoPersonalTecnico),ROUND(Programa!D$20*Hjor*'a)Plantilla'!$C23,RedondeoPersonalTecnico))),0)</f>
        <v>0</v>
      </c>
      <c r="M53" s="6">
        <f>IF(Programa!D$21&gt;0,IF(TipoProgramaPersonalTecnico=1,ROUND(Programa!F$21*'a)Plantilla'!$C23,RedondeoPersonalTecnico),IF(TipoProgramaPersonalTecnico=2,ROUND(Programa!D$21*'a)Plantilla'!$C23,RedondeoPersonalTecnico),ROUND(Programa!D$21*Hjor*'a)Plantilla'!$C23,RedondeoPersonalTecnico))),0)</f>
        <v>0</v>
      </c>
      <c r="N53" s="6">
        <f>IF(Programa!D$22&gt;0,IF(TipoProgramaPersonalTecnico=1,ROUND(Programa!F$22*'a)Plantilla'!$C23,RedondeoPersonalTecnico),IF(TipoProgramaPersonalTecnico=2,ROUND(Programa!D$22*'a)Plantilla'!$C23,RedondeoPersonalTecnico),ROUND(Programa!D$22*Hjor*'a)Plantilla'!$C23,RedondeoPersonalTecnico))),0)</f>
        <v>0</v>
      </c>
      <c r="O53" s="6">
        <f>IF(Programa!D$23&gt;0,IF(TipoProgramaPersonalTecnico=1,ROUND(Programa!F$23*'a)Plantilla'!$C23,RedondeoPersonalTecnico),IF(TipoProgramaPersonalTecnico=2,ROUND(Programa!D$23*'a)Plantilla'!$C23,RedondeoPersonalTecnico),ROUND(Programa!D$23*Hjor*'a)Plantilla'!$C23,RedondeoPersonalTecnico))),0)</f>
        <v>0</v>
      </c>
      <c r="P53" s="78">
        <f>IF(Programa!D$24&gt;0,IF(TipoProgramaPersonalTecnico=1,ROUND(Programa!F$24*'a)Plantilla'!$C23,RedondeoPersonalTecnico),IF(TipoProgramaPersonalTecnico=2,ROUND(Programa!D$24*'a)Plantilla'!$C23,RedondeoPersonalTecnico),ROUND(Programa!D$24*Hjor*'a)Plantilla'!$C23,RedondeoPersonalTecnico))),0)</f>
        <v>0</v>
      </c>
      <c r="Q53" s="27">
        <f>IF(Programa!D$25&gt;0,IF(TipoProgramaPersonalTecnico=1,ROUND(Programa!F$25*'a)Plantilla'!$C23,RedondeoPersonalTecnico),IF(TipoProgramaPersonalTecnico=2,ROUND(Programa!D$25*'a)Plantilla'!$C23,RedondeoPersonalTecnico),ROUND(Programa!D$25*Hjor*'a)Plantilla'!$C23,RedondeoPersonalTecnico))),0)</f>
        <v>0</v>
      </c>
      <c r="R53" s="6">
        <f>IF(Programa!D$26&gt;0,IF(TipoProgramaPersonalTecnico=1,ROUND(Programa!F$26*'a)Plantilla'!$C23,RedondeoPersonalTecnico),IF(TipoProgramaPersonalTecnico=2,ROUND(Programa!D$26*'a)Plantilla'!$C23,RedondeoPersonalTecnico),ROUND(Programa!D$26*Hjor*'a)Plantilla'!$C23,RedondeoPersonalTecnico))),0)</f>
        <v>0</v>
      </c>
      <c r="S53" s="6">
        <f>IF(Programa!D$27&gt;0,IF(TipoProgramaPersonalTecnico=1,ROUND(Programa!F$27*'a)Plantilla'!$C23,RedondeoPersonalTecnico),IF(TipoProgramaPersonalTecnico=2,ROUND(Programa!D$27*'a)Plantilla'!$C23,RedondeoPersonalTecnico),ROUND(Programa!D$27*Hjor*'a)Plantilla'!$C23,RedondeoPersonalTecnico))),0)</f>
        <v>0</v>
      </c>
      <c r="T53" s="6">
        <f>IF(Programa!D$28&gt;0,IF(TipoProgramaPersonalTecnico=1,ROUND(Programa!F$28*'a)Plantilla'!$C23,RedondeoPersonalTecnico),IF(TipoProgramaPersonalTecnico=2,ROUND(Programa!D$28*'a)Plantilla'!$C23,RedondeoPersonalTecnico),ROUND(Programa!D$28*Hjor*'a)Plantilla'!$C23,RedondeoPersonalTecnico))),0)</f>
        <v>0</v>
      </c>
      <c r="U53" s="6">
        <f>IF(Programa!D$29&gt;0,IF(TipoProgramaPersonalTecnico=1,ROUND(Programa!F$29*'a)Plantilla'!$C23,RedondeoPersonalTecnico),IF(TipoProgramaPersonalTecnico=2,ROUND(Programa!D$29*'a)Plantilla'!$C23,RedondeoPersonalTecnico),ROUND(Programa!D$29*Hjor*'a)Plantilla'!$C23,RedondeoPersonalTecnico))),0)</f>
        <v>0</v>
      </c>
      <c r="V53" s="6">
        <f>IF(Programa!D$30&gt;0,IF(TipoProgramaPersonalTecnico=1,ROUND(Programa!F$30*'a)Plantilla'!$C23,RedondeoPersonalTecnico),IF(TipoProgramaPersonalTecnico=2,ROUND(Programa!D$30*'a)Plantilla'!$C23,RedondeoPersonalTecnico),ROUND(Programa!D$30*Hjor*'a)Plantilla'!$C23,RedondeoPersonalTecnico))),0)</f>
        <v>0</v>
      </c>
      <c r="W53" s="6">
        <f>IF(Programa!D$31&gt;0,IF(TipoProgramaPersonalTecnico=1,ROUND(Programa!F$31*'a)Plantilla'!$C23,RedondeoPersonalTecnico),IF(TipoProgramaPersonalTecnico=2,ROUND(Programa!D$31*'a)Plantilla'!$C23,RedondeoPersonalTecnico),ROUND(Programa!D$31*Hjor*'a)Plantilla'!$C23,RedondeoPersonalTecnico))),0)</f>
        <v>0</v>
      </c>
      <c r="X53" s="6">
        <f>IF(Programa!D$32&gt;0,IF(TipoProgramaPersonalTecnico=1,ROUND(Programa!F$32*'a)Plantilla'!$C23,RedondeoPersonalTecnico),IF(TipoProgramaPersonalTecnico=2,ROUND(Programa!D$32*'a)Plantilla'!$C23,RedondeoPersonalTecnico),ROUND(Programa!D$32*Hjor*'a)Plantilla'!$C23,RedondeoPersonalTecnico))),0)</f>
        <v>0</v>
      </c>
      <c r="Y53" s="6">
        <f>IF(Programa!D$33&gt;0,IF(TipoProgramaPersonalTecnico=1,ROUND(Programa!F$33*'a)Plantilla'!$C23,RedondeoPersonalTecnico),IF(TipoProgramaPersonalTecnico=2,ROUND(Programa!D$33*'a)Plantilla'!$C23,RedondeoPersonalTecnico),ROUND(Programa!D$33*Hjor*'a)Plantilla'!$C23,RedondeoPersonalTecnico))),0)</f>
        <v>0</v>
      </c>
      <c r="Z53" s="6">
        <f>IF(Programa!D$34&gt;0,IF(TipoProgramaPersonalTecnico=1,ROUND(Programa!F$34*'a)Plantilla'!$C23,RedondeoPersonalTecnico),IF(TipoProgramaPersonalTecnico=2,ROUND(Programa!D$34*'a)Plantilla'!$C23,RedondeoPersonalTecnico),ROUND(Programa!D$34*Hjor*'a)Plantilla'!$C23,RedondeoPersonalTecnico))),0)</f>
        <v>0</v>
      </c>
      <c r="AA53" s="6">
        <f>IF(Programa!D$35&gt;0,IF(TipoProgramaPersonalTecnico=1,ROUND(Programa!F$35*'a)Plantilla'!$C23,RedondeoPersonalTecnico),IF(TipoProgramaPersonalTecnico=2,ROUND(Programa!D$35*'a)Plantilla'!$C23,RedondeoPersonalTecnico),ROUND(Programa!D$35*Hjor*'a)Plantilla'!$C23,RedondeoPersonalTecnico))),0)</f>
        <v>0</v>
      </c>
      <c r="AB53" s="78">
        <f>IF(Programa!D$36&gt;0,IF(TipoProgramaPersonalTecnico=1,ROUND(Programa!F$36*'a)Plantilla'!$C23,RedondeoPersonalTecnico),IF(TipoProgramaPersonalTecnico=2,ROUND(Programa!D$36*'a)Plantilla'!$C23,RedondeoPersonalTecnico),ROUND(Programa!D$36*Hjor*'a)Plantilla'!$C23,RedondeoPersonalTecnico))),0)</f>
        <v>0</v>
      </c>
      <c r="AC53" s="27">
        <f>IF(Programa!D$37&gt;0,IF(TipoProgramaPersonalTecnico=1,ROUND(Programa!F$37*'a)Plantilla'!$C23,RedondeoPersonalTecnico),IF(TipoProgramaPersonalTecnico=2,ROUND(Programa!D$37*'a)Plantilla'!$C23,RedondeoPersonalTecnico),ROUND(Programa!D$37*Hjor*'a)Plantilla'!$C23,RedondeoPersonalTecnico))),0)</f>
        <v>0</v>
      </c>
      <c r="AD53" s="6">
        <f>IF(Programa!D$38&gt;0,IF(TipoProgramaPersonalTecnico=1,ROUND(Programa!F$38*'a)Plantilla'!$C23,RedondeoPersonalTecnico),IF(TipoProgramaPersonalTecnico=2,ROUND(Programa!D$38*'a)Plantilla'!$C23,RedondeoPersonalTecnico),ROUND(Programa!D$38*Hjor*'a)Plantilla'!$C23,RedondeoPersonalTecnico))),0)</f>
        <v>0</v>
      </c>
      <c r="AE53" s="6">
        <f>IF(Programa!D$39&gt;0,IF(TipoProgramaPersonalTecnico=1,ROUND(Programa!F$39*'a)Plantilla'!$C23,RedondeoPersonalTecnico),IF(TipoProgramaPersonalTecnico=2,ROUND(Programa!D$39*'a)Plantilla'!$C23,RedondeoPersonalTecnico),ROUND(Programa!D$39*Hjor*'a)Plantilla'!$C23,RedondeoPersonalTecnico))),0)</f>
        <v>0</v>
      </c>
      <c r="AF53" s="6">
        <f>IF(Programa!D$40&gt;0,IF(TipoProgramaPersonalTecnico=1,ROUND(Programa!F$40*'a)Plantilla'!$C23,RedondeoPersonalTecnico),IF(TipoProgramaPersonalTecnico=2,ROUND(Programa!D$40*'a)Plantilla'!$C23,RedondeoPersonalTecnico),ROUND(Programa!D$40*Hjor*'a)Plantilla'!$C23,RedondeoPersonalTecnico))),0)</f>
        <v>0</v>
      </c>
      <c r="AG53" s="6">
        <f>IF(Programa!D$41&gt;0,IF(TipoProgramaPersonalTecnico=1,ROUND(Programa!F$41*'a)Plantilla'!$C23,RedondeoPersonalTecnico),IF(TipoProgramaPersonalTecnico=2,ROUND(Programa!D$41*'a)Plantilla'!$C23,RedondeoPersonalTecnico),ROUND(Programa!D$41*Hjor*'a)Plantilla'!$C23,RedondeoPersonalTecnico))),0)</f>
        <v>0</v>
      </c>
      <c r="AH53" s="6">
        <f>IF(Programa!D$42&gt;0,IF(TipoProgramaPersonalTecnico=1,ROUND(Programa!F$42*'a)Plantilla'!$C23,RedondeoPersonalTecnico),IF(TipoProgramaPersonalTecnico=2,ROUND(Programa!D$42*'a)Plantilla'!$C23,RedondeoPersonalTecnico),ROUND(Programa!D$42*Hjor*'a)Plantilla'!$C23,RedondeoPersonalTecnico))),0)</f>
        <v>0</v>
      </c>
      <c r="AI53" s="6">
        <f>IF(Programa!D$43&gt;0,IF(TipoProgramaPersonalTecnico=1,ROUND(Programa!F$43*'a)Plantilla'!$C23,RedondeoPersonalTecnico),IF(TipoProgramaPersonalTecnico=2,ROUND(Programa!D$43*'a)Plantilla'!$C23,RedondeoPersonalTecnico),ROUND(Programa!D$43*Hjor*'a)Plantilla'!$C23,RedondeoPersonalTecnico))),0)</f>
        <v>0</v>
      </c>
      <c r="AJ53" s="6">
        <f>IF(Programa!D$44&gt;0,IF(TipoProgramaPersonalTecnico=1,ROUND(Programa!F$44*'a)Plantilla'!$C23,RedondeoPersonalTecnico),IF(TipoProgramaPersonalTecnico=2,ROUND(Programa!D$44*'a)Plantilla'!$C23,RedondeoPersonalTecnico),ROUND(Programa!D$44*Hjor*'a)Plantilla'!$C23,RedondeoPersonalTecnico))),0)</f>
        <v>0</v>
      </c>
      <c r="AK53" s="6">
        <f>IF(Programa!D$45&gt;0,IF(TipoProgramaPersonalTecnico=1,ROUND(Programa!F$45*'a)Plantilla'!$C23,RedondeoPersonalTecnico),IF(TipoProgramaPersonalTecnico=2,ROUND(Programa!D$45*'a)Plantilla'!$C23,RedondeoPersonalTecnico),ROUND(Programa!D$45*Hjor*'a)Plantilla'!$C23,RedondeoPersonalTecnico))),0)</f>
        <v>0</v>
      </c>
      <c r="AL53" s="6">
        <f>IF(Programa!D$46&gt;0,IF(TipoProgramaPersonalTecnico=1,ROUND(Programa!F$46*'a)Plantilla'!$C23,RedondeoPersonalTecnico),IF(TipoProgramaPersonalTecnico=2,ROUND(Programa!D$46*'a)Plantilla'!$C23,RedondeoPersonalTecnico),ROUND(Programa!D$46*Hjor*'a)Plantilla'!$C23,RedondeoPersonalTecnico))),0)</f>
        <v>0</v>
      </c>
      <c r="AM53" s="6">
        <f>IF(Programa!D$47&gt;0,IF(TipoProgramaPersonalTecnico=1,ROUND(Programa!F$47*'a)Plantilla'!$C23,RedondeoPersonalTecnico),IF(TipoProgramaPersonalTecnico=2,ROUND(Programa!D$47*'a)Plantilla'!$C23,RedondeoPersonalTecnico),ROUND(Programa!D$47*Hjor*'a)Plantilla'!$C23,RedondeoPersonalTecnico))),0)</f>
        <v>0</v>
      </c>
      <c r="AN53" s="78">
        <f>IF(Programa!D$48&gt;0,IF(TipoProgramaPersonalTecnico=1,ROUND(Programa!F$48*'a)Plantilla'!$C23,RedondeoPersonalTecnico),IF(TipoProgramaPersonalTecnico=2,ROUND(Programa!D$48*'a)Plantilla'!$C23,RedondeoPersonalTecnico),ROUND(Programa!D$48*Hjor*'a)Plantilla'!$C23,RedondeoPersonalTecnico))),0)</f>
        <v>0</v>
      </c>
      <c r="AO53" s="27">
        <f>IF(Programa!D$49&gt;0,IF(TipoProgramaPersonalTecnico=1,ROUND(Programa!F$49*'a)Plantilla'!$C23,RedondeoPersonalTecnico),IF(TipoProgramaPersonalTecnico=2,ROUND(Programa!D$49*'a)Plantilla'!$C23,RedondeoPersonalTecnico),ROUND(Programa!D$49*Hjor*'a)Plantilla'!$C23,RedondeoPersonalTecnico))),0)</f>
        <v>0</v>
      </c>
      <c r="AP53" s="6">
        <f>IF(Programa!D$50&gt;0,IF(TipoProgramaPersonalTecnico=1,ROUND(Programa!F$50*'a)Plantilla'!$C23,RedondeoPersonalTecnico),IF(TipoProgramaPersonalTecnico=2,ROUND(Programa!D$50*'a)Plantilla'!$C23,RedondeoPersonalTecnico),ROUND(Programa!D$50*Hjor*'a)Plantilla'!$C23,RedondeoPersonalTecnico))),0)</f>
        <v>0</v>
      </c>
      <c r="AQ53" s="6">
        <f>IF(Programa!D$51&gt;0,IF(TipoProgramaPersonalTecnico=1,ROUND(Programa!F$51*'a)Plantilla'!$C23,RedondeoPersonalTecnico),IF(TipoProgramaPersonalTecnico=2,ROUND(Programa!D$51*'a)Plantilla'!$C23,RedondeoPersonalTecnico),ROUND(Programa!D$51*Hjor*'a)Plantilla'!$C23,RedondeoPersonalTecnico))),0)</f>
        <v>0</v>
      </c>
      <c r="AR53" s="6">
        <f>IF(Programa!D$52&gt;0,IF(TipoProgramaPersonalTecnico=1,ROUND(Programa!F$52*'a)Plantilla'!$C23,RedondeoPersonalTecnico),IF(TipoProgramaPersonalTecnico=2,ROUND(Programa!D$52*'a)Plantilla'!$C23,RedondeoPersonalTecnico),ROUND(Programa!D$52*Hjor*'a)Plantilla'!$C23,RedondeoPersonalTecnico))),0)</f>
        <v>0</v>
      </c>
      <c r="AS53" s="6">
        <f>IF(Programa!D$53&gt;0,IF(TipoProgramaPersonalTecnico=1,ROUND(Programa!F$53*'a)Plantilla'!$C23,RedondeoPersonalTecnico),IF(TipoProgramaPersonalTecnico=2,ROUND(Programa!D$53*'a)Plantilla'!$C23,RedondeoPersonalTecnico),ROUND(Programa!D$53*Hjor*'a)Plantilla'!$C23,RedondeoPersonalTecnico))),0)</f>
        <v>0</v>
      </c>
      <c r="AT53" s="6">
        <f>IF(Programa!D$54&gt;0,IF(TipoProgramaPersonalTecnico=1,ROUND(Programa!F$54*'a)Plantilla'!$C23,RedondeoPersonalTecnico),IF(TipoProgramaPersonalTecnico=2,ROUND(Programa!D$54*'a)Plantilla'!$C23,RedondeoPersonalTecnico),ROUND(Programa!D$54*Hjor*'a)Plantilla'!$C23,RedondeoPersonalTecnico))),0)</f>
        <v>0</v>
      </c>
      <c r="AU53" s="6">
        <f>IF(Programa!D$55&gt;0,IF(TipoProgramaPersonalTecnico=1,ROUND(Programa!F$55*'a)Plantilla'!$C23,RedondeoPersonalTecnico),IF(TipoProgramaPersonalTecnico=2,ROUND(Programa!D$55*'a)Plantilla'!$C23,RedondeoPersonalTecnico),ROUND(Programa!D$55*Hjor*'a)Plantilla'!$C23,RedondeoPersonalTecnico))),0)</f>
        <v>0</v>
      </c>
      <c r="AV53" s="6">
        <f>IF(Programa!D$56&gt;0,IF(TipoProgramaPersonalTecnico=1,ROUND(Programa!F$56*'a)Plantilla'!$C23,RedondeoPersonalTecnico),IF(TipoProgramaPersonalTecnico=2,ROUND(Programa!D$56*'a)Plantilla'!$C23,RedondeoPersonalTecnico),ROUND(Programa!D$56*Hjor*'a)Plantilla'!$C23,RedondeoPersonalTecnico))),0)</f>
        <v>0</v>
      </c>
      <c r="AW53" s="6">
        <f>IF(Programa!D$57&gt;0,IF(TipoProgramaPersonalTecnico=1,ROUND(Programa!F$57*'a)Plantilla'!$C23,RedondeoPersonalTecnico),IF(TipoProgramaPersonalTecnico=2,ROUND(Programa!D$57*'a)Plantilla'!$C23,RedondeoPersonalTecnico),ROUND(Programa!D$57*Hjor*'a)Plantilla'!$C23,RedondeoPersonalTecnico))),0)</f>
        <v>0</v>
      </c>
      <c r="AX53" s="6">
        <f>IF(Programa!D$58&gt;0,IF(TipoProgramaPersonalTecnico=1,ROUND(Programa!F$58*'a)Plantilla'!$C23,RedondeoPersonalTecnico),IF(TipoProgramaPersonalTecnico=2,ROUND(Programa!D$58*'a)Plantilla'!$C23,RedondeoPersonalTecnico),ROUND(Programa!D$58*Hjor*'a)Plantilla'!$C23,RedondeoPersonalTecnico))),0)</f>
        <v>0</v>
      </c>
      <c r="AY53" s="6">
        <f>IF(Programa!D$59&gt;0,IF(TipoProgramaPersonalTecnico=1,ROUND(Programa!F$59*'a)Plantilla'!$C23,RedondeoPersonalTecnico),IF(TipoProgramaPersonalTecnico=2,ROUND(Programa!D$59*'a)Plantilla'!$C23,RedondeoPersonalTecnico),ROUND(Programa!D$59*Hjor*'a)Plantilla'!$C23,RedondeoPersonalTecnico))),0)</f>
        <v>0</v>
      </c>
      <c r="AZ53" s="6">
        <f>IF(Programa!D$60&gt;0,IF(TipoProgramaPersonalTecnico=1,ROUND(Programa!F$60*'a)Plantilla'!$C23,RedondeoPersonalTecnico),IF(TipoProgramaPersonalTecnico=2,ROUND(Programa!D$60*'a)Plantilla'!$C23,RedondeoPersonalTecnico),ROUND(Programa!D$60*Hjor*'a)Plantilla'!$C23,RedondeoPersonalTecnico))),0)</f>
        <v>0</v>
      </c>
      <c r="BA53" s="6">
        <f>IF(Programa!D$61&gt;0,IF(TipoProgramaPersonalTecnico=1,ROUND(Programa!F$61*'a)Plantilla'!$C23,RedondeoPersonalTecnico),IF(TipoProgramaPersonalTecnico=2,ROUND(Programa!D$61*'a)Plantilla'!$C23,RedondeoPersonalTecnico),ROUND(Programa!D$61*Hjor*'a)Plantilla'!$C23,RedondeoPersonalTecnico))),0)</f>
        <v>0</v>
      </c>
      <c r="BB53" s="6">
        <f>IF(Programa!D$62&gt;0,IF(TipoProgramaPersonalTecnico=1,ROUND(Programa!F$62*'a)Plantilla'!$C23,RedondeoPersonalTecnico),IF(TipoProgramaPersonalTecnico=2,ROUND(Programa!D$62*'a)Plantilla'!$C23,RedondeoPersonalTecnico),ROUND(Programa!D$62*Hjor*'a)Plantilla'!$C23,RedondeoPersonalTecnico))),0)</f>
        <v>0</v>
      </c>
      <c r="BC53" s="6">
        <f>IF(Programa!D$63&gt;0,IF(TipoProgramaPersonalTecnico=1,ROUND(Programa!F$63*'a)Plantilla'!$C23,RedondeoPersonalTecnico),IF(TipoProgramaPersonalTecnico=2,ROUND(Programa!D$63*'a)Plantilla'!$C23,RedondeoPersonalTecnico),ROUND(Programa!D$63*Hjor*'a)Plantilla'!$C23,RedondeoPersonalTecnico))),0)</f>
        <v>0</v>
      </c>
      <c r="BD53" s="6">
        <f>IF(Programa!D$64&gt;0,IF(TipoProgramaPersonalTecnico=1,ROUND(Programa!F$64*'a)Plantilla'!$C23,RedondeoPersonalTecnico),IF(TipoProgramaPersonalTecnico=2,ROUND(Programa!D$64*'a)Plantilla'!$C23,RedondeoPersonalTecnico),ROUND(Programa!D$64*Hjor*'a)Plantilla'!$C23,RedondeoPersonalTecnico))),0)</f>
        <v>0</v>
      </c>
      <c r="BE53" s="6">
        <f>IF(Programa!D$65&gt;0,IF(TipoProgramaPersonalTecnico=1,ROUND(Programa!F$65*'a)Plantilla'!$C23,RedondeoPersonalTecnico),IF(TipoProgramaPersonalTecnico=2,ROUND(Programa!D$65*'a)Plantilla'!$C23,RedondeoPersonalTecnico),ROUND(Programa!D$65*Hjor*'a)Plantilla'!$C23,RedondeoPersonalTecnico))),0)</f>
        <v>0</v>
      </c>
      <c r="BF53" s="6">
        <f>IF(Programa!D$66&gt;0,IF(TipoProgramaPersonalTecnico=1,ROUND(Programa!F$66*'a)Plantilla'!$C23,RedondeoPersonalTecnico),IF(TipoProgramaPersonalTecnico=2,ROUND(Programa!D$66*'a)Plantilla'!$C23,RedondeoPersonalTecnico),ROUND(Programa!D$66*Hjor*'a)Plantilla'!$C23,RedondeoPersonalTecnico))),0)</f>
        <v>0</v>
      </c>
      <c r="BG53" s="6">
        <f>IF(Programa!D$67&gt;0,IF(TipoProgramaPersonalTecnico=1,ROUND(Programa!F$67*'a)Plantilla'!$C23,RedondeoPersonalTecnico),IF(TipoProgramaPersonalTecnico=2,ROUND(Programa!D$67*'a)Plantilla'!$C23,RedondeoPersonalTecnico),ROUND(Programa!D$67*Hjor*'a)Plantilla'!$C23,RedondeoPersonalTecnico))),0)</f>
        <v>0</v>
      </c>
      <c r="BH53" s="6">
        <f>IF(Programa!D$68&gt;0,IF(TipoProgramaPersonalTecnico=1,ROUND(Programa!F$68*'a)Plantilla'!$C23,RedondeoPersonalTecnico),IF(TipoProgramaPersonalTecnico=2,ROUND(Programa!D$68*'a)Plantilla'!$C23,RedondeoPersonalTecnico),ROUND(Programa!D$68*Hjor*'a)Plantilla'!$C23,RedondeoPersonalTecnico))),0)</f>
        <v>0</v>
      </c>
      <c r="BI53" s="6">
        <f>IF(Programa!D$69&gt;0,IF(TipoProgramaPersonalTecnico=1,ROUND(Programa!F$69*'a)Plantilla'!$C23,RedondeoPersonalTecnico),IF(TipoProgramaPersonalTecnico=2,ROUND(Programa!D$69*'a)Plantilla'!$C23,RedondeoPersonalTecnico),ROUND(Programa!D$69*Hjor*'a)Plantilla'!$C23,RedondeoPersonalTecnico))),0)</f>
        <v>0</v>
      </c>
      <c r="BJ53" s="6">
        <f>IF(Programa!D$70&gt;0,IF(TipoProgramaPersonalTecnico=1,ROUND(Programa!F$70*'a)Plantilla'!$C23,RedondeoPersonalTecnico),IF(TipoProgramaPersonalTecnico=2,ROUND(Programa!D$70*'a)Plantilla'!$C23,RedondeoPersonalTecnico),ROUND(Programa!D$70*Hjor*'a)Plantilla'!$C23,RedondeoPersonalTecnico))),0)</f>
        <v>0</v>
      </c>
      <c r="BK53" s="6">
        <f>IF(Programa!D$71&gt;0,IF(TipoProgramaPersonalTecnico=1,ROUND(Programa!F$71*'a)Plantilla'!$C23,RedondeoPersonalTecnico),IF(TipoProgramaPersonalTecnico=2,ROUND(Programa!D$71*'a)Plantilla'!$C23,RedondeoPersonalTecnico),ROUND(Programa!D$71*Hjor*'a)Plantilla'!$C23,RedondeoPersonalTecnico))),0)</f>
        <v>0</v>
      </c>
      <c r="BL53" s="78">
        <f>IF(Programa!D$72&gt;0,IF(TipoProgramaPersonalTecnico=1,ROUND(Programa!F$72*'a)Plantilla'!$C23,RedondeoPersonalTecnico),IF(TipoProgramaPersonalTecnico=2,ROUND(Programa!D$72*'a)Plantilla'!$C23,RedondeoPersonalTecnico),ROUND(Programa!D$72*Hjor*'a)Plantilla'!$C23,RedondeoPersonalTecnico))),0)</f>
        <v>0</v>
      </c>
    </row>
    <row r="54" spans="1:64" ht="8.1" customHeight="1">
      <c r="A54" s="67"/>
      <c r="B54" s="46"/>
      <c r="C54" s="31"/>
      <c r="D54" s="22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78"/>
      <c r="Q54" s="27"/>
      <c r="R54" s="6"/>
      <c r="S54" s="6"/>
      <c r="T54" s="6"/>
      <c r="U54" s="6"/>
      <c r="V54" s="6"/>
      <c r="W54" s="6"/>
      <c r="X54" s="6"/>
      <c r="Y54" s="6"/>
      <c r="Z54" s="6"/>
      <c r="AA54" s="6"/>
      <c r="AB54" s="78"/>
      <c r="AC54" s="27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78"/>
      <c r="AO54" s="27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78"/>
    </row>
    <row r="55" spans="1:64" ht="11.25" customHeight="1">
      <c r="A55" s="67"/>
      <c r="B55" s="46" t="str">
        <f>IF('a)Plantilla'!C24&gt;0,'a)Plantilla'!B24,"")</f>
        <v/>
      </c>
      <c r="C55" s="17" t="str">
        <f>IF('a)Plantilla'!C$24&gt;0,IF(TipoProgramaPersonalTecnico=1,"Personas",IF(TipoProgramaPersonalTecnico=2,"Jornal","horas-Hombre")),"")</f>
        <v/>
      </c>
      <c r="D55" s="226">
        <f>ROUND(SUM(E55:BL55),RedondeoPersonalTecnico)</f>
        <v>0</v>
      </c>
      <c r="E55" s="6">
        <f>IF(Programa!D$13&gt;0,IF(TipoProgramaPersonalTecnico=1,ROUND(Programa!F$13*'a)Plantilla'!$C24,RedondeoPersonalTecnico),IF(TipoProgramaPersonalTecnico=2,ROUND(Programa!D$13*'a)Plantilla'!$C24,RedondeoPersonalTecnico),ROUND(Programa!D$13*Hjor*'a)Plantilla'!$C24,RedondeoPersonalTecnico))),0)</f>
        <v>0</v>
      </c>
      <c r="F55" s="6">
        <f>IF(Programa!D$14&gt;0,IF(TipoProgramaPersonalTecnico=1,ROUND(Programa!F$14*'a)Plantilla'!$C24,RedondeoPersonalTecnico),IF(TipoProgramaPersonalTecnico=2,ROUND(Programa!D$14*'a)Plantilla'!$C24,RedondeoPersonalTecnico),ROUND(Programa!D$14*Hjor*'a)Plantilla'!$C24,RedondeoPersonalTecnico))),0)</f>
        <v>0</v>
      </c>
      <c r="G55" s="6">
        <f>IF(Programa!D$15&gt;0,IF(TipoProgramaPersonalTecnico=1,ROUND(Programa!F$15*'a)Plantilla'!$C24,RedondeoPersonalTecnico),IF(TipoProgramaPersonalTecnico=2,ROUND(Programa!D$15*'a)Plantilla'!$C24,RedondeoPersonalTecnico),ROUND(Programa!D$15*Hjor*'a)Plantilla'!$C24,RedondeoPersonalTecnico))),0)</f>
        <v>0</v>
      </c>
      <c r="H55" s="6">
        <f>IF(Programa!D$16&gt;0,IF(TipoProgramaPersonalTecnico=1,ROUND(Programa!F$16*'a)Plantilla'!$C24,RedondeoPersonalTecnico),IF(TipoProgramaPersonalTecnico=2,ROUND(Programa!D$16*'a)Plantilla'!$C24,RedondeoPersonalTecnico),ROUND(Programa!D$16*Hjor*'a)Plantilla'!$C24,RedondeoPersonalTecnico))),0)</f>
        <v>0</v>
      </c>
      <c r="I55" s="6">
        <f>IF(Programa!D$17&gt;0,IF(TipoProgramaPersonalTecnico=1,ROUND(Programa!F$17*'a)Plantilla'!$C24,RedondeoPersonalTecnico),IF(TipoProgramaPersonalTecnico=2,ROUND(Programa!D$17*'a)Plantilla'!$C24,RedondeoPersonalTecnico),ROUND(Programa!D$17*Hjor*'a)Plantilla'!$C24,RedondeoPersonalTecnico))),0)</f>
        <v>0</v>
      </c>
      <c r="J55" s="6">
        <f>IF(Programa!D$18&gt;0,IF(TipoProgramaPersonalTecnico=1,ROUND(Programa!F$18*'a)Plantilla'!$C24,RedondeoPersonalTecnico),IF(TipoProgramaPersonalTecnico=2,ROUND(Programa!D$18*'a)Plantilla'!$C24,RedondeoPersonalTecnico),ROUND(Programa!D$18*Hjor*'a)Plantilla'!$C24,RedondeoPersonalTecnico))),0)</f>
        <v>0</v>
      </c>
      <c r="K55" s="6">
        <f>IF(Programa!D$19&gt;0,IF(TipoProgramaPersonalTecnico=1,ROUND(Programa!F$19*'a)Plantilla'!$C24,RedondeoPersonalTecnico),IF(TipoProgramaPersonalTecnico=2,ROUND(Programa!D$19*'a)Plantilla'!$C24,RedondeoPersonalTecnico),ROUND(Programa!D$19*Hjor*'a)Plantilla'!$C24,RedondeoPersonalTecnico))),0)</f>
        <v>0</v>
      </c>
      <c r="L55" s="6">
        <f>IF(Programa!D$20&gt;0,IF(TipoProgramaPersonalTecnico=1,ROUND(Programa!F$20*'a)Plantilla'!$C24,RedondeoPersonalTecnico),IF(TipoProgramaPersonalTecnico=2,ROUND(Programa!D$20*'a)Plantilla'!$C24,RedondeoPersonalTecnico),ROUND(Programa!D$20*Hjor*'a)Plantilla'!$C24,RedondeoPersonalTecnico))),0)</f>
        <v>0</v>
      </c>
      <c r="M55" s="6">
        <f>IF(Programa!D$21&gt;0,IF(TipoProgramaPersonalTecnico=1,ROUND(Programa!F$21*'a)Plantilla'!$C24,RedondeoPersonalTecnico),IF(TipoProgramaPersonalTecnico=2,ROUND(Programa!D$21*'a)Plantilla'!$C24,RedondeoPersonalTecnico),ROUND(Programa!D$21*Hjor*'a)Plantilla'!$C24,RedondeoPersonalTecnico))),0)</f>
        <v>0</v>
      </c>
      <c r="N55" s="6">
        <f>IF(Programa!D$22&gt;0,IF(TipoProgramaPersonalTecnico=1,ROUND(Programa!F$22*'a)Plantilla'!$C24,RedondeoPersonalTecnico),IF(TipoProgramaPersonalTecnico=2,ROUND(Programa!D$22*'a)Plantilla'!$C24,RedondeoPersonalTecnico),ROUND(Programa!D$22*Hjor*'a)Plantilla'!$C24,RedondeoPersonalTecnico))),0)</f>
        <v>0</v>
      </c>
      <c r="O55" s="6">
        <f>IF(Programa!D$23&gt;0,IF(TipoProgramaPersonalTecnico=1,ROUND(Programa!F$23*'a)Plantilla'!$C24,RedondeoPersonalTecnico),IF(TipoProgramaPersonalTecnico=2,ROUND(Programa!D$23*'a)Plantilla'!$C24,RedondeoPersonalTecnico),ROUND(Programa!D$23*Hjor*'a)Plantilla'!$C24,RedondeoPersonalTecnico))),0)</f>
        <v>0</v>
      </c>
      <c r="P55" s="78">
        <f>IF(Programa!D$24&gt;0,IF(TipoProgramaPersonalTecnico=1,ROUND(Programa!F$24*'a)Plantilla'!$C24,RedondeoPersonalTecnico),IF(TipoProgramaPersonalTecnico=2,ROUND(Programa!D$24*'a)Plantilla'!$C24,RedondeoPersonalTecnico),ROUND(Programa!D$24*Hjor*'a)Plantilla'!$C24,RedondeoPersonalTecnico))),0)</f>
        <v>0</v>
      </c>
      <c r="Q55" s="27">
        <f>IF(Programa!D$25&gt;0,IF(TipoProgramaPersonalTecnico=1,ROUND(Programa!F$25*'a)Plantilla'!$C24,RedondeoPersonalTecnico),IF(TipoProgramaPersonalTecnico=2,ROUND(Programa!D$25*'a)Plantilla'!$C24,RedondeoPersonalTecnico),ROUND(Programa!D$25*Hjor*'a)Plantilla'!$C24,RedondeoPersonalTecnico))),0)</f>
        <v>0</v>
      </c>
      <c r="R55" s="6">
        <f>IF(Programa!D$26&gt;0,IF(TipoProgramaPersonalTecnico=1,ROUND(Programa!F$26*'a)Plantilla'!$C24,RedondeoPersonalTecnico),IF(TipoProgramaPersonalTecnico=2,ROUND(Programa!D$26*'a)Plantilla'!$C24,RedondeoPersonalTecnico),ROUND(Programa!D$26*Hjor*'a)Plantilla'!$C24,RedondeoPersonalTecnico))),0)</f>
        <v>0</v>
      </c>
      <c r="S55" s="6">
        <f>IF(Programa!D$27&gt;0,IF(TipoProgramaPersonalTecnico=1,ROUND(Programa!F$27*'a)Plantilla'!$C24,RedondeoPersonalTecnico),IF(TipoProgramaPersonalTecnico=2,ROUND(Programa!D$27*'a)Plantilla'!$C24,RedondeoPersonalTecnico),ROUND(Programa!D$27*Hjor*'a)Plantilla'!$C24,RedondeoPersonalTecnico))),0)</f>
        <v>0</v>
      </c>
      <c r="T55" s="6">
        <f>IF(Programa!D$28&gt;0,IF(TipoProgramaPersonalTecnico=1,ROUND(Programa!F$28*'a)Plantilla'!$C24,RedondeoPersonalTecnico),IF(TipoProgramaPersonalTecnico=2,ROUND(Programa!D$28*'a)Plantilla'!$C24,RedondeoPersonalTecnico),ROUND(Programa!D$28*Hjor*'a)Plantilla'!$C24,RedondeoPersonalTecnico))),0)</f>
        <v>0</v>
      </c>
      <c r="U55" s="6">
        <f>IF(Programa!D$29&gt;0,IF(TipoProgramaPersonalTecnico=1,ROUND(Programa!F$29*'a)Plantilla'!$C24,RedondeoPersonalTecnico),IF(TipoProgramaPersonalTecnico=2,ROUND(Programa!D$29*'a)Plantilla'!$C24,RedondeoPersonalTecnico),ROUND(Programa!D$29*Hjor*'a)Plantilla'!$C24,RedondeoPersonalTecnico))),0)</f>
        <v>0</v>
      </c>
      <c r="V55" s="6">
        <f>IF(Programa!D$30&gt;0,IF(TipoProgramaPersonalTecnico=1,ROUND(Programa!F$30*'a)Plantilla'!$C24,RedondeoPersonalTecnico),IF(TipoProgramaPersonalTecnico=2,ROUND(Programa!D$30*'a)Plantilla'!$C24,RedondeoPersonalTecnico),ROUND(Programa!D$30*Hjor*'a)Plantilla'!$C24,RedondeoPersonalTecnico))),0)</f>
        <v>0</v>
      </c>
      <c r="W55" s="6">
        <f>IF(Programa!D$31&gt;0,IF(TipoProgramaPersonalTecnico=1,ROUND(Programa!F$31*'a)Plantilla'!$C24,RedondeoPersonalTecnico),IF(TipoProgramaPersonalTecnico=2,ROUND(Programa!D$31*'a)Plantilla'!$C24,RedondeoPersonalTecnico),ROUND(Programa!D$31*Hjor*'a)Plantilla'!$C24,RedondeoPersonalTecnico))),0)</f>
        <v>0</v>
      </c>
      <c r="X55" s="6">
        <f>IF(Programa!D$32&gt;0,IF(TipoProgramaPersonalTecnico=1,ROUND(Programa!F$32*'a)Plantilla'!$C24,RedondeoPersonalTecnico),IF(TipoProgramaPersonalTecnico=2,ROUND(Programa!D$32*'a)Plantilla'!$C24,RedondeoPersonalTecnico),ROUND(Programa!D$32*Hjor*'a)Plantilla'!$C24,RedondeoPersonalTecnico))),0)</f>
        <v>0</v>
      </c>
      <c r="Y55" s="6">
        <f>IF(Programa!D$33&gt;0,IF(TipoProgramaPersonalTecnico=1,ROUND(Programa!F$33*'a)Plantilla'!$C24,RedondeoPersonalTecnico),IF(TipoProgramaPersonalTecnico=2,ROUND(Programa!D$33*'a)Plantilla'!$C24,RedondeoPersonalTecnico),ROUND(Programa!D$33*Hjor*'a)Plantilla'!$C24,RedondeoPersonalTecnico))),0)</f>
        <v>0</v>
      </c>
      <c r="Z55" s="6">
        <f>IF(Programa!D$34&gt;0,IF(TipoProgramaPersonalTecnico=1,ROUND(Programa!F$34*'a)Plantilla'!$C24,RedondeoPersonalTecnico),IF(TipoProgramaPersonalTecnico=2,ROUND(Programa!D$34*'a)Plantilla'!$C24,RedondeoPersonalTecnico),ROUND(Programa!D$34*Hjor*'a)Plantilla'!$C24,RedondeoPersonalTecnico))),0)</f>
        <v>0</v>
      </c>
      <c r="AA55" s="6">
        <f>IF(Programa!D$35&gt;0,IF(TipoProgramaPersonalTecnico=1,ROUND(Programa!F$35*'a)Plantilla'!$C24,RedondeoPersonalTecnico),IF(TipoProgramaPersonalTecnico=2,ROUND(Programa!D$35*'a)Plantilla'!$C24,RedondeoPersonalTecnico),ROUND(Programa!D$35*Hjor*'a)Plantilla'!$C24,RedondeoPersonalTecnico))),0)</f>
        <v>0</v>
      </c>
      <c r="AB55" s="78">
        <f>IF(Programa!D$36&gt;0,IF(TipoProgramaPersonalTecnico=1,ROUND(Programa!F$36*'a)Plantilla'!$C24,RedondeoPersonalTecnico),IF(TipoProgramaPersonalTecnico=2,ROUND(Programa!D$36*'a)Plantilla'!$C24,RedondeoPersonalTecnico),ROUND(Programa!D$36*Hjor*'a)Plantilla'!$C24,RedondeoPersonalTecnico))),0)</f>
        <v>0</v>
      </c>
      <c r="AC55" s="27">
        <f>IF(Programa!D$37&gt;0,IF(TipoProgramaPersonalTecnico=1,ROUND(Programa!F$37*'a)Plantilla'!$C24,RedondeoPersonalTecnico),IF(TipoProgramaPersonalTecnico=2,ROUND(Programa!D$37*'a)Plantilla'!$C24,RedondeoPersonalTecnico),ROUND(Programa!D$37*Hjor*'a)Plantilla'!$C24,RedondeoPersonalTecnico))),0)</f>
        <v>0</v>
      </c>
      <c r="AD55" s="6">
        <f>IF(Programa!D$38&gt;0,IF(TipoProgramaPersonalTecnico=1,ROUND(Programa!F$38*'a)Plantilla'!$C24,RedondeoPersonalTecnico),IF(TipoProgramaPersonalTecnico=2,ROUND(Programa!D$38*'a)Plantilla'!$C24,RedondeoPersonalTecnico),ROUND(Programa!D$38*Hjor*'a)Plantilla'!$C24,RedondeoPersonalTecnico))),0)</f>
        <v>0</v>
      </c>
      <c r="AE55" s="6">
        <f>IF(Programa!D$39&gt;0,IF(TipoProgramaPersonalTecnico=1,ROUND(Programa!F$39*'a)Plantilla'!$C24,RedondeoPersonalTecnico),IF(TipoProgramaPersonalTecnico=2,ROUND(Programa!D$39*'a)Plantilla'!$C24,RedondeoPersonalTecnico),ROUND(Programa!D$39*Hjor*'a)Plantilla'!$C24,RedondeoPersonalTecnico))),0)</f>
        <v>0</v>
      </c>
      <c r="AF55" s="6">
        <f>IF(Programa!D$40&gt;0,IF(TipoProgramaPersonalTecnico=1,ROUND(Programa!F$40*'a)Plantilla'!$C24,RedondeoPersonalTecnico),IF(TipoProgramaPersonalTecnico=2,ROUND(Programa!D$40*'a)Plantilla'!$C24,RedondeoPersonalTecnico),ROUND(Programa!D$40*Hjor*'a)Plantilla'!$C24,RedondeoPersonalTecnico))),0)</f>
        <v>0</v>
      </c>
      <c r="AG55" s="6">
        <f>IF(Programa!D$41&gt;0,IF(TipoProgramaPersonalTecnico=1,ROUND(Programa!F$41*'a)Plantilla'!$C24,RedondeoPersonalTecnico),IF(TipoProgramaPersonalTecnico=2,ROUND(Programa!D$41*'a)Plantilla'!$C24,RedondeoPersonalTecnico),ROUND(Programa!D$41*Hjor*'a)Plantilla'!$C24,RedondeoPersonalTecnico))),0)</f>
        <v>0</v>
      </c>
      <c r="AH55" s="6">
        <f>IF(Programa!D$42&gt;0,IF(TipoProgramaPersonalTecnico=1,ROUND(Programa!F$42*'a)Plantilla'!$C24,RedondeoPersonalTecnico),IF(TipoProgramaPersonalTecnico=2,ROUND(Programa!D$42*'a)Plantilla'!$C24,RedondeoPersonalTecnico),ROUND(Programa!D$42*Hjor*'a)Plantilla'!$C24,RedondeoPersonalTecnico))),0)</f>
        <v>0</v>
      </c>
      <c r="AI55" s="6">
        <f>IF(Programa!D$43&gt;0,IF(TipoProgramaPersonalTecnico=1,ROUND(Programa!F$43*'a)Plantilla'!$C24,RedondeoPersonalTecnico),IF(TipoProgramaPersonalTecnico=2,ROUND(Programa!D$43*'a)Plantilla'!$C24,RedondeoPersonalTecnico),ROUND(Programa!D$43*Hjor*'a)Plantilla'!$C24,RedondeoPersonalTecnico))),0)</f>
        <v>0</v>
      </c>
      <c r="AJ55" s="6">
        <f>IF(Programa!D$44&gt;0,IF(TipoProgramaPersonalTecnico=1,ROUND(Programa!F$44*'a)Plantilla'!$C24,RedondeoPersonalTecnico),IF(TipoProgramaPersonalTecnico=2,ROUND(Programa!D$44*'a)Plantilla'!$C24,RedondeoPersonalTecnico),ROUND(Programa!D$44*Hjor*'a)Plantilla'!$C24,RedondeoPersonalTecnico))),0)</f>
        <v>0</v>
      </c>
      <c r="AK55" s="6">
        <f>IF(Programa!D$45&gt;0,IF(TipoProgramaPersonalTecnico=1,ROUND(Programa!F$45*'a)Plantilla'!$C24,RedondeoPersonalTecnico),IF(TipoProgramaPersonalTecnico=2,ROUND(Programa!D$45*'a)Plantilla'!$C24,RedondeoPersonalTecnico),ROUND(Programa!D$45*Hjor*'a)Plantilla'!$C24,RedondeoPersonalTecnico))),0)</f>
        <v>0</v>
      </c>
      <c r="AL55" s="6">
        <f>IF(Programa!D$46&gt;0,IF(TipoProgramaPersonalTecnico=1,ROUND(Programa!F$46*'a)Plantilla'!$C24,RedondeoPersonalTecnico),IF(TipoProgramaPersonalTecnico=2,ROUND(Programa!D$46*'a)Plantilla'!$C24,RedondeoPersonalTecnico),ROUND(Programa!D$46*Hjor*'a)Plantilla'!$C24,RedondeoPersonalTecnico))),0)</f>
        <v>0</v>
      </c>
      <c r="AM55" s="6">
        <f>IF(Programa!D$47&gt;0,IF(TipoProgramaPersonalTecnico=1,ROUND(Programa!F$47*'a)Plantilla'!$C24,RedondeoPersonalTecnico),IF(TipoProgramaPersonalTecnico=2,ROUND(Programa!D$47*'a)Plantilla'!$C24,RedondeoPersonalTecnico),ROUND(Programa!D$47*Hjor*'a)Plantilla'!$C24,RedondeoPersonalTecnico))),0)</f>
        <v>0</v>
      </c>
      <c r="AN55" s="78">
        <f>IF(Programa!D$48&gt;0,IF(TipoProgramaPersonalTecnico=1,ROUND(Programa!F$48*'a)Plantilla'!$C24,RedondeoPersonalTecnico),IF(TipoProgramaPersonalTecnico=2,ROUND(Programa!D$48*'a)Plantilla'!$C24,RedondeoPersonalTecnico),ROUND(Programa!D$48*Hjor*'a)Plantilla'!$C24,RedondeoPersonalTecnico))),0)</f>
        <v>0</v>
      </c>
      <c r="AO55" s="27">
        <f>IF(Programa!D$49&gt;0,IF(TipoProgramaPersonalTecnico=1,ROUND(Programa!F$49*'a)Plantilla'!$C24,RedondeoPersonalTecnico),IF(TipoProgramaPersonalTecnico=2,ROUND(Programa!D$49*'a)Plantilla'!$C24,RedondeoPersonalTecnico),ROUND(Programa!D$49*Hjor*'a)Plantilla'!$C24,RedondeoPersonalTecnico))),0)</f>
        <v>0</v>
      </c>
      <c r="AP55" s="6">
        <f>IF(Programa!D$50&gt;0,IF(TipoProgramaPersonalTecnico=1,ROUND(Programa!F$50*'a)Plantilla'!$C24,RedondeoPersonalTecnico),IF(TipoProgramaPersonalTecnico=2,ROUND(Programa!D$50*'a)Plantilla'!$C24,RedondeoPersonalTecnico),ROUND(Programa!D$50*Hjor*'a)Plantilla'!$C24,RedondeoPersonalTecnico))),0)</f>
        <v>0</v>
      </c>
      <c r="AQ55" s="6">
        <f>IF(Programa!D$51&gt;0,IF(TipoProgramaPersonalTecnico=1,ROUND(Programa!F$51*'a)Plantilla'!$C24,RedondeoPersonalTecnico),IF(TipoProgramaPersonalTecnico=2,ROUND(Programa!D$51*'a)Plantilla'!$C24,RedondeoPersonalTecnico),ROUND(Programa!D$51*Hjor*'a)Plantilla'!$C24,RedondeoPersonalTecnico))),0)</f>
        <v>0</v>
      </c>
      <c r="AR55" s="6">
        <f>IF(Programa!D$52&gt;0,IF(TipoProgramaPersonalTecnico=1,ROUND(Programa!F$52*'a)Plantilla'!$C24,RedondeoPersonalTecnico),IF(TipoProgramaPersonalTecnico=2,ROUND(Programa!D$52*'a)Plantilla'!$C24,RedondeoPersonalTecnico),ROUND(Programa!D$52*Hjor*'a)Plantilla'!$C24,RedondeoPersonalTecnico))),0)</f>
        <v>0</v>
      </c>
      <c r="AS55" s="6">
        <f>IF(Programa!D$53&gt;0,IF(TipoProgramaPersonalTecnico=1,ROUND(Programa!F$53*'a)Plantilla'!$C24,RedondeoPersonalTecnico),IF(TipoProgramaPersonalTecnico=2,ROUND(Programa!D$53*'a)Plantilla'!$C24,RedondeoPersonalTecnico),ROUND(Programa!D$53*Hjor*'a)Plantilla'!$C24,RedondeoPersonalTecnico))),0)</f>
        <v>0</v>
      </c>
      <c r="AT55" s="6">
        <f>IF(Programa!D$54&gt;0,IF(TipoProgramaPersonalTecnico=1,ROUND(Programa!F$54*'a)Plantilla'!$C24,RedondeoPersonalTecnico),IF(TipoProgramaPersonalTecnico=2,ROUND(Programa!D$54*'a)Plantilla'!$C24,RedondeoPersonalTecnico),ROUND(Programa!D$54*Hjor*'a)Plantilla'!$C24,RedondeoPersonalTecnico))),0)</f>
        <v>0</v>
      </c>
      <c r="AU55" s="6">
        <f>IF(Programa!D$55&gt;0,IF(TipoProgramaPersonalTecnico=1,ROUND(Programa!F$55*'a)Plantilla'!$C24,RedondeoPersonalTecnico),IF(TipoProgramaPersonalTecnico=2,ROUND(Programa!D$55*'a)Plantilla'!$C24,RedondeoPersonalTecnico),ROUND(Programa!D$55*Hjor*'a)Plantilla'!$C24,RedondeoPersonalTecnico))),0)</f>
        <v>0</v>
      </c>
      <c r="AV55" s="6">
        <f>IF(Programa!D$56&gt;0,IF(TipoProgramaPersonalTecnico=1,ROUND(Programa!F$56*'a)Plantilla'!$C24,RedondeoPersonalTecnico),IF(TipoProgramaPersonalTecnico=2,ROUND(Programa!D$56*'a)Plantilla'!$C24,RedondeoPersonalTecnico),ROUND(Programa!D$56*Hjor*'a)Plantilla'!$C24,RedondeoPersonalTecnico))),0)</f>
        <v>0</v>
      </c>
      <c r="AW55" s="6">
        <f>IF(Programa!D$57&gt;0,IF(TipoProgramaPersonalTecnico=1,ROUND(Programa!F$57*'a)Plantilla'!$C24,RedondeoPersonalTecnico),IF(TipoProgramaPersonalTecnico=2,ROUND(Programa!D$57*'a)Plantilla'!$C24,RedondeoPersonalTecnico),ROUND(Programa!D$57*Hjor*'a)Plantilla'!$C24,RedondeoPersonalTecnico))),0)</f>
        <v>0</v>
      </c>
      <c r="AX55" s="6">
        <f>IF(Programa!D$58&gt;0,IF(TipoProgramaPersonalTecnico=1,ROUND(Programa!F$58*'a)Plantilla'!$C24,RedondeoPersonalTecnico),IF(TipoProgramaPersonalTecnico=2,ROUND(Programa!D$58*'a)Plantilla'!$C24,RedondeoPersonalTecnico),ROUND(Programa!D$58*Hjor*'a)Plantilla'!$C24,RedondeoPersonalTecnico))),0)</f>
        <v>0</v>
      </c>
      <c r="AY55" s="6">
        <f>IF(Programa!D$59&gt;0,IF(TipoProgramaPersonalTecnico=1,ROUND(Programa!F$59*'a)Plantilla'!$C24,RedondeoPersonalTecnico),IF(TipoProgramaPersonalTecnico=2,ROUND(Programa!D$59*'a)Plantilla'!$C24,RedondeoPersonalTecnico),ROUND(Programa!D$59*Hjor*'a)Plantilla'!$C24,RedondeoPersonalTecnico))),0)</f>
        <v>0</v>
      </c>
      <c r="AZ55" s="6">
        <f>IF(Programa!D$60&gt;0,IF(TipoProgramaPersonalTecnico=1,ROUND(Programa!F$60*'a)Plantilla'!$C24,RedondeoPersonalTecnico),IF(TipoProgramaPersonalTecnico=2,ROUND(Programa!D$60*'a)Plantilla'!$C24,RedondeoPersonalTecnico),ROUND(Programa!D$60*Hjor*'a)Plantilla'!$C24,RedondeoPersonalTecnico))),0)</f>
        <v>0</v>
      </c>
      <c r="BA55" s="6">
        <f>IF(Programa!D$61&gt;0,IF(TipoProgramaPersonalTecnico=1,ROUND(Programa!F$61*'a)Plantilla'!$C24,RedondeoPersonalTecnico),IF(TipoProgramaPersonalTecnico=2,ROUND(Programa!D$61*'a)Plantilla'!$C24,RedondeoPersonalTecnico),ROUND(Programa!D$61*Hjor*'a)Plantilla'!$C24,RedondeoPersonalTecnico))),0)</f>
        <v>0</v>
      </c>
      <c r="BB55" s="6">
        <f>IF(Programa!D$62&gt;0,IF(TipoProgramaPersonalTecnico=1,ROUND(Programa!F$62*'a)Plantilla'!$C24,RedondeoPersonalTecnico),IF(TipoProgramaPersonalTecnico=2,ROUND(Programa!D$62*'a)Plantilla'!$C24,RedondeoPersonalTecnico),ROUND(Programa!D$62*Hjor*'a)Plantilla'!$C24,RedondeoPersonalTecnico))),0)</f>
        <v>0</v>
      </c>
      <c r="BC55" s="6">
        <f>IF(Programa!D$63&gt;0,IF(TipoProgramaPersonalTecnico=1,ROUND(Programa!F$63*'a)Plantilla'!$C24,RedondeoPersonalTecnico),IF(TipoProgramaPersonalTecnico=2,ROUND(Programa!D$63*'a)Plantilla'!$C24,RedondeoPersonalTecnico),ROUND(Programa!D$63*Hjor*'a)Plantilla'!$C24,RedondeoPersonalTecnico))),0)</f>
        <v>0</v>
      </c>
      <c r="BD55" s="6">
        <f>IF(Programa!D$64&gt;0,IF(TipoProgramaPersonalTecnico=1,ROUND(Programa!F$64*'a)Plantilla'!$C24,RedondeoPersonalTecnico),IF(TipoProgramaPersonalTecnico=2,ROUND(Programa!D$64*'a)Plantilla'!$C24,RedondeoPersonalTecnico),ROUND(Programa!D$64*Hjor*'a)Plantilla'!$C24,RedondeoPersonalTecnico))),0)</f>
        <v>0</v>
      </c>
      <c r="BE55" s="6">
        <f>IF(Programa!D$65&gt;0,IF(TipoProgramaPersonalTecnico=1,ROUND(Programa!F$65*'a)Plantilla'!$C24,RedondeoPersonalTecnico),IF(TipoProgramaPersonalTecnico=2,ROUND(Programa!D$65*'a)Plantilla'!$C24,RedondeoPersonalTecnico),ROUND(Programa!D$65*Hjor*'a)Plantilla'!$C24,RedondeoPersonalTecnico))),0)</f>
        <v>0</v>
      </c>
      <c r="BF55" s="6">
        <f>IF(Programa!D$66&gt;0,IF(TipoProgramaPersonalTecnico=1,ROUND(Programa!F$66*'a)Plantilla'!$C24,RedondeoPersonalTecnico),IF(TipoProgramaPersonalTecnico=2,ROUND(Programa!D$66*'a)Plantilla'!$C24,RedondeoPersonalTecnico),ROUND(Programa!D$66*Hjor*'a)Plantilla'!$C24,RedondeoPersonalTecnico))),0)</f>
        <v>0</v>
      </c>
      <c r="BG55" s="6">
        <f>IF(Programa!D$67&gt;0,IF(TipoProgramaPersonalTecnico=1,ROUND(Programa!F$67*'a)Plantilla'!$C24,RedondeoPersonalTecnico),IF(TipoProgramaPersonalTecnico=2,ROUND(Programa!D$67*'a)Plantilla'!$C24,RedondeoPersonalTecnico),ROUND(Programa!D$67*Hjor*'a)Plantilla'!$C24,RedondeoPersonalTecnico))),0)</f>
        <v>0</v>
      </c>
      <c r="BH55" s="6">
        <f>IF(Programa!D$68&gt;0,IF(TipoProgramaPersonalTecnico=1,ROUND(Programa!F$68*'a)Plantilla'!$C24,RedondeoPersonalTecnico),IF(TipoProgramaPersonalTecnico=2,ROUND(Programa!D$68*'a)Plantilla'!$C24,RedondeoPersonalTecnico),ROUND(Programa!D$68*Hjor*'a)Plantilla'!$C24,RedondeoPersonalTecnico))),0)</f>
        <v>0</v>
      </c>
      <c r="BI55" s="6">
        <f>IF(Programa!D$69&gt;0,IF(TipoProgramaPersonalTecnico=1,ROUND(Programa!F$69*'a)Plantilla'!$C24,RedondeoPersonalTecnico),IF(TipoProgramaPersonalTecnico=2,ROUND(Programa!D$69*'a)Plantilla'!$C24,RedondeoPersonalTecnico),ROUND(Programa!D$69*Hjor*'a)Plantilla'!$C24,RedondeoPersonalTecnico))),0)</f>
        <v>0</v>
      </c>
      <c r="BJ55" s="6">
        <f>IF(Programa!D$70&gt;0,IF(TipoProgramaPersonalTecnico=1,ROUND(Programa!F$70*'a)Plantilla'!$C24,RedondeoPersonalTecnico),IF(TipoProgramaPersonalTecnico=2,ROUND(Programa!D$70*'a)Plantilla'!$C24,RedondeoPersonalTecnico),ROUND(Programa!D$70*Hjor*'a)Plantilla'!$C24,RedondeoPersonalTecnico))),0)</f>
        <v>0</v>
      </c>
      <c r="BK55" s="6">
        <f>IF(Programa!D$71&gt;0,IF(TipoProgramaPersonalTecnico=1,ROUND(Programa!F$71*'a)Plantilla'!$C24,RedondeoPersonalTecnico),IF(TipoProgramaPersonalTecnico=2,ROUND(Programa!D$71*'a)Plantilla'!$C24,RedondeoPersonalTecnico),ROUND(Programa!D$71*Hjor*'a)Plantilla'!$C24,RedondeoPersonalTecnico))),0)</f>
        <v>0</v>
      </c>
      <c r="BL55" s="78">
        <f>IF(Programa!D$72&gt;0,IF(TipoProgramaPersonalTecnico=1,ROUND(Programa!F$72*'a)Plantilla'!$C24,RedondeoPersonalTecnico),IF(TipoProgramaPersonalTecnico=2,ROUND(Programa!D$72*'a)Plantilla'!$C24,RedondeoPersonalTecnico),ROUND(Programa!D$72*Hjor*'a)Plantilla'!$C24,RedondeoPersonalTecnico))),0)</f>
        <v>0</v>
      </c>
    </row>
    <row r="56" spans="1:64" ht="8.1" customHeight="1">
      <c r="A56" s="67"/>
      <c r="B56" s="46"/>
      <c r="C56" s="31"/>
      <c r="D56" s="22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78"/>
      <c r="Q56" s="27"/>
      <c r="R56" s="6"/>
      <c r="S56" s="6"/>
      <c r="T56" s="6"/>
      <c r="U56" s="6"/>
      <c r="V56" s="6"/>
      <c r="W56" s="6"/>
      <c r="X56" s="6"/>
      <c r="Y56" s="6"/>
      <c r="Z56" s="6"/>
      <c r="AA56" s="6"/>
      <c r="AB56" s="78"/>
      <c r="AC56" s="27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78"/>
      <c r="AO56" s="27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78"/>
    </row>
    <row r="57" spans="1:64" ht="12.75" customHeight="1">
      <c r="A57" s="67"/>
      <c r="B57" s="46" t="str">
        <f>IF('a)Plantilla'!C25&gt;0,'a)Plantilla'!B25,"")</f>
        <v/>
      </c>
      <c r="C57" s="17" t="str">
        <f>IF('a)Plantilla'!C$25&gt;0,IF(TipoProgramaPersonalTecnico=1,"Personas",IF(TipoProgramaPersonalTecnico=2,"Jornal","horas-Hombre")),"")</f>
        <v/>
      </c>
      <c r="D57" s="226">
        <f>ROUND(SUM(E57:BL57),RedondeoPersonalTecnico)</f>
        <v>0</v>
      </c>
      <c r="E57" s="6">
        <f>IF(Programa!D$13&gt;0,IF(TipoProgramaPersonalTecnico=1,ROUND(Programa!F$13*'a)Plantilla'!$C25,RedondeoPersonalTecnico),IF(TipoProgramaPersonalTecnico=2,ROUND(Programa!D$13*'a)Plantilla'!$C25,RedondeoPersonalTecnico),ROUND(Programa!D$13*Hjor*'a)Plantilla'!$C25,RedondeoPersonalTecnico))),0)</f>
        <v>0</v>
      </c>
      <c r="F57" s="6">
        <f>IF(Programa!D$14&gt;0,IF(TipoProgramaPersonalTecnico=1,ROUND(Programa!F$14*'a)Plantilla'!$C25,RedondeoPersonalTecnico),IF(TipoProgramaPersonalTecnico=2,ROUND(Programa!D$14*'a)Plantilla'!$C25,RedondeoPersonalTecnico),ROUND(Programa!D$14*Hjor*'a)Plantilla'!$C25,RedondeoPersonalTecnico))),0)</f>
        <v>0</v>
      </c>
      <c r="G57" s="6">
        <f>IF(Programa!D$15&gt;0,IF(TipoProgramaPersonalTecnico=1,ROUND(Programa!F$15*'a)Plantilla'!$C25,RedondeoPersonalTecnico),IF(TipoProgramaPersonalTecnico=2,ROUND(Programa!D$15*'a)Plantilla'!$C25,RedondeoPersonalTecnico),ROUND(Programa!D$15*Hjor*'a)Plantilla'!$C25,RedondeoPersonalTecnico))),0)</f>
        <v>0</v>
      </c>
      <c r="H57" s="6">
        <f>IF(Programa!D$16&gt;0,IF(TipoProgramaPersonalTecnico=1,ROUND(Programa!F$16*'a)Plantilla'!$C25,RedondeoPersonalTecnico),IF(TipoProgramaPersonalTecnico=2,ROUND(Programa!D$16*'a)Plantilla'!$C25,RedondeoPersonalTecnico),ROUND(Programa!D$16*Hjor*'a)Plantilla'!$C25,RedondeoPersonalTecnico))),0)</f>
        <v>0</v>
      </c>
      <c r="I57" s="6">
        <f>IF(Programa!D$17&gt;0,IF(TipoProgramaPersonalTecnico=1,ROUND(Programa!F$17*'a)Plantilla'!$C25,RedondeoPersonalTecnico),IF(TipoProgramaPersonalTecnico=2,ROUND(Programa!D$17*'a)Plantilla'!$C25,RedondeoPersonalTecnico),ROUND(Programa!D$17*Hjor*'a)Plantilla'!$C25,RedondeoPersonalTecnico))),0)</f>
        <v>0</v>
      </c>
      <c r="J57" s="6">
        <f>IF(Programa!D$18&gt;0,IF(TipoProgramaPersonalTecnico=1,ROUND(Programa!F$18*'a)Plantilla'!$C25,RedondeoPersonalTecnico),IF(TipoProgramaPersonalTecnico=2,ROUND(Programa!D$18*'a)Plantilla'!$C25,RedondeoPersonalTecnico),ROUND(Programa!D$18*Hjor*'a)Plantilla'!$C25,RedondeoPersonalTecnico))),0)</f>
        <v>0</v>
      </c>
      <c r="K57" s="6">
        <f>IF(Programa!D$19&gt;0,IF(TipoProgramaPersonalTecnico=1,ROUND(Programa!F$19*'a)Plantilla'!$C25,RedondeoPersonalTecnico),IF(TipoProgramaPersonalTecnico=2,ROUND(Programa!D$19*'a)Plantilla'!$C25,RedondeoPersonalTecnico),ROUND(Programa!D$19*Hjor*'a)Plantilla'!$C25,RedondeoPersonalTecnico))),0)</f>
        <v>0</v>
      </c>
      <c r="L57" s="6">
        <f>IF(Programa!D$20&gt;0,IF(TipoProgramaPersonalTecnico=1,ROUND(Programa!F$20*'a)Plantilla'!$C25,RedondeoPersonalTecnico),IF(TipoProgramaPersonalTecnico=2,ROUND(Programa!D$20*'a)Plantilla'!$C25,RedondeoPersonalTecnico),ROUND(Programa!D$20*Hjor*'a)Plantilla'!$C25,RedondeoPersonalTecnico))),0)</f>
        <v>0</v>
      </c>
      <c r="M57" s="6">
        <f>IF(Programa!D$21&gt;0,IF(TipoProgramaPersonalTecnico=1,ROUND(Programa!F$21*'a)Plantilla'!$C25,RedondeoPersonalTecnico),IF(TipoProgramaPersonalTecnico=2,ROUND(Programa!D$21*'a)Plantilla'!$C25,RedondeoPersonalTecnico),ROUND(Programa!D$21*Hjor*'a)Plantilla'!$C25,RedondeoPersonalTecnico))),0)</f>
        <v>0</v>
      </c>
      <c r="N57" s="6">
        <f>IF(Programa!D$22&gt;0,IF(TipoProgramaPersonalTecnico=1,ROUND(Programa!F$22*'a)Plantilla'!$C25,RedondeoPersonalTecnico),IF(TipoProgramaPersonalTecnico=2,ROUND(Programa!D$22*'a)Plantilla'!$C25,RedondeoPersonalTecnico),ROUND(Programa!D$22*Hjor*'a)Plantilla'!$C25,RedondeoPersonalTecnico))),0)</f>
        <v>0</v>
      </c>
      <c r="O57" s="6">
        <f>IF(Programa!D$23&gt;0,IF(TipoProgramaPersonalTecnico=1,ROUND(Programa!F$23*'a)Plantilla'!$C25,RedondeoPersonalTecnico),IF(TipoProgramaPersonalTecnico=2,ROUND(Programa!D$23*'a)Plantilla'!$C25,RedondeoPersonalTecnico),ROUND(Programa!D$23*Hjor*'a)Plantilla'!$C25,RedondeoPersonalTecnico))),0)</f>
        <v>0</v>
      </c>
      <c r="P57" s="78">
        <f>IF(Programa!D$24&gt;0,IF(TipoProgramaPersonalTecnico=1,ROUND(Programa!F$24*'a)Plantilla'!$C25,RedondeoPersonalTecnico),IF(TipoProgramaPersonalTecnico=2,ROUND(Programa!D$24*'a)Plantilla'!$C25,RedondeoPersonalTecnico),ROUND(Programa!D$24*Hjor*'a)Plantilla'!$C25,RedondeoPersonalTecnico))),0)</f>
        <v>0</v>
      </c>
      <c r="Q57" s="27">
        <f>IF(Programa!D$25&gt;0,IF(TipoProgramaPersonalTecnico=1,ROUND(Programa!F$25*'a)Plantilla'!$C25,RedondeoPersonalTecnico),IF(TipoProgramaPersonalTecnico=2,ROUND(Programa!D$25*'a)Plantilla'!$C25,RedondeoPersonalTecnico),ROUND(Programa!D$25*Hjor*'a)Plantilla'!$C25,RedondeoPersonalTecnico))),0)</f>
        <v>0</v>
      </c>
      <c r="R57" s="6">
        <f>IF(Programa!D$26&gt;0,IF(TipoProgramaPersonalTecnico=1,ROUND(Programa!F$26*'a)Plantilla'!$C25,RedondeoPersonalTecnico),IF(TipoProgramaPersonalTecnico=2,ROUND(Programa!D$26*'a)Plantilla'!$C25,RedondeoPersonalTecnico),ROUND(Programa!D$26*Hjor*'a)Plantilla'!$C25,RedondeoPersonalTecnico))),0)</f>
        <v>0</v>
      </c>
      <c r="S57" s="6">
        <f>IF(Programa!D$27&gt;0,IF(TipoProgramaPersonalTecnico=1,ROUND(Programa!F$27*'a)Plantilla'!$C25,RedondeoPersonalTecnico),IF(TipoProgramaPersonalTecnico=2,ROUND(Programa!D$27*'a)Plantilla'!$C25,RedondeoPersonalTecnico),ROUND(Programa!D$27*Hjor*'a)Plantilla'!$C25,RedondeoPersonalTecnico))),0)</f>
        <v>0</v>
      </c>
      <c r="T57" s="6">
        <f>IF(Programa!D$28&gt;0,IF(TipoProgramaPersonalTecnico=1,ROUND(Programa!F$28*'a)Plantilla'!$C25,RedondeoPersonalTecnico),IF(TipoProgramaPersonalTecnico=2,ROUND(Programa!D$28*'a)Plantilla'!$C25,RedondeoPersonalTecnico),ROUND(Programa!D$28*Hjor*'a)Plantilla'!$C25,RedondeoPersonalTecnico))),0)</f>
        <v>0</v>
      </c>
      <c r="U57" s="6">
        <f>IF(Programa!D$29&gt;0,IF(TipoProgramaPersonalTecnico=1,ROUND(Programa!F$29*'a)Plantilla'!$C25,RedondeoPersonalTecnico),IF(TipoProgramaPersonalTecnico=2,ROUND(Programa!D$29*'a)Plantilla'!$C25,RedondeoPersonalTecnico),ROUND(Programa!D$29*Hjor*'a)Plantilla'!$C25,RedondeoPersonalTecnico))),0)</f>
        <v>0</v>
      </c>
      <c r="V57" s="6">
        <f>IF(Programa!D$30&gt;0,IF(TipoProgramaPersonalTecnico=1,ROUND(Programa!F$30*'a)Plantilla'!$C25,RedondeoPersonalTecnico),IF(TipoProgramaPersonalTecnico=2,ROUND(Programa!D$30*'a)Plantilla'!$C25,RedondeoPersonalTecnico),ROUND(Programa!D$30*Hjor*'a)Plantilla'!$C25,RedondeoPersonalTecnico))),0)</f>
        <v>0</v>
      </c>
      <c r="W57" s="6">
        <f>IF(Programa!D$31&gt;0,IF(TipoProgramaPersonalTecnico=1,ROUND(Programa!F$31*'a)Plantilla'!$C25,RedondeoPersonalTecnico),IF(TipoProgramaPersonalTecnico=2,ROUND(Programa!D$31*'a)Plantilla'!$C25,RedondeoPersonalTecnico),ROUND(Programa!D$31*Hjor*'a)Plantilla'!$C25,RedondeoPersonalTecnico))),0)</f>
        <v>0</v>
      </c>
      <c r="X57" s="6">
        <f>IF(Programa!D$32&gt;0,IF(TipoProgramaPersonalTecnico=1,ROUND(Programa!F$32*'a)Plantilla'!$C25,RedondeoPersonalTecnico),IF(TipoProgramaPersonalTecnico=2,ROUND(Programa!D$32*'a)Plantilla'!$C25,RedondeoPersonalTecnico),ROUND(Programa!D$32*Hjor*'a)Plantilla'!$C25,RedondeoPersonalTecnico))),0)</f>
        <v>0</v>
      </c>
      <c r="Y57" s="6">
        <f>IF(Programa!D$33&gt;0,IF(TipoProgramaPersonalTecnico=1,ROUND(Programa!F$33*'a)Plantilla'!$C25,RedondeoPersonalTecnico),IF(TipoProgramaPersonalTecnico=2,ROUND(Programa!D$33*'a)Plantilla'!$C25,RedondeoPersonalTecnico),ROUND(Programa!D$33*Hjor*'a)Plantilla'!$C25,RedondeoPersonalTecnico))),0)</f>
        <v>0</v>
      </c>
      <c r="Z57" s="6">
        <f>IF(Programa!D$34&gt;0,IF(TipoProgramaPersonalTecnico=1,ROUND(Programa!F$34*'a)Plantilla'!$C25,RedondeoPersonalTecnico),IF(TipoProgramaPersonalTecnico=2,ROUND(Programa!D$34*'a)Plantilla'!$C25,RedondeoPersonalTecnico),ROUND(Programa!D$34*Hjor*'a)Plantilla'!$C25,RedondeoPersonalTecnico))),0)</f>
        <v>0</v>
      </c>
      <c r="AA57" s="6">
        <f>IF(Programa!D$35&gt;0,IF(TipoProgramaPersonalTecnico=1,ROUND(Programa!F$35*'a)Plantilla'!$C25,RedondeoPersonalTecnico),IF(TipoProgramaPersonalTecnico=2,ROUND(Programa!D$35*'a)Plantilla'!$C25,RedondeoPersonalTecnico),ROUND(Programa!D$35*Hjor*'a)Plantilla'!$C25,RedondeoPersonalTecnico))),0)</f>
        <v>0</v>
      </c>
      <c r="AB57" s="78">
        <f>IF(Programa!D$36&gt;0,IF(TipoProgramaPersonalTecnico=1,ROUND(Programa!F$36*'a)Plantilla'!$C25,RedondeoPersonalTecnico),IF(TipoProgramaPersonalTecnico=2,ROUND(Programa!D$36*'a)Plantilla'!$C25,RedondeoPersonalTecnico),ROUND(Programa!D$36*Hjor*'a)Plantilla'!$C25,RedondeoPersonalTecnico))),0)</f>
        <v>0</v>
      </c>
      <c r="AC57" s="27">
        <f>IF(Programa!D$37&gt;0,IF(TipoProgramaPersonalTecnico=1,ROUND(Programa!F$37*'a)Plantilla'!$C25,RedondeoPersonalTecnico),IF(TipoProgramaPersonalTecnico=2,ROUND(Programa!D$37*'a)Plantilla'!$C25,RedondeoPersonalTecnico),ROUND(Programa!D$37*Hjor*'a)Plantilla'!$C25,RedondeoPersonalTecnico))),0)</f>
        <v>0</v>
      </c>
      <c r="AD57" s="6">
        <f>IF(Programa!D$38&gt;0,IF(TipoProgramaPersonalTecnico=1,ROUND(Programa!F$38*'a)Plantilla'!$C25,RedondeoPersonalTecnico),IF(TipoProgramaPersonalTecnico=2,ROUND(Programa!D$38*'a)Plantilla'!$C25,RedondeoPersonalTecnico),ROUND(Programa!D$38*Hjor*'a)Plantilla'!$C25,RedondeoPersonalTecnico))),0)</f>
        <v>0</v>
      </c>
      <c r="AE57" s="6">
        <f>IF(Programa!D$39&gt;0,IF(TipoProgramaPersonalTecnico=1,ROUND(Programa!F$39*'a)Plantilla'!$C25,RedondeoPersonalTecnico),IF(TipoProgramaPersonalTecnico=2,ROUND(Programa!D$39*'a)Plantilla'!$C25,RedondeoPersonalTecnico),ROUND(Programa!D$39*Hjor*'a)Plantilla'!$C25,RedondeoPersonalTecnico))),0)</f>
        <v>0</v>
      </c>
      <c r="AF57" s="6">
        <f>IF(Programa!D$40&gt;0,IF(TipoProgramaPersonalTecnico=1,ROUND(Programa!F$40*'a)Plantilla'!$C25,RedondeoPersonalTecnico),IF(TipoProgramaPersonalTecnico=2,ROUND(Programa!D$40*'a)Plantilla'!$C25,RedondeoPersonalTecnico),ROUND(Programa!D$40*Hjor*'a)Plantilla'!$C25,RedondeoPersonalTecnico))),0)</f>
        <v>0</v>
      </c>
      <c r="AG57" s="6">
        <f>IF(Programa!D$41&gt;0,IF(TipoProgramaPersonalTecnico=1,ROUND(Programa!F$41*'a)Plantilla'!$C25,RedondeoPersonalTecnico),IF(TipoProgramaPersonalTecnico=2,ROUND(Programa!D$41*'a)Plantilla'!$C25,RedondeoPersonalTecnico),ROUND(Programa!D$41*Hjor*'a)Plantilla'!$C25,RedondeoPersonalTecnico))),0)</f>
        <v>0</v>
      </c>
      <c r="AH57" s="6">
        <f>IF(Programa!D$42&gt;0,IF(TipoProgramaPersonalTecnico=1,ROUND(Programa!F$42*'a)Plantilla'!$C25,RedondeoPersonalTecnico),IF(TipoProgramaPersonalTecnico=2,ROUND(Programa!D$42*'a)Plantilla'!$C25,RedondeoPersonalTecnico),ROUND(Programa!D$42*Hjor*'a)Plantilla'!$C25,RedondeoPersonalTecnico))),0)</f>
        <v>0</v>
      </c>
      <c r="AI57" s="6">
        <f>IF(Programa!D$43&gt;0,IF(TipoProgramaPersonalTecnico=1,ROUND(Programa!F$43*'a)Plantilla'!$C25,RedondeoPersonalTecnico),IF(TipoProgramaPersonalTecnico=2,ROUND(Programa!D$43*'a)Plantilla'!$C25,RedondeoPersonalTecnico),ROUND(Programa!D$43*Hjor*'a)Plantilla'!$C25,RedondeoPersonalTecnico))),0)</f>
        <v>0</v>
      </c>
      <c r="AJ57" s="6">
        <f>IF(Programa!D$44&gt;0,IF(TipoProgramaPersonalTecnico=1,ROUND(Programa!F$44*'a)Plantilla'!$C25,RedondeoPersonalTecnico),IF(TipoProgramaPersonalTecnico=2,ROUND(Programa!D$44*'a)Plantilla'!$C25,RedondeoPersonalTecnico),ROUND(Programa!D$44*Hjor*'a)Plantilla'!$C25,RedondeoPersonalTecnico))),0)</f>
        <v>0</v>
      </c>
      <c r="AK57" s="6">
        <f>IF(Programa!D$45&gt;0,IF(TipoProgramaPersonalTecnico=1,ROUND(Programa!F$45*'a)Plantilla'!$C25,RedondeoPersonalTecnico),IF(TipoProgramaPersonalTecnico=2,ROUND(Programa!D$45*'a)Plantilla'!$C25,RedondeoPersonalTecnico),ROUND(Programa!D$45*Hjor*'a)Plantilla'!$C25,RedondeoPersonalTecnico))),0)</f>
        <v>0</v>
      </c>
      <c r="AL57" s="6">
        <f>IF(Programa!D$46&gt;0,IF(TipoProgramaPersonalTecnico=1,ROUND(Programa!F$46*'a)Plantilla'!$C25,RedondeoPersonalTecnico),IF(TipoProgramaPersonalTecnico=2,ROUND(Programa!D$46*'a)Plantilla'!$C25,RedondeoPersonalTecnico),ROUND(Programa!D$46*Hjor*'a)Plantilla'!$C25,RedondeoPersonalTecnico))),0)</f>
        <v>0</v>
      </c>
      <c r="AM57" s="6">
        <f>IF(Programa!D$47&gt;0,IF(TipoProgramaPersonalTecnico=1,ROUND(Programa!F$47*'a)Plantilla'!$C25,RedondeoPersonalTecnico),IF(TipoProgramaPersonalTecnico=2,ROUND(Programa!D$47*'a)Plantilla'!$C25,RedondeoPersonalTecnico),ROUND(Programa!D$47*Hjor*'a)Plantilla'!$C25,RedondeoPersonalTecnico))),0)</f>
        <v>0</v>
      </c>
      <c r="AN57" s="78">
        <f>IF(Programa!D$48&gt;0,IF(TipoProgramaPersonalTecnico=1,ROUND(Programa!F$48*'a)Plantilla'!$C25,RedondeoPersonalTecnico),IF(TipoProgramaPersonalTecnico=2,ROUND(Programa!D$48*'a)Plantilla'!$C25,RedondeoPersonalTecnico),ROUND(Programa!D$48*Hjor*'a)Plantilla'!$C25,RedondeoPersonalTecnico))),0)</f>
        <v>0</v>
      </c>
      <c r="AO57" s="27">
        <f>IF(Programa!D$49&gt;0,IF(TipoProgramaPersonalTecnico=1,ROUND(Programa!F$49*'a)Plantilla'!$C25,RedondeoPersonalTecnico),IF(TipoProgramaPersonalTecnico=2,ROUND(Programa!D$49*'a)Plantilla'!$C25,RedondeoPersonalTecnico),ROUND(Programa!D$49*Hjor*'a)Plantilla'!$C25,RedondeoPersonalTecnico))),0)</f>
        <v>0</v>
      </c>
      <c r="AP57" s="6">
        <f>IF(Programa!D$50&gt;0,IF(TipoProgramaPersonalTecnico=1,ROUND(Programa!F$50*'a)Plantilla'!$C25,RedondeoPersonalTecnico),IF(TipoProgramaPersonalTecnico=2,ROUND(Programa!D$50*'a)Plantilla'!$C25,RedondeoPersonalTecnico),ROUND(Programa!D$50*Hjor*'a)Plantilla'!$C25,RedondeoPersonalTecnico))),0)</f>
        <v>0</v>
      </c>
      <c r="AQ57" s="6">
        <f>IF(Programa!D$51&gt;0,IF(TipoProgramaPersonalTecnico=1,ROUND(Programa!F$51*'a)Plantilla'!$C25,RedondeoPersonalTecnico),IF(TipoProgramaPersonalTecnico=2,ROUND(Programa!D$51*'a)Plantilla'!$C25,RedondeoPersonalTecnico),ROUND(Programa!D$51*Hjor*'a)Plantilla'!$C25,RedondeoPersonalTecnico))),0)</f>
        <v>0</v>
      </c>
      <c r="AR57" s="6">
        <f>IF(Programa!D$52&gt;0,IF(TipoProgramaPersonalTecnico=1,ROUND(Programa!F$52*'a)Plantilla'!$C25,RedondeoPersonalTecnico),IF(TipoProgramaPersonalTecnico=2,ROUND(Programa!D$52*'a)Plantilla'!$C25,RedondeoPersonalTecnico),ROUND(Programa!D$52*Hjor*'a)Plantilla'!$C25,RedondeoPersonalTecnico))),0)</f>
        <v>0</v>
      </c>
      <c r="AS57" s="6">
        <f>IF(Programa!D$53&gt;0,IF(TipoProgramaPersonalTecnico=1,ROUND(Programa!F$53*'a)Plantilla'!$C25,RedondeoPersonalTecnico),IF(TipoProgramaPersonalTecnico=2,ROUND(Programa!D$53*'a)Plantilla'!$C25,RedondeoPersonalTecnico),ROUND(Programa!D$53*Hjor*'a)Plantilla'!$C25,RedondeoPersonalTecnico))),0)</f>
        <v>0</v>
      </c>
      <c r="AT57" s="6">
        <f>IF(Programa!D$54&gt;0,IF(TipoProgramaPersonalTecnico=1,ROUND(Programa!F$54*'a)Plantilla'!$C25,RedondeoPersonalTecnico),IF(TipoProgramaPersonalTecnico=2,ROUND(Programa!D$54*'a)Plantilla'!$C25,RedondeoPersonalTecnico),ROUND(Programa!D$54*Hjor*'a)Plantilla'!$C25,RedondeoPersonalTecnico))),0)</f>
        <v>0</v>
      </c>
      <c r="AU57" s="6">
        <f>IF(Programa!D$55&gt;0,IF(TipoProgramaPersonalTecnico=1,ROUND(Programa!F$55*'a)Plantilla'!$C25,RedondeoPersonalTecnico),IF(TipoProgramaPersonalTecnico=2,ROUND(Programa!D$55*'a)Plantilla'!$C25,RedondeoPersonalTecnico),ROUND(Programa!D$55*Hjor*'a)Plantilla'!$C25,RedondeoPersonalTecnico))),0)</f>
        <v>0</v>
      </c>
      <c r="AV57" s="6">
        <f>IF(Programa!D$56&gt;0,IF(TipoProgramaPersonalTecnico=1,ROUND(Programa!F$56*'a)Plantilla'!$C25,RedondeoPersonalTecnico),IF(TipoProgramaPersonalTecnico=2,ROUND(Programa!D$56*'a)Plantilla'!$C25,RedondeoPersonalTecnico),ROUND(Programa!D$56*Hjor*'a)Plantilla'!$C25,RedondeoPersonalTecnico))),0)</f>
        <v>0</v>
      </c>
      <c r="AW57" s="6">
        <f>IF(Programa!D$57&gt;0,IF(TipoProgramaPersonalTecnico=1,ROUND(Programa!F$57*'a)Plantilla'!$C25,RedondeoPersonalTecnico),IF(TipoProgramaPersonalTecnico=2,ROUND(Programa!D$57*'a)Plantilla'!$C25,RedondeoPersonalTecnico),ROUND(Programa!D$57*Hjor*'a)Plantilla'!$C25,RedondeoPersonalTecnico))),0)</f>
        <v>0</v>
      </c>
      <c r="AX57" s="6">
        <f>IF(Programa!D$58&gt;0,IF(TipoProgramaPersonalTecnico=1,ROUND(Programa!F$58*'a)Plantilla'!$C25,RedondeoPersonalTecnico),IF(TipoProgramaPersonalTecnico=2,ROUND(Programa!D$58*'a)Plantilla'!$C25,RedondeoPersonalTecnico),ROUND(Programa!D$58*Hjor*'a)Plantilla'!$C25,RedondeoPersonalTecnico))),0)</f>
        <v>0</v>
      </c>
      <c r="AY57" s="6">
        <f>IF(Programa!D$59&gt;0,IF(TipoProgramaPersonalTecnico=1,ROUND(Programa!F$59*'a)Plantilla'!$C25,RedondeoPersonalTecnico),IF(TipoProgramaPersonalTecnico=2,ROUND(Programa!D$59*'a)Plantilla'!$C25,RedondeoPersonalTecnico),ROUND(Programa!D$59*Hjor*'a)Plantilla'!$C25,RedondeoPersonalTecnico))),0)</f>
        <v>0</v>
      </c>
      <c r="AZ57" s="6">
        <f>IF(Programa!D$60&gt;0,IF(TipoProgramaPersonalTecnico=1,ROUND(Programa!F$60*'a)Plantilla'!$C25,RedondeoPersonalTecnico),IF(TipoProgramaPersonalTecnico=2,ROUND(Programa!D$60*'a)Plantilla'!$C25,RedondeoPersonalTecnico),ROUND(Programa!D$60*Hjor*'a)Plantilla'!$C25,RedondeoPersonalTecnico))),0)</f>
        <v>0</v>
      </c>
      <c r="BA57" s="6">
        <f>IF(Programa!D$61&gt;0,IF(TipoProgramaPersonalTecnico=1,ROUND(Programa!F$61*'a)Plantilla'!$C25,RedondeoPersonalTecnico),IF(TipoProgramaPersonalTecnico=2,ROUND(Programa!D$61*'a)Plantilla'!$C25,RedondeoPersonalTecnico),ROUND(Programa!D$61*Hjor*'a)Plantilla'!$C25,RedondeoPersonalTecnico))),0)</f>
        <v>0</v>
      </c>
      <c r="BB57" s="6">
        <f>IF(Programa!D$62&gt;0,IF(TipoProgramaPersonalTecnico=1,ROUND(Programa!F$62*'a)Plantilla'!$C25,RedondeoPersonalTecnico),IF(TipoProgramaPersonalTecnico=2,ROUND(Programa!D$62*'a)Plantilla'!$C25,RedondeoPersonalTecnico),ROUND(Programa!D$62*Hjor*'a)Plantilla'!$C25,RedondeoPersonalTecnico))),0)</f>
        <v>0</v>
      </c>
      <c r="BC57" s="6">
        <f>IF(Programa!D$63&gt;0,IF(TipoProgramaPersonalTecnico=1,ROUND(Programa!F$63*'a)Plantilla'!$C25,RedondeoPersonalTecnico),IF(TipoProgramaPersonalTecnico=2,ROUND(Programa!D$63*'a)Plantilla'!$C25,RedondeoPersonalTecnico),ROUND(Programa!D$63*Hjor*'a)Plantilla'!$C25,RedondeoPersonalTecnico))),0)</f>
        <v>0</v>
      </c>
      <c r="BD57" s="6">
        <f>IF(Programa!D$64&gt;0,IF(TipoProgramaPersonalTecnico=1,ROUND(Programa!F$64*'a)Plantilla'!$C25,RedondeoPersonalTecnico),IF(TipoProgramaPersonalTecnico=2,ROUND(Programa!D$64*'a)Plantilla'!$C25,RedondeoPersonalTecnico),ROUND(Programa!D$64*Hjor*'a)Plantilla'!$C25,RedondeoPersonalTecnico))),0)</f>
        <v>0</v>
      </c>
      <c r="BE57" s="6">
        <f>IF(Programa!D$65&gt;0,IF(TipoProgramaPersonalTecnico=1,ROUND(Programa!F$65*'a)Plantilla'!$C25,RedondeoPersonalTecnico),IF(TipoProgramaPersonalTecnico=2,ROUND(Programa!D$65*'a)Plantilla'!$C25,RedondeoPersonalTecnico),ROUND(Programa!D$65*Hjor*'a)Plantilla'!$C25,RedondeoPersonalTecnico))),0)</f>
        <v>0</v>
      </c>
      <c r="BF57" s="6">
        <f>IF(Programa!D$66&gt;0,IF(TipoProgramaPersonalTecnico=1,ROUND(Programa!F$66*'a)Plantilla'!$C25,RedondeoPersonalTecnico),IF(TipoProgramaPersonalTecnico=2,ROUND(Programa!D$66*'a)Plantilla'!$C25,RedondeoPersonalTecnico),ROUND(Programa!D$66*Hjor*'a)Plantilla'!$C25,RedondeoPersonalTecnico))),0)</f>
        <v>0</v>
      </c>
      <c r="BG57" s="6">
        <f>IF(Programa!D$67&gt;0,IF(TipoProgramaPersonalTecnico=1,ROUND(Programa!F$67*'a)Plantilla'!$C25,RedondeoPersonalTecnico),IF(TipoProgramaPersonalTecnico=2,ROUND(Programa!D$67*'a)Plantilla'!$C25,RedondeoPersonalTecnico),ROUND(Programa!D$67*Hjor*'a)Plantilla'!$C25,RedondeoPersonalTecnico))),0)</f>
        <v>0</v>
      </c>
      <c r="BH57" s="6">
        <f>IF(Programa!D$68&gt;0,IF(TipoProgramaPersonalTecnico=1,ROUND(Programa!F$68*'a)Plantilla'!$C25,RedondeoPersonalTecnico),IF(TipoProgramaPersonalTecnico=2,ROUND(Programa!D$68*'a)Plantilla'!$C25,RedondeoPersonalTecnico),ROUND(Programa!D$68*Hjor*'a)Plantilla'!$C25,RedondeoPersonalTecnico))),0)</f>
        <v>0</v>
      </c>
      <c r="BI57" s="6">
        <f>IF(Programa!D$69&gt;0,IF(TipoProgramaPersonalTecnico=1,ROUND(Programa!F$69*'a)Plantilla'!$C25,RedondeoPersonalTecnico),IF(TipoProgramaPersonalTecnico=2,ROUND(Programa!D$69*'a)Plantilla'!$C25,RedondeoPersonalTecnico),ROUND(Programa!D$69*Hjor*'a)Plantilla'!$C25,RedondeoPersonalTecnico))),0)</f>
        <v>0</v>
      </c>
      <c r="BJ57" s="6">
        <f>IF(Programa!D$70&gt;0,IF(TipoProgramaPersonalTecnico=1,ROUND(Programa!F$70*'a)Plantilla'!$C25,RedondeoPersonalTecnico),IF(TipoProgramaPersonalTecnico=2,ROUND(Programa!D$70*'a)Plantilla'!$C25,RedondeoPersonalTecnico),ROUND(Programa!D$70*Hjor*'a)Plantilla'!$C25,RedondeoPersonalTecnico))),0)</f>
        <v>0</v>
      </c>
      <c r="BK57" s="6">
        <f>IF(Programa!D$71&gt;0,IF(TipoProgramaPersonalTecnico=1,ROUND(Programa!F$71*'a)Plantilla'!$C25,RedondeoPersonalTecnico),IF(TipoProgramaPersonalTecnico=2,ROUND(Programa!D$71*'a)Plantilla'!$C25,RedondeoPersonalTecnico),ROUND(Programa!D$71*Hjor*'a)Plantilla'!$C25,RedondeoPersonalTecnico))),0)</f>
        <v>0</v>
      </c>
      <c r="BL57" s="78">
        <f>IF(Programa!D$72&gt;0,IF(TipoProgramaPersonalTecnico=1,ROUND(Programa!F$72*'a)Plantilla'!$C25,RedondeoPersonalTecnico),IF(TipoProgramaPersonalTecnico=2,ROUND(Programa!D$72*'a)Plantilla'!$C25,RedondeoPersonalTecnico),ROUND(Programa!D$72*Hjor*'a)Plantilla'!$C25,RedondeoPersonalTecnico))),0)</f>
        <v>0</v>
      </c>
    </row>
    <row r="58" spans="1:64" ht="8.1" customHeight="1">
      <c r="A58" s="67"/>
      <c r="B58" s="46"/>
      <c r="C58" s="31"/>
      <c r="D58" s="22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78"/>
      <c r="Q58" s="27"/>
      <c r="R58" s="6"/>
      <c r="S58" s="6"/>
      <c r="T58" s="6"/>
      <c r="U58" s="6"/>
      <c r="V58" s="6"/>
      <c r="W58" s="6"/>
      <c r="X58" s="6"/>
      <c r="Y58" s="6"/>
      <c r="Z58" s="6"/>
      <c r="AA58" s="6"/>
      <c r="AB58" s="78"/>
      <c r="AC58" s="27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78"/>
      <c r="AO58" s="27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78"/>
    </row>
    <row r="59" spans="1:64" ht="12.75" customHeight="1">
      <c r="A59" s="194"/>
      <c r="B59" s="136" t="str">
        <f>IF('a)Plantilla'!C26&gt;0,'a)Plantilla'!B26,"")</f>
        <v/>
      </c>
      <c r="C59" s="281" t="str">
        <f>IF('a)Plantilla'!C$26&gt;0,IF(TipoProgramaPersonalTecnico=1,"Personas",IF(TipoProgramaPersonalTecnico=2,"Jornal","horas-Hombre")),"")</f>
        <v/>
      </c>
      <c r="D59" s="654">
        <f>ROUND(SUM(E59:BL59),RedondeoPersonalTecnico)</f>
        <v>0</v>
      </c>
      <c r="E59" s="16">
        <f>IF(Programa!D$13&gt;0,IF(TipoProgramaPersonalTecnico=1,ROUND(Programa!F$13*'a)Plantilla'!$C26,RedondeoPersonalTecnico),IF(TipoProgramaPersonalTecnico=2,ROUND(Programa!D$13*'a)Plantilla'!$C26,RedondeoPersonalTecnico),ROUND(Programa!D$13*Hjor*'a)Plantilla'!$C26,RedondeoPersonalTecnico))),0)</f>
        <v>0</v>
      </c>
      <c r="F59" s="16">
        <f>IF(Programa!D$14&gt;0,IF(TipoProgramaPersonalTecnico=1,ROUND(Programa!F$14*'a)Plantilla'!$C26,RedondeoPersonalTecnico),IF(TipoProgramaPersonalTecnico=2,ROUND(Programa!D$14*'a)Plantilla'!$C26,RedondeoPersonalTecnico),ROUND(Programa!D$14*Hjor*'a)Plantilla'!$C26,RedondeoPersonalTecnico))),0)</f>
        <v>0</v>
      </c>
      <c r="G59" s="16">
        <f>IF(Programa!D$15&gt;0,IF(TipoProgramaPersonalTecnico=1,ROUND(Programa!F$15*'a)Plantilla'!$C26,RedondeoPersonalTecnico),IF(TipoProgramaPersonalTecnico=2,ROUND(Programa!D$15*'a)Plantilla'!$C26,RedondeoPersonalTecnico),ROUND(Programa!D$15*Hjor*'a)Plantilla'!$C26,RedondeoPersonalTecnico))),0)</f>
        <v>0</v>
      </c>
      <c r="H59" s="16">
        <f>IF(Programa!D$16&gt;0,IF(TipoProgramaPersonalTecnico=1,ROUND(Programa!F$16*'a)Plantilla'!$C26,RedondeoPersonalTecnico),IF(TipoProgramaPersonalTecnico=2,ROUND(Programa!D$16*'a)Plantilla'!$C26,RedondeoPersonalTecnico),ROUND(Programa!D$16*Hjor*'a)Plantilla'!$C26,RedondeoPersonalTecnico))),0)</f>
        <v>0</v>
      </c>
      <c r="I59" s="16">
        <f>IF(Programa!D$17&gt;0,IF(TipoProgramaPersonalTecnico=1,ROUND(Programa!F$17*'a)Plantilla'!$C26,RedondeoPersonalTecnico),IF(TipoProgramaPersonalTecnico=2,ROUND(Programa!D$17*'a)Plantilla'!$C26,RedondeoPersonalTecnico),ROUND(Programa!D$17*Hjor*'a)Plantilla'!$C26,RedondeoPersonalTecnico))),0)</f>
        <v>0</v>
      </c>
      <c r="J59" s="16">
        <f>IF(Programa!D$18&gt;0,IF(TipoProgramaPersonalTecnico=1,ROUND(Programa!F$18*'a)Plantilla'!$C26,RedondeoPersonalTecnico),IF(TipoProgramaPersonalTecnico=2,ROUND(Programa!D$18*'a)Plantilla'!$C26,RedondeoPersonalTecnico),ROUND(Programa!D$18*Hjor*'a)Plantilla'!$C26,RedondeoPersonalTecnico))),0)</f>
        <v>0</v>
      </c>
      <c r="K59" s="16">
        <f>IF(Programa!D$19&gt;0,IF(TipoProgramaPersonalTecnico=1,ROUND(Programa!F$19*'a)Plantilla'!$C26,RedondeoPersonalTecnico),IF(TipoProgramaPersonalTecnico=2,ROUND(Programa!D$19*'a)Plantilla'!$C26,RedondeoPersonalTecnico),ROUND(Programa!D$19*Hjor*'a)Plantilla'!$C26,RedondeoPersonalTecnico))),0)</f>
        <v>0</v>
      </c>
      <c r="L59" s="16">
        <f>IF(Programa!D$20&gt;0,IF(TipoProgramaPersonalTecnico=1,ROUND(Programa!F$20*'a)Plantilla'!$C26,RedondeoPersonalTecnico),IF(TipoProgramaPersonalTecnico=2,ROUND(Programa!D$20*'a)Plantilla'!$C26,RedondeoPersonalTecnico),ROUND(Programa!D$20*Hjor*'a)Plantilla'!$C26,RedondeoPersonalTecnico))),0)</f>
        <v>0</v>
      </c>
      <c r="M59" s="16">
        <f>IF(Programa!D$21&gt;0,IF(TipoProgramaPersonalTecnico=1,ROUND(Programa!F$21*'a)Plantilla'!$C26,RedondeoPersonalTecnico),IF(TipoProgramaPersonalTecnico=2,ROUND(Programa!D$21*'a)Plantilla'!$C26,RedondeoPersonalTecnico),ROUND(Programa!D$21*Hjor*'a)Plantilla'!$C26,RedondeoPersonalTecnico))),0)</f>
        <v>0</v>
      </c>
      <c r="N59" s="16">
        <f>IF(Programa!D$22&gt;0,IF(TipoProgramaPersonalTecnico=1,ROUND(Programa!F$22*'a)Plantilla'!$C26,RedondeoPersonalTecnico),IF(TipoProgramaPersonalTecnico=2,ROUND(Programa!D$22*'a)Plantilla'!$C26,RedondeoPersonalTecnico),ROUND(Programa!D$22*Hjor*'a)Plantilla'!$C26,RedondeoPersonalTecnico))),0)</f>
        <v>0</v>
      </c>
      <c r="O59" s="16">
        <f>IF(Programa!D$23&gt;0,IF(TipoProgramaPersonalTecnico=1,ROUND(Programa!F$23*'a)Plantilla'!$C26,RedondeoPersonalTecnico),IF(TipoProgramaPersonalTecnico=2,ROUND(Programa!D$23*'a)Plantilla'!$C26,RedondeoPersonalTecnico),ROUND(Programa!D$23*Hjor*'a)Plantilla'!$C26,RedondeoPersonalTecnico))),0)</f>
        <v>0</v>
      </c>
      <c r="P59" s="117">
        <f>IF(Programa!D$24&gt;0,IF(TipoProgramaPersonalTecnico=1,ROUND(Programa!F$24*'a)Plantilla'!$C26,RedondeoPersonalTecnico),IF(TipoProgramaPersonalTecnico=2,ROUND(Programa!D$24*'a)Plantilla'!$C26,RedondeoPersonalTecnico),ROUND(Programa!D$24*Hjor*'a)Plantilla'!$C26,RedondeoPersonalTecnico))),0)</f>
        <v>0</v>
      </c>
      <c r="Q59" s="36">
        <f>IF(Programa!D$25&gt;0,IF(TipoProgramaPersonalTecnico=1,ROUND(Programa!F$25*'a)Plantilla'!$C26,RedondeoPersonalTecnico),IF(TipoProgramaPersonalTecnico=2,ROUND(Programa!D$25*'a)Plantilla'!$C26,RedondeoPersonalTecnico),ROUND(Programa!D$25*Hjor*'a)Plantilla'!$C26,RedondeoPersonalTecnico))),0)</f>
        <v>0</v>
      </c>
      <c r="R59" s="16">
        <f>IF(Programa!D$26&gt;0,IF(TipoProgramaPersonalTecnico=1,ROUND(Programa!F$26*'a)Plantilla'!$C26,RedondeoPersonalTecnico),IF(TipoProgramaPersonalTecnico=2,ROUND(Programa!D$26*'a)Plantilla'!$C26,RedondeoPersonalTecnico),ROUND(Programa!D$26*Hjor*'a)Plantilla'!$C26,RedondeoPersonalTecnico))),0)</f>
        <v>0</v>
      </c>
      <c r="S59" s="16">
        <f>IF(Programa!D$27&gt;0,IF(TipoProgramaPersonalTecnico=1,ROUND(Programa!F$27*'a)Plantilla'!$C26,RedondeoPersonalTecnico),IF(TipoProgramaPersonalTecnico=2,ROUND(Programa!D$27*'a)Plantilla'!$C26,RedondeoPersonalTecnico),ROUND(Programa!D$27*Hjor*'a)Plantilla'!$C26,RedondeoPersonalTecnico))),0)</f>
        <v>0</v>
      </c>
      <c r="T59" s="16">
        <f>IF(Programa!D$28&gt;0,IF(TipoProgramaPersonalTecnico=1,ROUND(Programa!F$28*'a)Plantilla'!$C26,RedondeoPersonalTecnico),IF(TipoProgramaPersonalTecnico=2,ROUND(Programa!D$28*'a)Plantilla'!$C26,RedondeoPersonalTecnico),ROUND(Programa!D$28*Hjor*'a)Plantilla'!$C26,RedondeoPersonalTecnico))),0)</f>
        <v>0</v>
      </c>
      <c r="U59" s="16">
        <f>IF(Programa!D$29&gt;0,IF(TipoProgramaPersonalTecnico=1,ROUND(Programa!F$29*'a)Plantilla'!$C26,RedondeoPersonalTecnico),IF(TipoProgramaPersonalTecnico=2,ROUND(Programa!D$29*'a)Plantilla'!$C26,RedondeoPersonalTecnico),ROUND(Programa!D$29*Hjor*'a)Plantilla'!$C26,RedondeoPersonalTecnico))),0)</f>
        <v>0</v>
      </c>
      <c r="V59" s="16">
        <f>IF(Programa!D$30&gt;0,IF(TipoProgramaPersonalTecnico=1,ROUND(Programa!F$30*'a)Plantilla'!$C26,RedondeoPersonalTecnico),IF(TipoProgramaPersonalTecnico=2,ROUND(Programa!D$30*'a)Plantilla'!$C26,RedondeoPersonalTecnico),ROUND(Programa!D$30*Hjor*'a)Plantilla'!$C26,RedondeoPersonalTecnico))),0)</f>
        <v>0</v>
      </c>
      <c r="W59" s="16">
        <f>IF(Programa!D$31&gt;0,IF(TipoProgramaPersonalTecnico=1,ROUND(Programa!F$31*'a)Plantilla'!$C26,RedondeoPersonalTecnico),IF(TipoProgramaPersonalTecnico=2,ROUND(Programa!D$31*'a)Plantilla'!$C26,RedondeoPersonalTecnico),ROUND(Programa!D$31*Hjor*'a)Plantilla'!$C26,RedondeoPersonalTecnico))),0)</f>
        <v>0</v>
      </c>
      <c r="X59" s="16">
        <f>IF(Programa!D$32&gt;0,IF(TipoProgramaPersonalTecnico=1,ROUND(Programa!F$32*'a)Plantilla'!$C26,RedondeoPersonalTecnico),IF(TipoProgramaPersonalTecnico=2,ROUND(Programa!D$32*'a)Plantilla'!$C26,RedondeoPersonalTecnico),ROUND(Programa!D$32*Hjor*'a)Plantilla'!$C26,RedondeoPersonalTecnico))),0)</f>
        <v>0</v>
      </c>
      <c r="Y59" s="16">
        <f>IF(Programa!D$33&gt;0,IF(TipoProgramaPersonalTecnico=1,ROUND(Programa!F$33*'a)Plantilla'!$C26,RedondeoPersonalTecnico),IF(TipoProgramaPersonalTecnico=2,ROUND(Programa!D$33*'a)Plantilla'!$C26,RedondeoPersonalTecnico),ROUND(Programa!D$33*Hjor*'a)Plantilla'!$C26,RedondeoPersonalTecnico))),0)</f>
        <v>0</v>
      </c>
      <c r="Z59" s="16">
        <f>IF(Programa!D$34&gt;0,IF(TipoProgramaPersonalTecnico=1,ROUND(Programa!F$34*'a)Plantilla'!$C26,RedondeoPersonalTecnico),IF(TipoProgramaPersonalTecnico=2,ROUND(Programa!D$34*'a)Plantilla'!$C26,RedondeoPersonalTecnico),ROUND(Programa!D$34*Hjor*'a)Plantilla'!$C26,RedondeoPersonalTecnico))),0)</f>
        <v>0</v>
      </c>
      <c r="AA59" s="16">
        <f>IF(Programa!D$35&gt;0,IF(TipoProgramaPersonalTecnico=1,ROUND(Programa!F$35*'a)Plantilla'!$C26,RedondeoPersonalTecnico),IF(TipoProgramaPersonalTecnico=2,ROUND(Programa!D$35*'a)Plantilla'!$C26,RedondeoPersonalTecnico),ROUND(Programa!D$35*Hjor*'a)Plantilla'!$C26,RedondeoPersonalTecnico))),0)</f>
        <v>0</v>
      </c>
      <c r="AB59" s="117">
        <f>IF(Programa!D$36&gt;0,IF(TipoProgramaPersonalTecnico=1,ROUND(Programa!F$36*'a)Plantilla'!$C26,RedondeoPersonalTecnico),IF(TipoProgramaPersonalTecnico=2,ROUND(Programa!D$36*'a)Plantilla'!$C26,RedondeoPersonalTecnico),ROUND(Programa!D$36*Hjor*'a)Plantilla'!$C26,RedondeoPersonalTecnico))),0)</f>
        <v>0</v>
      </c>
      <c r="AC59" s="36">
        <f>IF(Programa!D$37&gt;0,IF(TipoProgramaPersonalTecnico=1,ROUND(Programa!F$37*'a)Plantilla'!$C26,RedondeoPersonalTecnico),IF(TipoProgramaPersonalTecnico=2,ROUND(Programa!D$37*'a)Plantilla'!$C26,RedondeoPersonalTecnico),ROUND(Programa!D$37*Hjor*'a)Plantilla'!$C26,RedondeoPersonalTecnico))),0)</f>
        <v>0</v>
      </c>
      <c r="AD59" s="16">
        <f>IF(Programa!D$38&gt;0,IF(TipoProgramaPersonalTecnico=1,ROUND(Programa!F$38*'a)Plantilla'!$C26,RedondeoPersonalTecnico),IF(TipoProgramaPersonalTecnico=2,ROUND(Programa!D$38*'a)Plantilla'!$C26,RedondeoPersonalTecnico),ROUND(Programa!D$38*Hjor*'a)Plantilla'!$C26,RedondeoPersonalTecnico))),0)</f>
        <v>0</v>
      </c>
      <c r="AE59" s="16">
        <f>IF(Programa!D$39&gt;0,IF(TipoProgramaPersonalTecnico=1,ROUND(Programa!F$39*'a)Plantilla'!$C26,RedondeoPersonalTecnico),IF(TipoProgramaPersonalTecnico=2,ROUND(Programa!D$39*'a)Plantilla'!$C26,RedondeoPersonalTecnico),ROUND(Programa!D$39*Hjor*'a)Plantilla'!$C26,RedondeoPersonalTecnico))),0)</f>
        <v>0</v>
      </c>
      <c r="AF59" s="16">
        <f>IF(Programa!D$40&gt;0,IF(TipoProgramaPersonalTecnico=1,ROUND(Programa!F$40*'a)Plantilla'!$C26,RedondeoPersonalTecnico),IF(TipoProgramaPersonalTecnico=2,ROUND(Programa!D$40*'a)Plantilla'!$C26,RedondeoPersonalTecnico),ROUND(Programa!D$40*Hjor*'a)Plantilla'!$C26,RedondeoPersonalTecnico))),0)</f>
        <v>0</v>
      </c>
      <c r="AG59" s="16">
        <f>IF(Programa!D$41&gt;0,IF(TipoProgramaPersonalTecnico=1,ROUND(Programa!F$41*'a)Plantilla'!$C26,RedondeoPersonalTecnico),IF(TipoProgramaPersonalTecnico=2,ROUND(Programa!D$41*'a)Plantilla'!$C26,RedondeoPersonalTecnico),ROUND(Programa!D$41*Hjor*'a)Plantilla'!$C26,RedondeoPersonalTecnico))),0)</f>
        <v>0</v>
      </c>
      <c r="AH59" s="16">
        <f>IF(Programa!D$42&gt;0,IF(TipoProgramaPersonalTecnico=1,ROUND(Programa!F$42*'a)Plantilla'!$C26,RedondeoPersonalTecnico),IF(TipoProgramaPersonalTecnico=2,ROUND(Programa!D$42*'a)Plantilla'!$C26,RedondeoPersonalTecnico),ROUND(Programa!D$42*Hjor*'a)Plantilla'!$C26,RedondeoPersonalTecnico))),0)</f>
        <v>0</v>
      </c>
      <c r="AI59" s="16">
        <f>IF(Programa!D$43&gt;0,IF(TipoProgramaPersonalTecnico=1,ROUND(Programa!F$43*'a)Plantilla'!$C26,RedondeoPersonalTecnico),IF(TipoProgramaPersonalTecnico=2,ROUND(Programa!D$43*'a)Plantilla'!$C26,RedondeoPersonalTecnico),ROUND(Programa!D$43*Hjor*'a)Plantilla'!$C26,RedondeoPersonalTecnico))),0)</f>
        <v>0</v>
      </c>
      <c r="AJ59" s="16">
        <f>IF(Programa!D$44&gt;0,IF(TipoProgramaPersonalTecnico=1,ROUND(Programa!F$44*'a)Plantilla'!$C26,RedondeoPersonalTecnico),IF(TipoProgramaPersonalTecnico=2,ROUND(Programa!D$44*'a)Plantilla'!$C26,RedondeoPersonalTecnico),ROUND(Programa!D$44*Hjor*'a)Plantilla'!$C26,RedondeoPersonalTecnico))),0)</f>
        <v>0</v>
      </c>
      <c r="AK59" s="16">
        <f>IF(Programa!D$45&gt;0,IF(TipoProgramaPersonalTecnico=1,ROUND(Programa!F$45*'a)Plantilla'!$C26,RedondeoPersonalTecnico),IF(TipoProgramaPersonalTecnico=2,ROUND(Programa!D$45*'a)Plantilla'!$C26,RedondeoPersonalTecnico),ROUND(Programa!D$45*Hjor*'a)Plantilla'!$C26,RedondeoPersonalTecnico))),0)</f>
        <v>0</v>
      </c>
      <c r="AL59" s="16">
        <f>IF(Programa!D$46&gt;0,IF(TipoProgramaPersonalTecnico=1,ROUND(Programa!F$46*'a)Plantilla'!$C26,RedondeoPersonalTecnico),IF(TipoProgramaPersonalTecnico=2,ROUND(Programa!D$46*'a)Plantilla'!$C26,RedondeoPersonalTecnico),ROUND(Programa!D$46*Hjor*'a)Plantilla'!$C26,RedondeoPersonalTecnico))),0)</f>
        <v>0</v>
      </c>
      <c r="AM59" s="16">
        <f>IF(Programa!D$47&gt;0,IF(TipoProgramaPersonalTecnico=1,ROUND(Programa!F$47*'a)Plantilla'!$C26,RedondeoPersonalTecnico),IF(TipoProgramaPersonalTecnico=2,ROUND(Programa!D$47*'a)Plantilla'!$C26,RedondeoPersonalTecnico),ROUND(Programa!D$47*Hjor*'a)Plantilla'!$C26,RedondeoPersonalTecnico))),0)</f>
        <v>0</v>
      </c>
      <c r="AN59" s="117">
        <f>IF(Programa!D$48&gt;0,IF(TipoProgramaPersonalTecnico=1,ROUND(Programa!F$48*'a)Plantilla'!$C26,RedondeoPersonalTecnico),IF(TipoProgramaPersonalTecnico=2,ROUND(Programa!D$48*'a)Plantilla'!$C26,RedondeoPersonalTecnico),ROUND(Programa!D$48*Hjor*'a)Plantilla'!$C26,RedondeoPersonalTecnico))),0)</f>
        <v>0</v>
      </c>
      <c r="AO59" s="36">
        <f>IF(Programa!D$49&gt;0,IF(TipoProgramaPersonalTecnico=1,ROUND(Programa!F$49*'a)Plantilla'!$C26,RedondeoPersonalTecnico),IF(TipoProgramaPersonalTecnico=2,ROUND(Programa!D$49*'a)Plantilla'!$C26,RedondeoPersonalTecnico),ROUND(Programa!D$49*Hjor*'a)Plantilla'!$C26,RedondeoPersonalTecnico))),0)</f>
        <v>0</v>
      </c>
      <c r="AP59" s="16">
        <f>IF(Programa!D$50&gt;0,IF(TipoProgramaPersonalTecnico=1,ROUND(Programa!F$50*'a)Plantilla'!$C26,RedondeoPersonalTecnico),IF(TipoProgramaPersonalTecnico=2,ROUND(Programa!D$50*'a)Plantilla'!$C26,RedondeoPersonalTecnico),ROUND(Programa!D$50*Hjor*'a)Plantilla'!$C26,RedondeoPersonalTecnico))),0)</f>
        <v>0</v>
      </c>
      <c r="AQ59" s="16">
        <f>IF(Programa!D$51&gt;0,IF(TipoProgramaPersonalTecnico=1,ROUND(Programa!F$51*'a)Plantilla'!$C26,RedondeoPersonalTecnico),IF(TipoProgramaPersonalTecnico=2,ROUND(Programa!D$51*'a)Plantilla'!$C26,RedondeoPersonalTecnico),ROUND(Programa!D$51*Hjor*'a)Plantilla'!$C26,RedondeoPersonalTecnico))),0)</f>
        <v>0</v>
      </c>
      <c r="AR59" s="16">
        <f>IF(Programa!D$52&gt;0,IF(TipoProgramaPersonalTecnico=1,ROUND(Programa!F$52*'a)Plantilla'!$C26,RedondeoPersonalTecnico),IF(TipoProgramaPersonalTecnico=2,ROUND(Programa!D$52*'a)Plantilla'!$C26,RedondeoPersonalTecnico),ROUND(Programa!D$52*Hjor*'a)Plantilla'!$C26,RedondeoPersonalTecnico))),0)</f>
        <v>0</v>
      </c>
      <c r="AS59" s="16">
        <f>IF(Programa!D$53&gt;0,IF(TipoProgramaPersonalTecnico=1,ROUND(Programa!F$53*'a)Plantilla'!$C26,RedondeoPersonalTecnico),IF(TipoProgramaPersonalTecnico=2,ROUND(Programa!D$53*'a)Plantilla'!$C26,RedondeoPersonalTecnico),ROUND(Programa!D$53*Hjor*'a)Plantilla'!$C26,RedondeoPersonalTecnico))),0)</f>
        <v>0</v>
      </c>
      <c r="AT59" s="16">
        <f>IF(Programa!D$54&gt;0,IF(TipoProgramaPersonalTecnico=1,ROUND(Programa!F$54*'a)Plantilla'!$C26,RedondeoPersonalTecnico),IF(TipoProgramaPersonalTecnico=2,ROUND(Programa!D$54*'a)Plantilla'!$C26,RedondeoPersonalTecnico),ROUND(Programa!D$54*Hjor*'a)Plantilla'!$C26,RedondeoPersonalTecnico))),0)</f>
        <v>0</v>
      </c>
      <c r="AU59" s="16">
        <f>IF(Programa!D$55&gt;0,IF(TipoProgramaPersonalTecnico=1,ROUND(Programa!F$55*'a)Plantilla'!$C26,RedondeoPersonalTecnico),IF(TipoProgramaPersonalTecnico=2,ROUND(Programa!D$55*'a)Plantilla'!$C26,RedondeoPersonalTecnico),ROUND(Programa!D$55*Hjor*'a)Plantilla'!$C26,RedondeoPersonalTecnico))),0)</f>
        <v>0</v>
      </c>
      <c r="AV59" s="16">
        <f>IF(Programa!D$56&gt;0,IF(TipoProgramaPersonalTecnico=1,ROUND(Programa!F$56*'a)Plantilla'!$C26,RedondeoPersonalTecnico),IF(TipoProgramaPersonalTecnico=2,ROUND(Programa!D$56*'a)Plantilla'!$C26,RedondeoPersonalTecnico),ROUND(Programa!D$56*Hjor*'a)Plantilla'!$C26,RedondeoPersonalTecnico))),0)</f>
        <v>0</v>
      </c>
      <c r="AW59" s="16">
        <f>IF(Programa!D$57&gt;0,IF(TipoProgramaPersonalTecnico=1,ROUND(Programa!F$57*'a)Plantilla'!$C26,RedondeoPersonalTecnico),IF(TipoProgramaPersonalTecnico=2,ROUND(Programa!D$57*'a)Plantilla'!$C26,RedondeoPersonalTecnico),ROUND(Programa!D$57*Hjor*'a)Plantilla'!$C26,RedondeoPersonalTecnico))),0)</f>
        <v>0</v>
      </c>
      <c r="AX59" s="16">
        <f>IF(Programa!D$58&gt;0,IF(TipoProgramaPersonalTecnico=1,ROUND(Programa!F$58*'a)Plantilla'!$C26,RedondeoPersonalTecnico),IF(TipoProgramaPersonalTecnico=2,ROUND(Programa!D$58*'a)Plantilla'!$C26,RedondeoPersonalTecnico),ROUND(Programa!D$58*Hjor*'a)Plantilla'!$C26,RedondeoPersonalTecnico))),0)</f>
        <v>0</v>
      </c>
      <c r="AY59" s="16">
        <f>IF(Programa!D$59&gt;0,IF(TipoProgramaPersonalTecnico=1,ROUND(Programa!F$59*'a)Plantilla'!$C26,RedondeoPersonalTecnico),IF(TipoProgramaPersonalTecnico=2,ROUND(Programa!D$59*'a)Plantilla'!$C26,RedondeoPersonalTecnico),ROUND(Programa!D$59*Hjor*'a)Plantilla'!$C26,RedondeoPersonalTecnico))),0)</f>
        <v>0</v>
      </c>
      <c r="AZ59" s="16">
        <f>IF(Programa!D$60&gt;0,IF(TipoProgramaPersonalTecnico=1,ROUND(Programa!F$60*'a)Plantilla'!$C26,RedondeoPersonalTecnico),IF(TipoProgramaPersonalTecnico=2,ROUND(Programa!D$60*'a)Plantilla'!$C26,RedondeoPersonalTecnico),ROUND(Programa!D$60*Hjor*'a)Plantilla'!$C26,RedondeoPersonalTecnico))),0)</f>
        <v>0</v>
      </c>
      <c r="BA59" s="16">
        <f>IF(Programa!D$61&gt;0,IF(TipoProgramaPersonalTecnico=1,ROUND(Programa!F$61*'a)Plantilla'!$C26,RedondeoPersonalTecnico),IF(TipoProgramaPersonalTecnico=2,ROUND(Programa!D$61*'a)Plantilla'!$C26,RedondeoPersonalTecnico),ROUND(Programa!D$61*Hjor*'a)Plantilla'!$C26,RedondeoPersonalTecnico))),0)</f>
        <v>0</v>
      </c>
      <c r="BB59" s="16">
        <f>IF(Programa!D$62&gt;0,IF(TipoProgramaPersonalTecnico=1,ROUND(Programa!F$62*'a)Plantilla'!$C26,RedondeoPersonalTecnico),IF(TipoProgramaPersonalTecnico=2,ROUND(Programa!D$62*'a)Plantilla'!$C26,RedondeoPersonalTecnico),ROUND(Programa!D$62*Hjor*'a)Plantilla'!$C26,RedondeoPersonalTecnico))),0)</f>
        <v>0</v>
      </c>
      <c r="BC59" s="16">
        <f>IF(Programa!D$63&gt;0,IF(TipoProgramaPersonalTecnico=1,ROUND(Programa!F$63*'a)Plantilla'!$C26,RedondeoPersonalTecnico),IF(TipoProgramaPersonalTecnico=2,ROUND(Programa!D$63*'a)Plantilla'!$C26,RedondeoPersonalTecnico),ROUND(Programa!D$63*Hjor*'a)Plantilla'!$C26,RedondeoPersonalTecnico))),0)</f>
        <v>0</v>
      </c>
      <c r="BD59" s="16">
        <f>IF(Programa!D$64&gt;0,IF(TipoProgramaPersonalTecnico=1,ROUND(Programa!F$64*'a)Plantilla'!$C26,RedondeoPersonalTecnico),IF(TipoProgramaPersonalTecnico=2,ROUND(Programa!D$64*'a)Plantilla'!$C26,RedondeoPersonalTecnico),ROUND(Programa!D$64*Hjor*'a)Plantilla'!$C26,RedondeoPersonalTecnico))),0)</f>
        <v>0</v>
      </c>
      <c r="BE59" s="16">
        <f>IF(Programa!D$65&gt;0,IF(TipoProgramaPersonalTecnico=1,ROUND(Programa!F$65*'a)Plantilla'!$C26,RedondeoPersonalTecnico),IF(TipoProgramaPersonalTecnico=2,ROUND(Programa!D$65*'a)Plantilla'!$C26,RedondeoPersonalTecnico),ROUND(Programa!D$65*Hjor*'a)Plantilla'!$C26,RedondeoPersonalTecnico))),0)</f>
        <v>0</v>
      </c>
      <c r="BF59" s="16">
        <f>IF(Programa!D$66&gt;0,IF(TipoProgramaPersonalTecnico=1,ROUND(Programa!F$66*'a)Plantilla'!$C26,RedondeoPersonalTecnico),IF(TipoProgramaPersonalTecnico=2,ROUND(Programa!D$66*'a)Plantilla'!$C26,RedondeoPersonalTecnico),ROUND(Programa!D$66*Hjor*'a)Plantilla'!$C26,RedondeoPersonalTecnico))),0)</f>
        <v>0</v>
      </c>
      <c r="BG59" s="16">
        <f>IF(Programa!D$67&gt;0,IF(TipoProgramaPersonalTecnico=1,ROUND(Programa!F$67*'a)Plantilla'!$C26,RedondeoPersonalTecnico),IF(TipoProgramaPersonalTecnico=2,ROUND(Programa!D$67*'a)Plantilla'!$C26,RedondeoPersonalTecnico),ROUND(Programa!D$67*Hjor*'a)Plantilla'!$C26,RedondeoPersonalTecnico))),0)</f>
        <v>0</v>
      </c>
      <c r="BH59" s="16">
        <f>IF(Programa!D$68&gt;0,IF(TipoProgramaPersonalTecnico=1,ROUND(Programa!F$68*'a)Plantilla'!$C26,RedondeoPersonalTecnico),IF(TipoProgramaPersonalTecnico=2,ROUND(Programa!D$68*'a)Plantilla'!$C26,RedondeoPersonalTecnico),ROUND(Programa!D$68*Hjor*'a)Plantilla'!$C26,RedondeoPersonalTecnico))),0)</f>
        <v>0</v>
      </c>
      <c r="BI59" s="16">
        <f>IF(Programa!D$69&gt;0,IF(TipoProgramaPersonalTecnico=1,ROUND(Programa!F$69*'a)Plantilla'!$C26,RedondeoPersonalTecnico),IF(TipoProgramaPersonalTecnico=2,ROUND(Programa!D$69*'a)Plantilla'!$C26,RedondeoPersonalTecnico),ROUND(Programa!D$69*Hjor*'a)Plantilla'!$C26,RedondeoPersonalTecnico))),0)</f>
        <v>0</v>
      </c>
      <c r="BJ59" s="16">
        <f>IF(Programa!D$70&gt;0,IF(TipoProgramaPersonalTecnico=1,ROUND(Programa!F$70*'a)Plantilla'!$C26,RedondeoPersonalTecnico),IF(TipoProgramaPersonalTecnico=2,ROUND(Programa!D$70*'a)Plantilla'!$C26,RedondeoPersonalTecnico),ROUND(Programa!D$70*Hjor*'a)Plantilla'!$C26,RedondeoPersonalTecnico))),0)</f>
        <v>0</v>
      </c>
      <c r="BK59" s="16">
        <f>IF(Programa!D$71&gt;0,IF(TipoProgramaPersonalTecnico=1,ROUND(Programa!F$71*'a)Plantilla'!$C26,RedondeoPersonalTecnico),IF(TipoProgramaPersonalTecnico=2,ROUND(Programa!D$71*'a)Plantilla'!$C26,RedondeoPersonalTecnico),ROUND(Programa!D$71*Hjor*'a)Plantilla'!$C26,RedondeoPersonalTecnico))),0)</f>
        <v>0</v>
      </c>
      <c r="BL59" s="117">
        <f>IF(Programa!D$72&gt;0,IF(TipoProgramaPersonalTecnico=1,ROUND(Programa!F$72*'a)Plantilla'!$C26,RedondeoPersonalTecnico),IF(TipoProgramaPersonalTecnico=2,ROUND(Programa!D$72*'a)Plantilla'!$C26,RedondeoPersonalTecnico),ROUND(Programa!D$72*Hjor*'a)Plantilla'!$C26,RedondeoPersonalTecnico))),0)</f>
        <v>0</v>
      </c>
    </row>
    <row r="60" spans="1:64" ht="12.75" customHeight="1">
      <c r="A60" s="249" t="str">
        <f>'a)Plantilla'!B28</f>
        <v>PERSONAL DE OFICINA CENTRAL</v>
      </c>
      <c r="B60" s="4"/>
      <c r="C60" s="4"/>
      <c r="D60" s="9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4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4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4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4"/>
    </row>
    <row r="61" spans="1:64" ht="12.75" customHeight="1">
      <c r="A61" s="378" t="str">
        <f>'b)Indirectos Desglosados'!B18</f>
        <v>Personal directivo incluye: Prestaciones</v>
      </c>
      <c r="B61" s="232"/>
      <c r="C61" s="232"/>
      <c r="D61" s="705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297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297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297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297"/>
    </row>
    <row r="62" spans="1:64" ht="8.1" customHeight="1">
      <c r="A62" s="204"/>
      <c r="B62" s="30"/>
      <c r="C62" s="30"/>
      <c r="D62" s="25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79"/>
      <c r="Q62" s="48"/>
      <c r="R62" s="9"/>
      <c r="S62" s="9"/>
      <c r="T62" s="9"/>
      <c r="U62" s="9"/>
      <c r="V62" s="9"/>
      <c r="W62" s="9"/>
      <c r="X62" s="9"/>
      <c r="Y62" s="9"/>
      <c r="Z62" s="9"/>
      <c r="AA62" s="9"/>
      <c r="AB62" s="79"/>
      <c r="AC62" s="4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79"/>
      <c r="AO62" s="48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79"/>
    </row>
    <row r="63" spans="1:64" ht="12.75" customHeight="1">
      <c r="A63" s="133" t="s">
        <v>168</v>
      </c>
      <c r="B63" s="46" t="str">
        <f>IF('a)Plantilla'!C32&gt;0,'a)Plantilla'!B32,"")</f>
        <v/>
      </c>
      <c r="C63" s="17" t="str">
        <f>IF('a)Plantilla'!C$32&gt;0,IF(TipoProgramaPersonalTecnico=1,"Personas",IF(TipoProgramaPersonalTecnico=2,"Jornal","horas-Hombre")),"")</f>
        <v/>
      </c>
      <c r="D63" s="226">
        <f>ROUND(SUM(E63:BL63),RedondeoPersonalTecnico)</f>
        <v>0</v>
      </c>
      <c r="E63" s="6">
        <f>IF(Programa!D$13&gt;0,IF(TipoProgramaPersonalTecnico=1,ROUND(Programa!F$13*'a)Plantilla'!$C32,RedondeoPersonalTecnico),IF(TipoProgramaPersonalTecnico=2,ROUND(Programa!D$13*'a)Plantilla'!$C32,RedondeoPersonalTecnico),ROUND(Programa!D$13*Hjor*'a)Plantilla'!$C32,RedondeoPersonalTecnico))),0)</f>
        <v>0</v>
      </c>
      <c r="F63" s="6">
        <f>IF(Programa!D$14&gt;0,IF(TipoProgramaPersonalTecnico=1,ROUND(Programa!F$14*'a)Plantilla'!$C32,RedondeoPersonalTecnico),IF(TipoProgramaPersonalTecnico=2,ROUND(Programa!D$14*'a)Plantilla'!$C32,RedondeoPersonalTecnico),ROUND(Programa!D$14*Hjor*'a)Plantilla'!$C32,RedondeoPersonalTecnico))),0)</f>
        <v>0</v>
      </c>
      <c r="G63" s="6">
        <f>IF(Programa!D$15&gt;0,IF(TipoProgramaPersonalTecnico=1,ROUND(Programa!F$15*'a)Plantilla'!$C32,RedondeoPersonalTecnico),IF(TipoProgramaPersonalTecnico=2,ROUND(Programa!D$15*'a)Plantilla'!$C32,RedondeoPersonalTecnico),ROUND(Programa!D$15*Hjor*'a)Plantilla'!$C32,RedondeoPersonalTecnico))),0)</f>
        <v>0</v>
      </c>
      <c r="H63" s="6">
        <f>IF(Programa!D$16&gt;0,IF(TipoProgramaPersonalTecnico=1,ROUND(Programa!F$16*'a)Plantilla'!$C32,RedondeoPersonalTecnico),IF(TipoProgramaPersonalTecnico=2,ROUND(Programa!D$16*'a)Plantilla'!$C32,RedondeoPersonalTecnico),ROUND(Programa!D$16*Hjor*'a)Plantilla'!$C32,RedondeoPersonalTecnico))),0)</f>
        <v>0</v>
      </c>
      <c r="I63" s="6">
        <f>IF(Programa!D$17&gt;0,IF(TipoProgramaPersonalTecnico=1,ROUND(Programa!F$17*'a)Plantilla'!$C32,RedondeoPersonalTecnico),IF(TipoProgramaPersonalTecnico=2,ROUND(Programa!D$17*'a)Plantilla'!$C32,RedondeoPersonalTecnico),ROUND(Programa!D$17*Hjor*'a)Plantilla'!$C32,RedondeoPersonalTecnico))),0)</f>
        <v>0</v>
      </c>
      <c r="J63" s="6">
        <f>IF(Programa!D$18&gt;0,IF(TipoProgramaPersonalTecnico=1,ROUND(Programa!F$18*'a)Plantilla'!$C32,RedondeoPersonalTecnico),IF(TipoProgramaPersonalTecnico=2,ROUND(Programa!D$18*'a)Plantilla'!$C32,RedondeoPersonalTecnico),ROUND(Programa!D$18*Hjor*'a)Plantilla'!$C32,RedondeoPersonalTecnico))),0)</f>
        <v>0</v>
      </c>
      <c r="K63" s="6">
        <f>IF(Programa!D$19&gt;0,IF(TipoProgramaPersonalTecnico=1,ROUND(Programa!F$19*'a)Plantilla'!$C32,RedondeoPersonalTecnico),IF(TipoProgramaPersonalTecnico=2,ROUND(Programa!D$19*'a)Plantilla'!$C32,RedondeoPersonalTecnico),ROUND(Programa!D$19*Hjor*'a)Plantilla'!$C32,RedondeoPersonalTecnico))),0)</f>
        <v>0</v>
      </c>
      <c r="L63" s="6">
        <f>IF(Programa!D$20&gt;0,IF(TipoProgramaPersonalTecnico=1,ROUND(Programa!F$20*'a)Plantilla'!$C32,RedondeoPersonalTecnico),IF(TipoProgramaPersonalTecnico=2,ROUND(Programa!D$20*'a)Plantilla'!$C32,RedondeoPersonalTecnico),ROUND(Programa!D$20*Hjor*'a)Plantilla'!$C32,RedondeoPersonalTecnico))),0)</f>
        <v>0</v>
      </c>
      <c r="M63" s="6">
        <f>IF(Programa!D$21&gt;0,IF(TipoProgramaPersonalTecnico=1,ROUND(Programa!F$21*'a)Plantilla'!$C32,RedondeoPersonalTecnico),IF(TipoProgramaPersonalTecnico=2,ROUND(Programa!D$21*'a)Plantilla'!$C32,RedondeoPersonalTecnico),ROUND(Programa!D$21*Hjor*'a)Plantilla'!$C32,RedondeoPersonalTecnico))),0)</f>
        <v>0</v>
      </c>
      <c r="N63" s="6">
        <f>IF(Programa!D$22&gt;0,IF(TipoProgramaPersonalTecnico=1,ROUND(Programa!F$22*'a)Plantilla'!$C32,RedondeoPersonalTecnico),IF(TipoProgramaPersonalTecnico=2,ROUND(Programa!D$22*'a)Plantilla'!$C32,RedondeoPersonalTecnico),ROUND(Programa!D$22*Hjor*'a)Plantilla'!$C32,RedondeoPersonalTecnico))),0)</f>
        <v>0</v>
      </c>
      <c r="O63" s="6">
        <f>IF(Programa!D$23&gt;0,IF(TipoProgramaPersonalTecnico=1,ROUND(Programa!F$23*'a)Plantilla'!$C32,RedondeoPersonalTecnico),IF(TipoProgramaPersonalTecnico=2,ROUND(Programa!D$23*'a)Plantilla'!$C32,RedondeoPersonalTecnico),ROUND(Programa!D$23*Hjor*'a)Plantilla'!$C32,RedondeoPersonalTecnico))),0)</f>
        <v>0</v>
      </c>
      <c r="P63" s="78">
        <f>IF(Programa!D$24&gt;0,IF(TipoProgramaPersonalTecnico=1,ROUND(Programa!F$24*'a)Plantilla'!$C32,RedondeoPersonalTecnico),IF(TipoProgramaPersonalTecnico=2,ROUND(Programa!D$24*'a)Plantilla'!$C32,RedondeoPersonalTecnico),ROUND(Programa!D$24*Hjor*'a)Plantilla'!$C32,RedondeoPersonalTecnico))),0)</f>
        <v>0</v>
      </c>
      <c r="Q63" s="27">
        <f>IF(Programa!D$25&gt;0,IF(TipoProgramaPersonalTecnico=1,ROUND(Programa!F$25*'a)Plantilla'!$C32,RedondeoPersonalTecnico),IF(TipoProgramaPersonalTecnico=2,ROUND(Programa!D$25*'a)Plantilla'!$C32,RedondeoPersonalTecnico),ROUND(Programa!D$25*Hjor*'a)Plantilla'!$C32,RedondeoPersonalTecnico))),0)</f>
        <v>0</v>
      </c>
      <c r="R63" s="6">
        <f>IF(Programa!D$26&gt;0,IF(TipoProgramaPersonalTecnico=1,ROUND(Programa!F$26*'a)Plantilla'!$C32,RedondeoPersonalTecnico),IF(TipoProgramaPersonalTecnico=2,ROUND(Programa!D$26*'a)Plantilla'!$C32,RedondeoPersonalTecnico),ROUND(Programa!D$26*Hjor*'a)Plantilla'!$C32,RedondeoPersonalTecnico))),0)</f>
        <v>0</v>
      </c>
      <c r="S63" s="6">
        <f>IF(Programa!D$27&gt;0,IF(TipoProgramaPersonalTecnico=1,ROUND(Programa!F$27*'a)Plantilla'!$C32,RedondeoPersonalTecnico),IF(TipoProgramaPersonalTecnico=2,ROUND(Programa!D$27*'a)Plantilla'!$C32,RedondeoPersonalTecnico),ROUND(Programa!D$27*Hjor*'a)Plantilla'!$C32,RedondeoPersonalTecnico))),0)</f>
        <v>0</v>
      </c>
      <c r="T63" s="6">
        <f>IF(Programa!D$28&gt;0,IF(TipoProgramaPersonalTecnico=1,ROUND(Programa!F$28*'a)Plantilla'!$C32,RedondeoPersonalTecnico),IF(TipoProgramaPersonalTecnico=2,ROUND(Programa!D$28*'a)Plantilla'!$C32,RedondeoPersonalTecnico),ROUND(Programa!D$28*Hjor*'a)Plantilla'!$C32,RedondeoPersonalTecnico))),0)</f>
        <v>0</v>
      </c>
      <c r="U63" s="6">
        <f>IF(Programa!D$29&gt;0,IF(TipoProgramaPersonalTecnico=1,ROUND(Programa!F$29*'a)Plantilla'!$C32,RedondeoPersonalTecnico),IF(TipoProgramaPersonalTecnico=2,ROUND(Programa!D$29*'a)Plantilla'!$C32,RedondeoPersonalTecnico),ROUND(Programa!D$29*Hjor*'a)Plantilla'!$C32,RedondeoPersonalTecnico))),0)</f>
        <v>0</v>
      </c>
      <c r="V63" s="6">
        <f>IF(Programa!D$30&gt;0,IF(TipoProgramaPersonalTecnico=1,ROUND(Programa!F$30*'a)Plantilla'!$C32,RedondeoPersonalTecnico),IF(TipoProgramaPersonalTecnico=2,ROUND(Programa!D$30*'a)Plantilla'!$C32,RedondeoPersonalTecnico),ROUND(Programa!D$30*Hjor*'a)Plantilla'!$C32,RedondeoPersonalTecnico))),0)</f>
        <v>0</v>
      </c>
      <c r="W63" s="6">
        <f>IF(Programa!D$31&gt;0,IF(TipoProgramaPersonalTecnico=1,ROUND(Programa!F$31*'a)Plantilla'!$C32,RedondeoPersonalTecnico),IF(TipoProgramaPersonalTecnico=2,ROUND(Programa!D$31*'a)Plantilla'!$C32,RedondeoPersonalTecnico),ROUND(Programa!D$31*Hjor*'a)Plantilla'!$C32,RedondeoPersonalTecnico))),0)</f>
        <v>0</v>
      </c>
      <c r="X63" s="6">
        <f>IF(Programa!D$32&gt;0,IF(TipoProgramaPersonalTecnico=1,ROUND(Programa!F$32*'a)Plantilla'!$C32,RedondeoPersonalTecnico),IF(TipoProgramaPersonalTecnico=2,ROUND(Programa!D$32*'a)Plantilla'!$C32,RedondeoPersonalTecnico),ROUND(Programa!D$32*Hjor*'a)Plantilla'!$C32,RedondeoPersonalTecnico))),0)</f>
        <v>0</v>
      </c>
      <c r="Y63" s="6">
        <f>IF(Programa!D$33&gt;0,IF(TipoProgramaPersonalTecnico=1,ROUND(Programa!F$33*'a)Plantilla'!$C32,RedondeoPersonalTecnico),IF(TipoProgramaPersonalTecnico=2,ROUND(Programa!D$33*'a)Plantilla'!$C32,RedondeoPersonalTecnico),ROUND(Programa!D$33*Hjor*'a)Plantilla'!$C32,RedondeoPersonalTecnico))),0)</f>
        <v>0</v>
      </c>
      <c r="Z63" s="6">
        <f>IF(Programa!D$34&gt;0,IF(TipoProgramaPersonalTecnico=1,ROUND(Programa!F$34*'a)Plantilla'!$C32,RedondeoPersonalTecnico),IF(TipoProgramaPersonalTecnico=2,ROUND(Programa!D$34*'a)Plantilla'!$C32,RedondeoPersonalTecnico),ROUND(Programa!D$34*Hjor*'a)Plantilla'!$C32,RedondeoPersonalTecnico))),0)</f>
        <v>0</v>
      </c>
      <c r="AA63" s="6">
        <f>IF(Programa!D$35&gt;0,IF(TipoProgramaPersonalTecnico=1,ROUND(Programa!F$35*'a)Plantilla'!$C32,RedondeoPersonalTecnico),IF(TipoProgramaPersonalTecnico=2,ROUND(Programa!D$35*'a)Plantilla'!$C32,RedondeoPersonalTecnico),ROUND(Programa!D$35*Hjor*'a)Plantilla'!$C32,RedondeoPersonalTecnico))),0)</f>
        <v>0</v>
      </c>
      <c r="AB63" s="78">
        <f>IF(Programa!D$36&gt;0,IF(TipoProgramaPersonalTecnico=1,ROUND(Programa!F$36*'a)Plantilla'!$C32,RedondeoPersonalTecnico),IF(TipoProgramaPersonalTecnico=2,ROUND(Programa!D$36*'a)Plantilla'!$C32,RedondeoPersonalTecnico),ROUND(Programa!D$36*Hjor*'a)Plantilla'!$C32,RedondeoPersonalTecnico))),0)</f>
        <v>0</v>
      </c>
      <c r="AC63" s="27">
        <f>IF(Programa!D$37&gt;0,IF(TipoProgramaPersonalTecnico=1,ROUND(Programa!F$37*'a)Plantilla'!$C32,RedondeoPersonalTecnico),IF(TipoProgramaPersonalTecnico=2,ROUND(Programa!D$37*'a)Plantilla'!$C32,RedondeoPersonalTecnico),ROUND(Programa!D$37*Hjor*'a)Plantilla'!$C32,RedondeoPersonalTecnico))),0)</f>
        <v>0</v>
      </c>
      <c r="AD63" s="6">
        <f>IF(Programa!D$38&gt;0,IF(TipoProgramaPersonalTecnico=1,ROUND(Programa!F$38*'a)Plantilla'!$C32,RedondeoPersonalTecnico),IF(TipoProgramaPersonalTecnico=2,ROUND(Programa!D$38*'a)Plantilla'!$C32,RedondeoPersonalTecnico),ROUND(Programa!D$38*Hjor*'a)Plantilla'!$C32,RedondeoPersonalTecnico))),0)</f>
        <v>0</v>
      </c>
      <c r="AE63" s="6">
        <f>IF(Programa!D$39&gt;0,IF(TipoProgramaPersonalTecnico=1,ROUND(Programa!F$39*'a)Plantilla'!$C32,RedondeoPersonalTecnico),IF(TipoProgramaPersonalTecnico=2,ROUND(Programa!D$39*'a)Plantilla'!$C32,RedondeoPersonalTecnico),ROUND(Programa!D$39*Hjor*'a)Plantilla'!$C32,RedondeoPersonalTecnico))),0)</f>
        <v>0</v>
      </c>
      <c r="AF63" s="6">
        <f>IF(Programa!D$40&gt;0,IF(TipoProgramaPersonalTecnico=1,ROUND(Programa!F$40*'a)Plantilla'!$C32,RedondeoPersonalTecnico),IF(TipoProgramaPersonalTecnico=2,ROUND(Programa!D$40*'a)Plantilla'!$C32,RedondeoPersonalTecnico),ROUND(Programa!D$40*Hjor*'a)Plantilla'!$C32,RedondeoPersonalTecnico))),0)</f>
        <v>0</v>
      </c>
      <c r="AG63" s="6">
        <f>IF(Programa!D$41&gt;0,IF(TipoProgramaPersonalTecnico=1,ROUND(Programa!F$41*'a)Plantilla'!$C32,RedondeoPersonalTecnico),IF(TipoProgramaPersonalTecnico=2,ROUND(Programa!D$41*'a)Plantilla'!$C32,RedondeoPersonalTecnico),ROUND(Programa!D$41*Hjor*'a)Plantilla'!$C32,RedondeoPersonalTecnico))),0)</f>
        <v>0</v>
      </c>
      <c r="AH63" s="6">
        <f>IF(Programa!D$42&gt;0,IF(TipoProgramaPersonalTecnico=1,ROUND(Programa!F$42*'a)Plantilla'!$C32,RedondeoPersonalTecnico),IF(TipoProgramaPersonalTecnico=2,ROUND(Programa!D$42*'a)Plantilla'!$C32,RedondeoPersonalTecnico),ROUND(Programa!D$42*Hjor*'a)Plantilla'!$C32,RedondeoPersonalTecnico))),0)</f>
        <v>0</v>
      </c>
      <c r="AI63" s="6">
        <f>IF(Programa!D$43&gt;0,IF(TipoProgramaPersonalTecnico=1,ROUND(Programa!F$43*'a)Plantilla'!$C32,RedondeoPersonalTecnico),IF(TipoProgramaPersonalTecnico=2,ROUND(Programa!D$43*'a)Plantilla'!$C32,RedondeoPersonalTecnico),ROUND(Programa!D$43*Hjor*'a)Plantilla'!$C32,RedondeoPersonalTecnico))),0)</f>
        <v>0</v>
      </c>
      <c r="AJ63" s="6">
        <f>IF(Programa!D$44&gt;0,IF(TipoProgramaPersonalTecnico=1,ROUND(Programa!F$44*'a)Plantilla'!$C32,RedondeoPersonalTecnico),IF(TipoProgramaPersonalTecnico=2,ROUND(Programa!D$44*'a)Plantilla'!$C32,RedondeoPersonalTecnico),ROUND(Programa!D$44*Hjor*'a)Plantilla'!$C32,RedondeoPersonalTecnico))),0)</f>
        <v>0</v>
      </c>
      <c r="AK63" s="6">
        <f>IF(Programa!D$45&gt;0,IF(TipoProgramaPersonalTecnico=1,ROUND(Programa!F$45*'a)Plantilla'!$C32,RedondeoPersonalTecnico),IF(TipoProgramaPersonalTecnico=2,ROUND(Programa!D$45*'a)Plantilla'!$C32,RedondeoPersonalTecnico),ROUND(Programa!D$45*Hjor*'a)Plantilla'!$C32,RedondeoPersonalTecnico))),0)</f>
        <v>0</v>
      </c>
      <c r="AL63" s="6">
        <f>IF(Programa!D$46&gt;0,IF(TipoProgramaPersonalTecnico=1,ROUND(Programa!F$46*'a)Plantilla'!$C32,RedondeoPersonalTecnico),IF(TipoProgramaPersonalTecnico=2,ROUND(Programa!D$46*'a)Plantilla'!$C32,RedondeoPersonalTecnico),ROUND(Programa!D$46*Hjor*'a)Plantilla'!$C32,RedondeoPersonalTecnico))),0)</f>
        <v>0</v>
      </c>
      <c r="AM63" s="6">
        <f>IF(Programa!D$47&gt;0,IF(TipoProgramaPersonalTecnico=1,ROUND(Programa!F$47*'a)Plantilla'!$C32,RedondeoPersonalTecnico),IF(TipoProgramaPersonalTecnico=2,ROUND(Programa!D$47*'a)Plantilla'!$C32,RedondeoPersonalTecnico),ROUND(Programa!D$47*Hjor*'a)Plantilla'!$C32,RedondeoPersonalTecnico))),0)</f>
        <v>0</v>
      </c>
      <c r="AN63" s="78">
        <f>IF(Programa!D$48&gt;0,IF(TipoProgramaPersonalTecnico=1,ROUND(Programa!F$48*'a)Plantilla'!$C32,RedondeoPersonalTecnico),IF(TipoProgramaPersonalTecnico=2,ROUND(Programa!D$48*'a)Plantilla'!$C32,RedondeoPersonalTecnico),ROUND(Programa!D$48*Hjor*'a)Plantilla'!$C32,RedondeoPersonalTecnico))),0)</f>
        <v>0</v>
      </c>
      <c r="AO63" s="27">
        <f>IF(Programa!D$49&gt;0,IF(TipoProgramaPersonalTecnico=1,ROUND(Programa!F$49*'a)Plantilla'!$C32,RedondeoPersonalTecnico),IF(TipoProgramaPersonalTecnico=2,ROUND(Programa!D$49*'a)Plantilla'!$C32,RedondeoPersonalTecnico),ROUND(Programa!D$49*Hjor*'a)Plantilla'!$C32,RedondeoPersonalTecnico))),0)</f>
        <v>0</v>
      </c>
      <c r="AP63" s="6">
        <f>IF(Programa!D$50&gt;0,IF(TipoProgramaPersonalTecnico=1,ROUND(Programa!F$50*'a)Plantilla'!$C32,RedondeoPersonalTecnico),IF(TipoProgramaPersonalTecnico=2,ROUND(Programa!D$50*'a)Plantilla'!$C32,RedondeoPersonalTecnico),ROUND(Programa!D$50*Hjor*'a)Plantilla'!$C32,RedondeoPersonalTecnico))),0)</f>
        <v>0</v>
      </c>
      <c r="AQ63" s="6">
        <f>IF(Programa!D$51&gt;0,IF(TipoProgramaPersonalTecnico=1,ROUND(Programa!F$51*'a)Plantilla'!$C32,RedondeoPersonalTecnico),IF(TipoProgramaPersonalTecnico=2,ROUND(Programa!D$51*'a)Plantilla'!$C32,RedondeoPersonalTecnico),ROUND(Programa!D$51*Hjor*'a)Plantilla'!$C32,RedondeoPersonalTecnico))),0)</f>
        <v>0</v>
      </c>
      <c r="AR63" s="6">
        <f>IF(Programa!D$52&gt;0,IF(TipoProgramaPersonalTecnico=1,ROUND(Programa!F$52*'a)Plantilla'!$C32,RedondeoPersonalTecnico),IF(TipoProgramaPersonalTecnico=2,ROUND(Programa!D$52*'a)Plantilla'!$C32,RedondeoPersonalTecnico),ROUND(Programa!D$52*Hjor*'a)Plantilla'!$C32,RedondeoPersonalTecnico))),0)</f>
        <v>0</v>
      </c>
      <c r="AS63" s="6">
        <f>IF(Programa!D$53&gt;0,IF(TipoProgramaPersonalTecnico=1,ROUND(Programa!F$53*'a)Plantilla'!$C32,RedondeoPersonalTecnico),IF(TipoProgramaPersonalTecnico=2,ROUND(Programa!D$53*'a)Plantilla'!$C32,RedondeoPersonalTecnico),ROUND(Programa!D$53*Hjor*'a)Plantilla'!$C32,RedondeoPersonalTecnico))),0)</f>
        <v>0</v>
      </c>
      <c r="AT63" s="6">
        <f>IF(Programa!D$54&gt;0,IF(TipoProgramaPersonalTecnico=1,ROUND(Programa!F$54*'a)Plantilla'!$C32,RedondeoPersonalTecnico),IF(TipoProgramaPersonalTecnico=2,ROUND(Programa!D$54*'a)Plantilla'!$C32,RedondeoPersonalTecnico),ROUND(Programa!D$54*Hjor*'a)Plantilla'!$C32,RedondeoPersonalTecnico))),0)</f>
        <v>0</v>
      </c>
      <c r="AU63" s="6">
        <f>IF(Programa!D$55&gt;0,IF(TipoProgramaPersonalTecnico=1,ROUND(Programa!F$55*'a)Plantilla'!$C32,RedondeoPersonalTecnico),IF(TipoProgramaPersonalTecnico=2,ROUND(Programa!D$55*'a)Plantilla'!$C32,RedondeoPersonalTecnico),ROUND(Programa!D$55*Hjor*'a)Plantilla'!$C32,RedondeoPersonalTecnico))),0)</f>
        <v>0</v>
      </c>
      <c r="AV63" s="6">
        <f>IF(Programa!D$56&gt;0,IF(TipoProgramaPersonalTecnico=1,ROUND(Programa!F$56*'a)Plantilla'!$C32,RedondeoPersonalTecnico),IF(TipoProgramaPersonalTecnico=2,ROUND(Programa!D$56*'a)Plantilla'!$C32,RedondeoPersonalTecnico),ROUND(Programa!D$56*Hjor*'a)Plantilla'!$C32,RedondeoPersonalTecnico))),0)</f>
        <v>0</v>
      </c>
      <c r="AW63" s="6">
        <f>IF(Programa!D$57&gt;0,IF(TipoProgramaPersonalTecnico=1,ROUND(Programa!F$57*'a)Plantilla'!$C32,RedondeoPersonalTecnico),IF(TipoProgramaPersonalTecnico=2,ROUND(Programa!D$57*'a)Plantilla'!$C32,RedondeoPersonalTecnico),ROUND(Programa!D$57*Hjor*'a)Plantilla'!$C32,RedondeoPersonalTecnico))),0)</f>
        <v>0</v>
      </c>
      <c r="AX63" s="6">
        <f>IF(Programa!D$58&gt;0,IF(TipoProgramaPersonalTecnico=1,ROUND(Programa!F$58*'a)Plantilla'!$C32,RedondeoPersonalTecnico),IF(TipoProgramaPersonalTecnico=2,ROUND(Programa!D$58*'a)Plantilla'!$C32,RedondeoPersonalTecnico),ROUND(Programa!D$58*Hjor*'a)Plantilla'!$C32,RedondeoPersonalTecnico))),0)</f>
        <v>0</v>
      </c>
      <c r="AY63" s="6">
        <f>IF(Programa!D$59&gt;0,IF(TipoProgramaPersonalTecnico=1,ROUND(Programa!F$59*'a)Plantilla'!$C32,RedondeoPersonalTecnico),IF(TipoProgramaPersonalTecnico=2,ROUND(Programa!D$59*'a)Plantilla'!$C32,RedondeoPersonalTecnico),ROUND(Programa!D$59*Hjor*'a)Plantilla'!$C32,RedondeoPersonalTecnico))),0)</f>
        <v>0</v>
      </c>
      <c r="AZ63" s="6">
        <f>IF(Programa!D$60&gt;0,IF(TipoProgramaPersonalTecnico=1,ROUND(Programa!F$60*'a)Plantilla'!$C32,RedondeoPersonalTecnico),IF(TipoProgramaPersonalTecnico=2,ROUND(Programa!D$60*'a)Plantilla'!$C32,RedondeoPersonalTecnico),ROUND(Programa!D$60*Hjor*'a)Plantilla'!$C32,RedondeoPersonalTecnico))),0)</f>
        <v>0</v>
      </c>
      <c r="BA63" s="6">
        <f>IF(Programa!D$61&gt;0,IF(TipoProgramaPersonalTecnico=1,ROUND(Programa!F$61*'a)Plantilla'!$C32,RedondeoPersonalTecnico),IF(TipoProgramaPersonalTecnico=2,ROUND(Programa!D$61*'a)Plantilla'!$C32,RedondeoPersonalTecnico),ROUND(Programa!D$61*Hjor*'a)Plantilla'!$C32,RedondeoPersonalTecnico))),0)</f>
        <v>0</v>
      </c>
      <c r="BB63" s="6">
        <f>IF(Programa!D$62&gt;0,IF(TipoProgramaPersonalTecnico=1,ROUND(Programa!F$62*'a)Plantilla'!$C32,RedondeoPersonalTecnico),IF(TipoProgramaPersonalTecnico=2,ROUND(Programa!D$62*'a)Plantilla'!$C32,RedondeoPersonalTecnico),ROUND(Programa!D$62*Hjor*'a)Plantilla'!$C32,RedondeoPersonalTecnico))),0)</f>
        <v>0</v>
      </c>
      <c r="BC63" s="6">
        <f>IF(Programa!D$63&gt;0,IF(TipoProgramaPersonalTecnico=1,ROUND(Programa!F$63*'a)Plantilla'!$C32,RedondeoPersonalTecnico),IF(TipoProgramaPersonalTecnico=2,ROUND(Programa!D$63*'a)Plantilla'!$C32,RedondeoPersonalTecnico),ROUND(Programa!D$63*Hjor*'a)Plantilla'!$C32,RedondeoPersonalTecnico))),0)</f>
        <v>0</v>
      </c>
      <c r="BD63" s="6">
        <f>IF(Programa!D$64&gt;0,IF(TipoProgramaPersonalTecnico=1,ROUND(Programa!F$64*'a)Plantilla'!$C32,RedondeoPersonalTecnico),IF(TipoProgramaPersonalTecnico=2,ROUND(Programa!D$64*'a)Plantilla'!$C32,RedondeoPersonalTecnico),ROUND(Programa!D$64*Hjor*'a)Plantilla'!$C32,RedondeoPersonalTecnico))),0)</f>
        <v>0</v>
      </c>
      <c r="BE63" s="6">
        <f>IF(Programa!D$65&gt;0,IF(TipoProgramaPersonalTecnico=1,ROUND(Programa!F$65*'a)Plantilla'!$C32,RedondeoPersonalTecnico),IF(TipoProgramaPersonalTecnico=2,ROUND(Programa!D$65*'a)Plantilla'!$C32,RedondeoPersonalTecnico),ROUND(Programa!D$65*Hjor*'a)Plantilla'!$C32,RedondeoPersonalTecnico))),0)</f>
        <v>0</v>
      </c>
      <c r="BF63" s="6">
        <f>IF(Programa!D$66&gt;0,IF(TipoProgramaPersonalTecnico=1,ROUND(Programa!F$66*'a)Plantilla'!$C32,RedondeoPersonalTecnico),IF(TipoProgramaPersonalTecnico=2,ROUND(Programa!D$66*'a)Plantilla'!$C32,RedondeoPersonalTecnico),ROUND(Programa!D$66*Hjor*'a)Plantilla'!$C32,RedondeoPersonalTecnico))),0)</f>
        <v>0</v>
      </c>
      <c r="BG63" s="6">
        <f>IF(Programa!D$67&gt;0,IF(TipoProgramaPersonalTecnico=1,ROUND(Programa!F$67*'a)Plantilla'!$C32,RedondeoPersonalTecnico),IF(TipoProgramaPersonalTecnico=2,ROUND(Programa!D$67*'a)Plantilla'!$C32,RedondeoPersonalTecnico),ROUND(Programa!D$67*Hjor*'a)Plantilla'!$C32,RedondeoPersonalTecnico))),0)</f>
        <v>0</v>
      </c>
      <c r="BH63" s="6">
        <f>IF(Programa!D$68&gt;0,IF(TipoProgramaPersonalTecnico=1,ROUND(Programa!F$68*'a)Plantilla'!$C32,RedondeoPersonalTecnico),IF(TipoProgramaPersonalTecnico=2,ROUND(Programa!D$68*'a)Plantilla'!$C32,RedondeoPersonalTecnico),ROUND(Programa!D$68*Hjor*'a)Plantilla'!$C32,RedondeoPersonalTecnico))),0)</f>
        <v>0</v>
      </c>
      <c r="BI63" s="6">
        <f>IF(Programa!D$69&gt;0,IF(TipoProgramaPersonalTecnico=1,ROUND(Programa!F$69*'a)Plantilla'!$C32,RedondeoPersonalTecnico),IF(TipoProgramaPersonalTecnico=2,ROUND(Programa!D$69*'a)Plantilla'!$C32,RedondeoPersonalTecnico),ROUND(Programa!D$69*Hjor*'a)Plantilla'!$C32,RedondeoPersonalTecnico))),0)</f>
        <v>0</v>
      </c>
      <c r="BJ63" s="6">
        <f>IF(Programa!D$70&gt;0,IF(TipoProgramaPersonalTecnico=1,ROUND(Programa!F$70*'a)Plantilla'!$C32,RedondeoPersonalTecnico),IF(TipoProgramaPersonalTecnico=2,ROUND(Programa!D$70*'a)Plantilla'!$C32,RedondeoPersonalTecnico),ROUND(Programa!D$70*Hjor*'a)Plantilla'!$C32,RedondeoPersonalTecnico))),0)</f>
        <v>0</v>
      </c>
      <c r="BK63" s="6">
        <f>IF(Programa!D$71&gt;0,IF(TipoProgramaPersonalTecnico=1,ROUND(Programa!F$71*'a)Plantilla'!$C32,RedondeoPersonalTecnico),IF(TipoProgramaPersonalTecnico=2,ROUND(Programa!D$71*'a)Plantilla'!$C32,RedondeoPersonalTecnico),ROUND(Programa!D$71*Hjor*'a)Plantilla'!$C32,RedondeoPersonalTecnico))),0)</f>
        <v>0</v>
      </c>
      <c r="BL63" s="78">
        <f>IF(Programa!D$72&gt;0,IF(TipoProgramaPersonalTecnico=1,ROUND(Programa!F$72*'a)Plantilla'!$C32,RedondeoPersonalTecnico),IF(TipoProgramaPersonalTecnico=2,ROUND(Programa!D$72*'a)Plantilla'!$C32,RedondeoPersonalTecnico),ROUND(Programa!D$72*Hjor*'a)Plantilla'!$C32,RedondeoPersonalTecnico))),0)</f>
        <v>0</v>
      </c>
    </row>
    <row r="64" spans="1:64" ht="8.1" customHeight="1">
      <c r="A64" s="133"/>
      <c r="B64" s="46"/>
      <c r="C64" s="31"/>
      <c r="D64" s="22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78"/>
      <c r="Q64" s="27"/>
      <c r="R64" s="6"/>
      <c r="S64" s="6"/>
      <c r="T64" s="6"/>
      <c r="U64" s="6"/>
      <c r="V64" s="6"/>
      <c r="W64" s="6"/>
      <c r="X64" s="6"/>
      <c r="Y64" s="6"/>
      <c r="Z64" s="6"/>
      <c r="AA64" s="6"/>
      <c r="AB64" s="78"/>
      <c r="AC64" s="27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78"/>
      <c r="AO64" s="27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78"/>
    </row>
    <row r="65" spans="1:64" ht="12.75" customHeight="1">
      <c r="A65" s="133"/>
      <c r="B65" s="46" t="str">
        <f>IF('a)Plantilla'!C33&gt;0,'a)Plantilla'!B33,"")</f>
        <v/>
      </c>
      <c r="C65" s="17" t="str">
        <f>IF('a)Plantilla'!C$33&gt;0,IF(TipoProgramaPersonalTecnico=1,"Personas",IF(TipoProgramaPersonalTecnico=2,"Jornal","horas-Hombre")),"")</f>
        <v/>
      </c>
      <c r="D65" s="226">
        <f>ROUND(SUM(E65:BL65),RedondeoPersonalTecnico)</f>
        <v>0</v>
      </c>
      <c r="E65" s="6">
        <f>IF(Programa!D$13&gt;0,IF(TipoProgramaPersonalTecnico=1,ROUND(Programa!F$13*'a)Plantilla'!$C33,RedondeoPersonalTecnico),IF(TipoProgramaPersonalTecnico=2,ROUND(Programa!D$13*'a)Plantilla'!$C33,RedondeoPersonalTecnico),ROUND(Programa!D$13*Hjor*'a)Plantilla'!$C33,RedondeoPersonalTecnico))),0)</f>
        <v>0</v>
      </c>
      <c r="F65" s="6">
        <f>IF(Programa!D$14&gt;0,IF(TipoProgramaPersonalTecnico=1,ROUND(Programa!F$14*'a)Plantilla'!$C33,RedondeoPersonalTecnico),IF(TipoProgramaPersonalTecnico=2,ROUND(Programa!D$14*'a)Plantilla'!$C33,RedondeoPersonalTecnico),ROUND(Programa!D$14*Hjor*'a)Plantilla'!$C33,RedondeoPersonalTecnico))),0)</f>
        <v>0</v>
      </c>
      <c r="G65" s="6">
        <f>IF(Programa!D$15&gt;0,IF(TipoProgramaPersonalTecnico=1,ROUND(Programa!F$15*'a)Plantilla'!$C33,RedondeoPersonalTecnico),IF(TipoProgramaPersonalTecnico=2,ROUND(Programa!D$15*'a)Plantilla'!$C33,RedondeoPersonalTecnico),ROUND(Programa!D$15*Hjor*'a)Plantilla'!$C33,RedondeoPersonalTecnico))),0)</f>
        <v>0</v>
      </c>
      <c r="H65" s="6">
        <f>IF(Programa!D$16&gt;0,IF(TipoProgramaPersonalTecnico=1,ROUND(Programa!F$16*'a)Plantilla'!$C33,RedondeoPersonalTecnico),IF(TipoProgramaPersonalTecnico=2,ROUND(Programa!D$16*'a)Plantilla'!$C33,RedondeoPersonalTecnico),ROUND(Programa!D$16*Hjor*'a)Plantilla'!$C33,RedondeoPersonalTecnico))),0)</f>
        <v>0</v>
      </c>
      <c r="I65" s="6">
        <f>IF(Programa!D$17&gt;0,IF(TipoProgramaPersonalTecnico=1,ROUND(Programa!F$17*'a)Plantilla'!$C33,RedondeoPersonalTecnico),IF(TipoProgramaPersonalTecnico=2,ROUND(Programa!D$17*'a)Plantilla'!$C33,RedondeoPersonalTecnico),ROUND(Programa!D$17*Hjor*'a)Plantilla'!$C33,RedondeoPersonalTecnico))),0)</f>
        <v>0</v>
      </c>
      <c r="J65" s="6">
        <f>IF(Programa!D$18&gt;0,IF(TipoProgramaPersonalTecnico=1,ROUND(Programa!F$18*'a)Plantilla'!$C33,RedondeoPersonalTecnico),IF(TipoProgramaPersonalTecnico=2,ROUND(Programa!D$18*'a)Plantilla'!$C33,RedondeoPersonalTecnico),ROUND(Programa!D$18*Hjor*'a)Plantilla'!$C33,RedondeoPersonalTecnico))),0)</f>
        <v>0</v>
      </c>
      <c r="K65" s="6">
        <f>IF(Programa!D$19&gt;0,IF(TipoProgramaPersonalTecnico=1,ROUND(Programa!F$19*'a)Plantilla'!$C33,RedondeoPersonalTecnico),IF(TipoProgramaPersonalTecnico=2,ROUND(Programa!D$19*'a)Plantilla'!$C33,RedondeoPersonalTecnico),ROUND(Programa!D$19*Hjor*'a)Plantilla'!$C33,RedondeoPersonalTecnico))),0)</f>
        <v>0</v>
      </c>
      <c r="L65" s="6">
        <f>IF(Programa!D$20&gt;0,IF(TipoProgramaPersonalTecnico=1,ROUND(Programa!F$20*'a)Plantilla'!$C33,RedondeoPersonalTecnico),IF(TipoProgramaPersonalTecnico=2,ROUND(Programa!D$20*'a)Plantilla'!$C33,RedondeoPersonalTecnico),ROUND(Programa!D$20*Hjor*'a)Plantilla'!$C33,RedondeoPersonalTecnico))),0)</f>
        <v>0</v>
      </c>
      <c r="M65" s="6">
        <f>IF(Programa!D$21&gt;0,IF(TipoProgramaPersonalTecnico=1,ROUND(Programa!F$21*'a)Plantilla'!$C33,RedondeoPersonalTecnico),IF(TipoProgramaPersonalTecnico=2,ROUND(Programa!D$21*'a)Plantilla'!$C33,RedondeoPersonalTecnico),ROUND(Programa!D$21*Hjor*'a)Plantilla'!$C33,RedondeoPersonalTecnico))),0)</f>
        <v>0</v>
      </c>
      <c r="N65" s="6">
        <f>IF(Programa!D$22&gt;0,IF(TipoProgramaPersonalTecnico=1,ROUND(Programa!F$22*'a)Plantilla'!$C33,RedondeoPersonalTecnico),IF(TipoProgramaPersonalTecnico=2,ROUND(Programa!D$22*'a)Plantilla'!$C33,RedondeoPersonalTecnico),ROUND(Programa!D$22*Hjor*'a)Plantilla'!$C33,RedondeoPersonalTecnico))),0)</f>
        <v>0</v>
      </c>
      <c r="O65" s="6">
        <f>IF(Programa!D$23&gt;0,IF(TipoProgramaPersonalTecnico=1,ROUND(Programa!F$23*'a)Plantilla'!$C33,RedondeoPersonalTecnico),IF(TipoProgramaPersonalTecnico=2,ROUND(Programa!D$23*'a)Plantilla'!$C33,RedondeoPersonalTecnico),ROUND(Programa!D$23*Hjor*'a)Plantilla'!$C33,RedondeoPersonalTecnico))),0)</f>
        <v>0</v>
      </c>
      <c r="P65" s="78">
        <f>IF(Programa!D$24&gt;0,IF(TipoProgramaPersonalTecnico=1,ROUND(Programa!F$24*'a)Plantilla'!$C33,RedondeoPersonalTecnico),IF(TipoProgramaPersonalTecnico=2,ROUND(Programa!D$24*'a)Plantilla'!$C33,RedondeoPersonalTecnico),ROUND(Programa!D$24*Hjor*'a)Plantilla'!$C33,RedondeoPersonalTecnico))),0)</f>
        <v>0</v>
      </c>
      <c r="Q65" s="27">
        <f>IF(Programa!D$25&gt;0,IF(TipoProgramaPersonalTecnico=1,ROUND(Programa!F$25*'a)Plantilla'!$C33,RedondeoPersonalTecnico),IF(TipoProgramaPersonalTecnico=2,ROUND(Programa!D$25*'a)Plantilla'!$C33,RedondeoPersonalTecnico),ROUND(Programa!D$25*Hjor*'a)Plantilla'!$C33,RedondeoPersonalTecnico))),0)</f>
        <v>0</v>
      </c>
      <c r="R65" s="6">
        <f>IF(Programa!D$26&gt;0,IF(TipoProgramaPersonalTecnico=1,ROUND(Programa!F$26*'a)Plantilla'!$C33,RedondeoPersonalTecnico),IF(TipoProgramaPersonalTecnico=2,ROUND(Programa!D$26*'a)Plantilla'!$C33,RedondeoPersonalTecnico),ROUND(Programa!D$26*Hjor*'a)Plantilla'!$C33,RedondeoPersonalTecnico))),0)</f>
        <v>0</v>
      </c>
      <c r="S65" s="6">
        <f>IF(Programa!D$27&gt;0,IF(TipoProgramaPersonalTecnico=1,ROUND(Programa!F$27*'a)Plantilla'!$C33,RedondeoPersonalTecnico),IF(TipoProgramaPersonalTecnico=2,ROUND(Programa!D$27*'a)Plantilla'!$C33,RedondeoPersonalTecnico),ROUND(Programa!D$27*Hjor*'a)Plantilla'!$C33,RedondeoPersonalTecnico))),0)</f>
        <v>0</v>
      </c>
      <c r="T65" s="6">
        <f>IF(Programa!D$28&gt;0,IF(TipoProgramaPersonalTecnico=1,ROUND(Programa!F$28*'a)Plantilla'!$C33,RedondeoPersonalTecnico),IF(TipoProgramaPersonalTecnico=2,ROUND(Programa!D$28*'a)Plantilla'!$C33,RedondeoPersonalTecnico),ROUND(Programa!D$28*Hjor*'a)Plantilla'!$C33,RedondeoPersonalTecnico))),0)</f>
        <v>0</v>
      </c>
      <c r="U65" s="6">
        <f>IF(Programa!D$29&gt;0,IF(TipoProgramaPersonalTecnico=1,ROUND(Programa!F$29*'a)Plantilla'!$C33,RedondeoPersonalTecnico),IF(TipoProgramaPersonalTecnico=2,ROUND(Programa!D$29*'a)Plantilla'!$C33,RedondeoPersonalTecnico),ROUND(Programa!D$29*Hjor*'a)Plantilla'!$C33,RedondeoPersonalTecnico))),0)</f>
        <v>0</v>
      </c>
      <c r="V65" s="6">
        <f>IF(Programa!D$30&gt;0,IF(TipoProgramaPersonalTecnico=1,ROUND(Programa!F$30*'a)Plantilla'!$C33,RedondeoPersonalTecnico),IF(TipoProgramaPersonalTecnico=2,ROUND(Programa!D$30*'a)Plantilla'!$C33,RedondeoPersonalTecnico),ROUND(Programa!D$30*Hjor*'a)Plantilla'!$C33,RedondeoPersonalTecnico))),0)</f>
        <v>0</v>
      </c>
      <c r="W65" s="6">
        <f>IF(Programa!D$31&gt;0,IF(TipoProgramaPersonalTecnico=1,ROUND(Programa!F$31*'a)Plantilla'!$C33,RedondeoPersonalTecnico),IF(TipoProgramaPersonalTecnico=2,ROUND(Programa!D$31*'a)Plantilla'!$C33,RedondeoPersonalTecnico),ROUND(Programa!D$31*Hjor*'a)Plantilla'!$C33,RedondeoPersonalTecnico))),0)</f>
        <v>0</v>
      </c>
      <c r="X65" s="6">
        <f>IF(Programa!D$32&gt;0,IF(TipoProgramaPersonalTecnico=1,ROUND(Programa!F$32*'a)Plantilla'!$C33,RedondeoPersonalTecnico),IF(TipoProgramaPersonalTecnico=2,ROUND(Programa!D$32*'a)Plantilla'!$C33,RedondeoPersonalTecnico),ROUND(Programa!D$32*Hjor*'a)Plantilla'!$C33,RedondeoPersonalTecnico))),0)</f>
        <v>0</v>
      </c>
      <c r="Y65" s="6">
        <f>IF(Programa!D$33&gt;0,IF(TipoProgramaPersonalTecnico=1,ROUND(Programa!F$33*'a)Plantilla'!$C33,RedondeoPersonalTecnico),IF(TipoProgramaPersonalTecnico=2,ROUND(Programa!D$33*'a)Plantilla'!$C33,RedondeoPersonalTecnico),ROUND(Programa!D$33*Hjor*'a)Plantilla'!$C33,RedondeoPersonalTecnico))),0)</f>
        <v>0</v>
      </c>
      <c r="Z65" s="6">
        <f>IF(Programa!D$34&gt;0,IF(TipoProgramaPersonalTecnico=1,ROUND(Programa!F$34*'a)Plantilla'!$C33,RedondeoPersonalTecnico),IF(TipoProgramaPersonalTecnico=2,ROUND(Programa!D$34*'a)Plantilla'!$C33,RedondeoPersonalTecnico),ROUND(Programa!D$34*Hjor*'a)Plantilla'!$C33,RedondeoPersonalTecnico))),0)</f>
        <v>0</v>
      </c>
      <c r="AA65" s="6">
        <f>IF(Programa!D$35&gt;0,IF(TipoProgramaPersonalTecnico=1,ROUND(Programa!F$35*'a)Plantilla'!$C33,RedondeoPersonalTecnico),IF(TipoProgramaPersonalTecnico=2,ROUND(Programa!D$35*'a)Plantilla'!$C33,RedondeoPersonalTecnico),ROUND(Programa!D$35*Hjor*'a)Plantilla'!$C33,RedondeoPersonalTecnico))),0)</f>
        <v>0</v>
      </c>
      <c r="AB65" s="78">
        <f>IF(Programa!D$36&gt;0,IF(TipoProgramaPersonalTecnico=1,ROUND(Programa!F$36*'a)Plantilla'!$C33,RedondeoPersonalTecnico),IF(TipoProgramaPersonalTecnico=2,ROUND(Programa!D$36*'a)Plantilla'!$C33,RedondeoPersonalTecnico),ROUND(Programa!D$36*Hjor*'a)Plantilla'!$C33,RedondeoPersonalTecnico))),0)</f>
        <v>0</v>
      </c>
      <c r="AC65" s="27">
        <f>IF(Programa!D$37&gt;0,IF(TipoProgramaPersonalTecnico=1,ROUND(Programa!F$37*'a)Plantilla'!$C33,RedondeoPersonalTecnico),IF(TipoProgramaPersonalTecnico=2,ROUND(Programa!D$37*'a)Plantilla'!$C33,RedondeoPersonalTecnico),ROUND(Programa!D$37*Hjor*'a)Plantilla'!$C33,RedondeoPersonalTecnico))),0)</f>
        <v>0</v>
      </c>
      <c r="AD65" s="6">
        <f>IF(Programa!D$38&gt;0,IF(TipoProgramaPersonalTecnico=1,ROUND(Programa!F$38*'a)Plantilla'!$C33,RedondeoPersonalTecnico),IF(TipoProgramaPersonalTecnico=2,ROUND(Programa!D$38*'a)Plantilla'!$C33,RedondeoPersonalTecnico),ROUND(Programa!D$38*Hjor*'a)Plantilla'!$C33,RedondeoPersonalTecnico))),0)</f>
        <v>0</v>
      </c>
      <c r="AE65" s="6">
        <f>IF(Programa!D$39&gt;0,IF(TipoProgramaPersonalTecnico=1,ROUND(Programa!F$39*'a)Plantilla'!$C33,RedondeoPersonalTecnico),IF(TipoProgramaPersonalTecnico=2,ROUND(Programa!D$39*'a)Plantilla'!$C33,RedondeoPersonalTecnico),ROUND(Programa!D$39*Hjor*'a)Plantilla'!$C33,RedondeoPersonalTecnico))),0)</f>
        <v>0</v>
      </c>
      <c r="AF65" s="6">
        <f>IF(Programa!D$40&gt;0,IF(TipoProgramaPersonalTecnico=1,ROUND(Programa!F$40*'a)Plantilla'!$C33,RedondeoPersonalTecnico),IF(TipoProgramaPersonalTecnico=2,ROUND(Programa!D$40*'a)Plantilla'!$C33,RedondeoPersonalTecnico),ROUND(Programa!D$40*Hjor*'a)Plantilla'!$C33,RedondeoPersonalTecnico))),0)</f>
        <v>0</v>
      </c>
      <c r="AG65" s="6">
        <f>IF(Programa!D$41&gt;0,IF(TipoProgramaPersonalTecnico=1,ROUND(Programa!F$41*'a)Plantilla'!$C33,RedondeoPersonalTecnico),IF(TipoProgramaPersonalTecnico=2,ROUND(Programa!D$41*'a)Plantilla'!$C33,RedondeoPersonalTecnico),ROUND(Programa!D$41*Hjor*'a)Plantilla'!$C33,RedondeoPersonalTecnico))),0)</f>
        <v>0</v>
      </c>
      <c r="AH65" s="6">
        <f>IF(Programa!D$42&gt;0,IF(TipoProgramaPersonalTecnico=1,ROUND(Programa!F$42*'a)Plantilla'!$C33,RedondeoPersonalTecnico),IF(TipoProgramaPersonalTecnico=2,ROUND(Programa!D$42*'a)Plantilla'!$C33,RedondeoPersonalTecnico),ROUND(Programa!D$42*Hjor*'a)Plantilla'!$C33,RedondeoPersonalTecnico))),0)</f>
        <v>0</v>
      </c>
      <c r="AI65" s="6">
        <f>IF(Programa!D$43&gt;0,IF(TipoProgramaPersonalTecnico=1,ROUND(Programa!F$43*'a)Plantilla'!$C33,RedondeoPersonalTecnico),IF(TipoProgramaPersonalTecnico=2,ROUND(Programa!D$43*'a)Plantilla'!$C33,RedondeoPersonalTecnico),ROUND(Programa!D$43*Hjor*'a)Plantilla'!$C33,RedondeoPersonalTecnico))),0)</f>
        <v>0</v>
      </c>
      <c r="AJ65" s="6">
        <f>IF(Programa!D$44&gt;0,IF(TipoProgramaPersonalTecnico=1,ROUND(Programa!F$44*'a)Plantilla'!$C33,RedondeoPersonalTecnico),IF(TipoProgramaPersonalTecnico=2,ROUND(Programa!D$44*'a)Plantilla'!$C33,RedondeoPersonalTecnico),ROUND(Programa!D$44*Hjor*'a)Plantilla'!$C33,RedondeoPersonalTecnico))),0)</f>
        <v>0</v>
      </c>
      <c r="AK65" s="6">
        <f>IF(Programa!D$45&gt;0,IF(TipoProgramaPersonalTecnico=1,ROUND(Programa!F$45*'a)Plantilla'!$C33,RedondeoPersonalTecnico),IF(TipoProgramaPersonalTecnico=2,ROUND(Programa!D$45*'a)Plantilla'!$C33,RedondeoPersonalTecnico),ROUND(Programa!D$45*Hjor*'a)Plantilla'!$C33,RedondeoPersonalTecnico))),0)</f>
        <v>0</v>
      </c>
      <c r="AL65" s="6">
        <f>IF(Programa!D$46&gt;0,IF(TipoProgramaPersonalTecnico=1,ROUND(Programa!F$46*'a)Plantilla'!$C33,RedondeoPersonalTecnico),IF(TipoProgramaPersonalTecnico=2,ROUND(Programa!D$46*'a)Plantilla'!$C33,RedondeoPersonalTecnico),ROUND(Programa!D$46*Hjor*'a)Plantilla'!$C33,RedondeoPersonalTecnico))),0)</f>
        <v>0</v>
      </c>
      <c r="AM65" s="6">
        <f>IF(Programa!D$47&gt;0,IF(TipoProgramaPersonalTecnico=1,ROUND(Programa!F$47*'a)Plantilla'!$C33,RedondeoPersonalTecnico),IF(TipoProgramaPersonalTecnico=2,ROUND(Programa!D$47*'a)Plantilla'!$C33,RedondeoPersonalTecnico),ROUND(Programa!D$47*Hjor*'a)Plantilla'!$C33,RedondeoPersonalTecnico))),0)</f>
        <v>0</v>
      </c>
      <c r="AN65" s="78">
        <f>IF(Programa!D$48&gt;0,IF(TipoProgramaPersonalTecnico=1,ROUND(Programa!F$48*'a)Plantilla'!$C33,RedondeoPersonalTecnico),IF(TipoProgramaPersonalTecnico=2,ROUND(Programa!D$48*'a)Plantilla'!$C33,RedondeoPersonalTecnico),ROUND(Programa!D$48*Hjor*'a)Plantilla'!$C33,RedondeoPersonalTecnico))),0)</f>
        <v>0</v>
      </c>
      <c r="AO65" s="27">
        <f>IF(Programa!D$49&gt;0,IF(TipoProgramaPersonalTecnico=1,ROUND(Programa!F$49*'a)Plantilla'!$C33,RedondeoPersonalTecnico),IF(TipoProgramaPersonalTecnico=2,ROUND(Programa!D$49*'a)Plantilla'!$C33,RedondeoPersonalTecnico),ROUND(Programa!D$49*Hjor*'a)Plantilla'!$C33,RedondeoPersonalTecnico))),0)</f>
        <v>0</v>
      </c>
      <c r="AP65" s="6">
        <f>IF(Programa!D$50&gt;0,IF(TipoProgramaPersonalTecnico=1,ROUND(Programa!F$50*'a)Plantilla'!$C33,RedondeoPersonalTecnico),IF(TipoProgramaPersonalTecnico=2,ROUND(Programa!D$50*'a)Plantilla'!$C33,RedondeoPersonalTecnico),ROUND(Programa!D$50*Hjor*'a)Plantilla'!$C33,RedondeoPersonalTecnico))),0)</f>
        <v>0</v>
      </c>
      <c r="AQ65" s="6">
        <f>IF(Programa!D$51&gt;0,IF(TipoProgramaPersonalTecnico=1,ROUND(Programa!F$51*'a)Plantilla'!$C33,RedondeoPersonalTecnico),IF(TipoProgramaPersonalTecnico=2,ROUND(Programa!D$51*'a)Plantilla'!$C33,RedondeoPersonalTecnico),ROUND(Programa!D$51*Hjor*'a)Plantilla'!$C33,RedondeoPersonalTecnico))),0)</f>
        <v>0</v>
      </c>
      <c r="AR65" s="6">
        <f>IF(Programa!D$52&gt;0,IF(TipoProgramaPersonalTecnico=1,ROUND(Programa!F$52*'a)Plantilla'!$C33,RedondeoPersonalTecnico),IF(TipoProgramaPersonalTecnico=2,ROUND(Programa!D$52*'a)Plantilla'!$C33,RedondeoPersonalTecnico),ROUND(Programa!D$52*Hjor*'a)Plantilla'!$C33,RedondeoPersonalTecnico))),0)</f>
        <v>0</v>
      </c>
      <c r="AS65" s="6">
        <f>IF(Programa!D$53&gt;0,IF(TipoProgramaPersonalTecnico=1,ROUND(Programa!F$53*'a)Plantilla'!$C33,RedondeoPersonalTecnico),IF(TipoProgramaPersonalTecnico=2,ROUND(Programa!D$53*'a)Plantilla'!$C33,RedondeoPersonalTecnico),ROUND(Programa!D$53*Hjor*'a)Plantilla'!$C33,RedondeoPersonalTecnico))),0)</f>
        <v>0</v>
      </c>
      <c r="AT65" s="6">
        <f>IF(Programa!D$54&gt;0,IF(TipoProgramaPersonalTecnico=1,ROUND(Programa!F$54*'a)Plantilla'!$C33,RedondeoPersonalTecnico),IF(TipoProgramaPersonalTecnico=2,ROUND(Programa!D$54*'a)Plantilla'!$C33,RedondeoPersonalTecnico),ROUND(Programa!D$54*Hjor*'a)Plantilla'!$C33,RedondeoPersonalTecnico))),0)</f>
        <v>0</v>
      </c>
      <c r="AU65" s="6">
        <f>IF(Programa!D$55&gt;0,IF(TipoProgramaPersonalTecnico=1,ROUND(Programa!F$55*'a)Plantilla'!$C33,RedondeoPersonalTecnico),IF(TipoProgramaPersonalTecnico=2,ROUND(Programa!D$55*'a)Plantilla'!$C33,RedondeoPersonalTecnico),ROUND(Programa!D$55*Hjor*'a)Plantilla'!$C33,RedondeoPersonalTecnico))),0)</f>
        <v>0</v>
      </c>
      <c r="AV65" s="6">
        <f>IF(Programa!D$56&gt;0,IF(TipoProgramaPersonalTecnico=1,ROUND(Programa!F$56*'a)Plantilla'!$C33,RedondeoPersonalTecnico),IF(TipoProgramaPersonalTecnico=2,ROUND(Programa!D$56*'a)Plantilla'!$C33,RedondeoPersonalTecnico),ROUND(Programa!D$56*Hjor*'a)Plantilla'!$C33,RedondeoPersonalTecnico))),0)</f>
        <v>0</v>
      </c>
      <c r="AW65" s="6">
        <f>IF(Programa!D$57&gt;0,IF(TipoProgramaPersonalTecnico=1,ROUND(Programa!F$57*'a)Plantilla'!$C33,RedondeoPersonalTecnico),IF(TipoProgramaPersonalTecnico=2,ROUND(Programa!D$57*'a)Plantilla'!$C33,RedondeoPersonalTecnico),ROUND(Programa!D$57*Hjor*'a)Plantilla'!$C33,RedondeoPersonalTecnico))),0)</f>
        <v>0</v>
      </c>
      <c r="AX65" s="6">
        <f>IF(Programa!D$58&gt;0,IF(TipoProgramaPersonalTecnico=1,ROUND(Programa!F$58*'a)Plantilla'!$C33,RedondeoPersonalTecnico),IF(TipoProgramaPersonalTecnico=2,ROUND(Programa!D$58*'a)Plantilla'!$C33,RedondeoPersonalTecnico),ROUND(Programa!D$58*Hjor*'a)Plantilla'!$C33,RedondeoPersonalTecnico))),0)</f>
        <v>0</v>
      </c>
      <c r="AY65" s="6">
        <f>IF(Programa!D$59&gt;0,IF(TipoProgramaPersonalTecnico=1,ROUND(Programa!F$59*'a)Plantilla'!$C33,RedondeoPersonalTecnico),IF(TipoProgramaPersonalTecnico=2,ROUND(Programa!D$59*'a)Plantilla'!$C33,RedondeoPersonalTecnico),ROUND(Programa!D$59*Hjor*'a)Plantilla'!$C33,RedondeoPersonalTecnico))),0)</f>
        <v>0</v>
      </c>
      <c r="AZ65" s="6">
        <f>IF(Programa!D$60&gt;0,IF(TipoProgramaPersonalTecnico=1,ROUND(Programa!F$60*'a)Plantilla'!$C33,RedondeoPersonalTecnico),IF(TipoProgramaPersonalTecnico=2,ROUND(Programa!D$60*'a)Plantilla'!$C33,RedondeoPersonalTecnico),ROUND(Programa!D$60*Hjor*'a)Plantilla'!$C33,RedondeoPersonalTecnico))),0)</f>
        <v>0</v>
      </c>
      <c r="BA65" s="6">
        <f>IF(Programa!D$61&gt;0,IF(TipoProgramaPersonalTecnico=1,ROUND(Programa!F$61*'a)Plantilla'!$C33,RedondeoPersonalTecnico),IF(TipoProgramaPersonalTecnico=2,ROUND(Programa!D$61*'a)Plantilla'!$C33,RedondeoPersonalTecnico),ROUND(Programa!D$61*Hjor*'a)Plantilla'!$C33,RedondeoPersonalTecnico))),0)</f>
        <v>0</v>
      </c>
      <c r="BB65" s="6">
        <f>IF(Programa!D$62&gt;0,IF(TipoProgramaPersonalTecnico=1,ROUND(Programa!F$62*'a)Plantilla'!$C33,RedondeoPersonalTecnico),IF(TipoProgramaPersonalTecnico=2,ROUND(Programa!D$62*'a)Plantilla'!$C33,RedondeoPersonalTecnico),ROUND(Programa!D$62*Hjor*'a)Plantilla'!$C33,RedondeoPersonalTecnico))),0)</f>
        <v>0</v>
      </c>
      <c r="BC65" s="6">
        <f>IF(Programa!D$63&gt;0,IF(TipoProgramaPersonalTecnico=1,ROUND(Programa!F$63*'a)Plantilla'!$C33,RedondeoPersonalTecnico),IF(TipoProgramaPersonalTecnico=2,ROUND(Programa!D$63*'a)Plantilla'!$C33,RedondeoPersonalTecnico),ROUND(Programa!D$63*Hjor*'a)Plantilla'!$C33,RedondeoPersonalTecnico))),0)</f>
        <v>0</v>
      </c>
      <c r="BD65" s="6">
        <f>IF(Programa!D$64&gt;0,IF(TipoProgramaPersonalTecnico=1,ROUND(Programa!F$64*'a)Plantilla'!$C33,RedondeoPersonalTecnico),IF(TipoProgramaPersonalTecnico=2,ROUND(Programa!D$64*'a)Plantilla'!$C33,RedondeoPersonalTecnico),ROUND(Programa!D$64*Hjor*'a)Plantilla'!$C33,RedondeoPersonalTecnico))),0)</f>
        <v>0</v>
      </c>
      <c r="BE65" s="6">
        <f>IF(Programa!D$65&gt;0,IF(TipoProgramaPersonalTecnico=1,ROUND(Programa!F$65*'a)Plantilla'!$C33,RedondeoPersonalTecnico),IF(TipoProgramaPersonalTecnico=2,ROUND(Programa!D$65*'a)Plantilla'!$C33,RedondeoPersonalTecnico),ROUND(Programa!D$65*Hjor*'a)Plantilla'!$C33,RedondeoPersonalTecnico))),0)</f>
        <v>0</v>
      </c>
      <c r="BF65" s="6">
        <f>IF(Programa!D$66&gt;0,IF(TipoProgramaPersonalTecnico=1,ROUND(Programa!F$66*'a)Plantilla'!$C33,RedondeoPersonalTecnico),IF(TipoProgramaPersonalTecnico=2,ROUND(Programa!D$66*'a)Plantilla'!$C33,RedondeoPersonalTecnico),ROUND(Programa!D$66*Hjor*'a)Plantilla'!$C33,RedondeoPersonalTecnico))),0)</f>
        <v>0</v>
      </c>
      <c r="BG65" s="6">
        <f>IF(Programa!D$67&gt;0,IF(TipoProgramaPersonalTecnico=1,ROUND(Programa!F$67*'a)Plantilla'!$C33,RedondeoPersonalTecnico),IF(TipoProgramaPersonalTecnico=2,ROUND(Programa!D$67*'a)Plantilla'!$C33,RedondeoPersonalTecnico),ROUND(Programa!D$67*Hjor*'a)Plantilla'!$C33,RedondeoPersonalTecnico))),0)</f>
        <v>0</v>
      </c>
      <c r="BH65" s="6">
        <f>IF(Programa!D$68&gt;0,IF(TipoProgramaPersonalTecnico=1,ROUND(Programa!F$68*'a)Plantilla'!$C33,RedondeoPersonalTecnico),IF(TipoProgramaPersonalTecnico=2,ROUND(Programa!D$68*'a)Plantilla'!$C33,RedondeoPersonalTecnico),ROUND(Programa!D$68*Hjor*'a)Plantilla'!$C33,RedondeoPersonalTecnico))),0)</f>
        <v>0</v>
      </c>
      <c r="BI65" s="6">
        <f>IF(Programa!D$69&gt;0,IF(TipoProgramaPersonalTecnico=1,ROUND(Programa!F$69*'a)Plantilla'!$C33,RedondeoPersonalTecnico),IF(TipoProgramaPersonalTecnico=2,ROUND(Programa!D$69*'a)Plantilla'!$C33,RedondeoPersonalTecnico),ROUND(Programa!D$69*Hjor*'a)Plantilla'!$C33,RedondeoPersonalTecnico))),0)</f>
        <v>0</v>
      </c>
      <c r="BJ65" s="6">
        <f>IF(Programa!D$70&gt;0,IF(TipoProgramaPersonalTecnico=1,ROUND(Programa!F$70*'a)Plantilla'!$C33,RedondeoPersonalTecnico),IF(TipoProgramaPersonalTecnico=2,ROUND(Programa!D$70*'a)Plantilla'!$C33,RedondeoPersonalTecnico),ROUND(Programa!D$70*Hjor*'a)Plantilla'!$C33,RedondeoPersonalTecnico))),0)</f>
        <v>0</v>
      </c>
      <c r="BK65" s="6">
        <f>IF(Programa!D$71&gt;0,IF(TipoProgramaPersonalTecnico=1,ROUND(Programa!F$71*'a)Plantilla'!$C33,RedondeoPersonalTecnico),IF(TipoProgramaPersonalTecnico=2,ROUND(Programa!D$71*'a)Plantilla'!$C33,RedondeoPersonalTecnico),ROUND(Programa!D$71*Hjor*'a)Plantilla'!$C33,RedondeoPersonalTecnico))),0)</f>
        <v>0</v>
      </c>
      <c r="BL65" s="78">
        <f>IF(Programa!D$72&gt;0,IF(TipoProgramaPersonalTecnico=1,ROUND(Programa!F$72*'a)Plantilla'!$C33,RedondeoPersonalTecnico),IF(TipoProgramaPersonalTecnico=2,ROUND(Programa!D$72*'a)Plantilla'!$C33,RedondeoPersonalTecnico),ROUND(Programa!D$72*Hjor*'a)Plantilla'!$C33,RedondeoPersonalTecnico))),0)</f>
        <v>0</v>
      </c>
    </row>
    <row r="66" spans="1:64" ht="8.1" customHeight="1">
      <c r="A66" s="133"/>
      <c r="B66" s="46"/>
      <c r="C66" s="31"/>
      <c r="D66" s="22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78"/>
      <c r="Q66" s="27"/>
      <c r="R66" s="6"/>
      <c r="S66" s="6"/>
      <c r="T66" s="6"/>
      <c r="U66" s="6"/>
      <c r="V66" s="6"/>
      <c r="W66" s="6"/>
      <c r="X66" s="6"/>
      <c r="Y66" s="6"/>
      <c r="Z66" s="6"/>
      <c r="AA66" s="6"/>
      <c r="AB66" s="78"/>
      <c r="AC66" s="27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78"/>
      <c r="AO66" s="27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78"/>
    </row>
    <row r="67" spans="1:64" ht="12.75" customHeight="1">
      <c r="A67" s="133"/>
      <c r="B67" s="46" t="str">
        <f>IF('a)Plantilla'!C34&gt;0,'a)Plantilla'!B34,"")</f>
        <v>GERENTE DE CONSTRUCCION</v>
      </c>
      <c r="C67" s="17" t="str">
        <f>IF('a)Plantilla'!C$34&gt;0,IF(TipoProgramaPersonalTecnico=1,"Personas",IF(TipoProgramaPersonalTecnico=2,"Jornal","horas-Hombre")),"")</f>
        <v>horas-Hombre</v>
      </c>
      <c r="D67" s="226">
        <f>ROUND(SUM(E67:BL67),RedondeoPersonalTecnico)</f>
        <v>30</v>
      </c>
      <c r="E67" s="6">
        <f>IF(Programa!D$13&gt;0,IF(TipoProgramaPersonalTecnico=1,ROUND(Programa!F$13*'a)Plantilla'!$C34,RedondeoPersonalTecnico),IF(TipoProgramaPersonalTecnico=2,ROUND(Programa!D$13*'a)Plantilla'!$C34,RedondeoPersonalTecnico),ROUND(Programa!D$13*Hjor*'a)Plantilla'!$C34,RedondeoPersonalTecnico))),0)</f>
        <v>6.4</v>
      </c>
      <c r="F67" s="6">
        <f>IF(Programa!D$14&gt;0,IF(TipoProgramaPersonalTecnico=1,ROUND(Programa!F$14*'a)Plantilla'!$C34,RedondeoPersonalTecnico),IF(TipoProgramaPersonalTecnico=2,ROUND(Programa!D$14*'a)Plantilla'!$C34,RedondeoPersonalTecnico),ROUND(Programa!D$14*Hjor*'a)Plantilla'!$C34,RedondeoPersonalTecnico))),0)</f>
        <v>12</v>
      </c>
      <c r="G67" s="6">
        <f>IF(Programa!D$15&gt;0,IF(TipoProgramaPersonalTecnico=1,ROUND(Programa!F$15*'a)Plantilla'!$C34,RedondeoPersonalTecnico),IF(TipoProgramaPersonalTecnico=2,ROUND(Programa!D$15*'a)Plantilla'!$C34,RedondeoPersonalTecnico),ROUND(Programa!D$15*Hjor*'a)Plantilla'!$C34,RedondeoPersonalTecnico))),0)</f>
        <v>11.6</v>
      </c>
      <c r="H67" s="6">
        <f>IF(Programa!D$16&gt;0,IF(TipoProgramaPersonalTecnico=1,ROUND(Programa!F$16*'a)Plantilla'!$C34,RedondeoPersonalTecnico),IF(TipoProgramaPersonalTecnico=2,ROUND(Programa!D$16*'a)Plantilla'!$C34,RedondeoPersonalTecnico),ROUND(Programa!D$16*Hjor*'a)Plantilla'!$C34,RedondeoPersonalTecnico))),0)</f>
        <v>0</v>
      </c>
      <c r="I67" s="6">
        <f>IF(Programa!D$17&gt;0,IF(TipoProgramaPersonalTecnico=1,ROUND(Programa!F$17*'a)Plantilla'!$C34,RedondeoPersonalTecnico),IF(TipoProgramaPersonalTecnico=2,ROUND(Programa!D$17*'a)Plantilla'!$C34,RedondeoPersonalTecnico),ROUND(Programa!D$17*Hjor*'a)Plantilla'!$C34,RedondeoPersonalTecnico))),0)</f>
        <v>0</v>
      </c>
      <c r="J67" s="6">
        <f>IF(Programa!D$18&gt;0,IF(TipoProgramaPersonalTecnico=1,ROUND(Programa!F$18*'a)Plantilla'!$C34,RedondeoPersonalTecnico),IF(TipoProgramaPersonalTecnico=2,ROUND(Programa!D$18*'a)Plantilla'!$C34,RedondeoPersonalTecnico),ROUND(Programa!D$18*Hjor*'a)Plantilla'!$C34,RedondeoPersonalTecnico))),0)</f>
        <v>0</v>
      </c>
      <c r="K67" s="6">
        <f>IF(Programa!D$19&gt;0,IF(TipoProgramaPersonalTecnico=1,ROUND(Programa!F$19*'a)Plantilla'!$C34,RedondeoPersonalTecnico),IF(TipoProgramaPersonalTecnico=2,ROUND(Programa!D$19*'a)Plantilla'!$C34,RedondeoPersonalTecnico),ROUND(Programa!D$19*Hjor*'a)Plantilla'!$C34,RedondeoPersonalTecnico))),0)</f>
        <v>0</v>
      </c>
      <c r="L67" s="6">
        <f>IF(Programa!D$20&gt;0,IF(TipoProgramaPersonalTecnico=1,ROUND(Programa!F$20*'a)Plantilla'!$C34,RedondeoPersonalTecnico),IF(TipoProgramaPersonalTecnico=2,ROUND(Programa!D$20*'a)Plantilla'!$C34,RedondeoPersonalTecnico),ROUND(Programa!D$20*Hjor*'a)Plantilla'!$C34,RedondeoPersonalTecnico))),0)</f>
        <v>0</v>
      </c>
      <c r="M67" s="6">
        <f>IF(Programa!D$21&gt;0,IF(TipoProgramaPersonalTecnico=1,ROUND(Programa!F$21*'a)Plantilla'!$C34,RedondeoPersonalTecnico),IF(TipoProgramaPersonalTecnico=2,ROUND(Programa!D$21*'a)Plantilla'!$C34,RedondeoPersonalTecnico),ROUND(Programa!D$21*Hjor*'a)Plantilla'!$C34,RedondeoPersonalTecnico))),0)</f>
        <v>0</v>
      </c>
      <c r="N67" s="6">
        <f>IF(Programa!D$22&gt;0,IF(TipoProgramaPersonalTecnico=1,ROUND(Programa!F$22*'a)Plantilla'!$C34,RedondeoPersonalTecnico),IF(TipoProgramaPersonalTecnico=2,ROUND(Programa!D$22*'a)Plantilla'!$C34,RedondeoPersonalTecnico),ROUND(Programa!D$22*Hjor*'a)Plantilla'!$C34,RedondeoPersonalTecnico))),0)</f>
        <v>0</v>
      </c>
      <c r="O67" s="6">
        <f>IF(Programa!D$23&gt;0,IF(TipoProgramaPersonalTecnico=1,ROUND(Programa!F$23*'a)Plantilla'!$C34,RedondeoPersonalTecnico),IF(TipoProgramaPersonalTecnico=2,ROUND(Programa!D$23*'a)Plantilla'!$C34,RedondeoPersonalTecnico),ROUND(Programa!D$23*Hjor*'a)Plantilla'!$C34,RedondeoPersonalTecnico))),0)</f>
        <v>0</v>
      </c>
      <c r="P67" s="78">
        <f>IF(Programa!D$24&gt;0,IF(TipoProgramaPersonalTecnico=1,ROUND(Programa!F$24*'a)Plantilla'!$C34,RedondeoPersonalTecnico),IF(TipoProgramaPersonalTecnico=2,ROUND(Programa!D$24*'a)Plantilla'!$C34,RedondeoPersonalTecnico),ROUND(Programa!D$24*Hjor*'a)Plantilla'!$C34,RedondeoPersonalTecnico))),0)</f>
        <v>0</v>
      </c>
      <c r="Q67" s="27">
        <f>IF(Programa!D$25&gt;0,IF(TipoProgramaPersonalTecnico=1,ROUND(Programa!F$25*'a)Plantilla'!$C34,RedondeoPersonalTecnico),IF(TipoProgramaPersonalTecnico=2,ROUND(Programa!D$25*'a)Plantilla'!$C34,RedondeoPersonalTecnico),ROUND(Programa!D$25*Hjor*'a)Plantilla'!$C34,RedondeoPersonalTecnico))),0)</f>
        <v>0</v>
      </c>
      <c r="R67" s="6">
        <f>IF(Programa!D$26&gt;0,IF(TipoProgramaPersonalTecnico=1,ROUND(Programa!F$26*'a)Plantilla'!$C34,RedondeoPersonalTecnico),IF(TipoProgramaPersonalTecnico=2,ROUND(Programa!D$26*'a)Plantilla'!$C34,RedondeoPersonalTecnico),ROUND(Programa!D$26*Hjor*'a)Plantilla'!$C34,RedondeoPersonalTecnico))),0)</f>
        <v>0</v>
      </c>
      <c r="S67" s="6">
        <f>IF(Programa!D$27&gt;0,IF(TipoProgramaPersonalTecnico=1,ROUND(Programa!F$27*'a)Plantilla'!$C34,RedondeoPersonalTecnico),IF(TipoProgramaPersonalTecnico=2,ROUND(Programa!D$27*'a)Plantilla'!$C34,RedondeoPersonalTecnico),ROUND(Programa!D$27*Hjor*'a)Plantilla'!$C34,RedondeoPersonalTecnico))),0)</f>
        <v>0</v>
      </c>
      <c r="T67" s="6">
        <f>IF(Programa!D$28&gt;0,IF(TipoProgramaPersonalTecnico=1,ROUND(Programa!F$28*'a)Plantilla'!$C34,RedondeoPersonalTecnico),IF(TipoProgramaPersonalTecnico=2,ROUND(Programa!D$28*'a)Plantilla'!$C34,RedondeoPersonalTecnico),ROUND(Programa!D$28*Hjor*'a)Plantilla'!$C34,RedondeoPersonalTecnico))),0)</f>
        <v>0</v>
      </c>
      <c r="U67" s="6">
        <f>IF(Programa!D$29&gt;0,IF(TipoProgramaPersonalTecnico=1,ROUND(Programa!F$29*'a)Plantilla'!$C34,RedondeoPersonalTecnico),IF(TipoProgramaPersonalTecnico=2,ROUND(Programa!D$29*'a)Plantilla'!$C34,RedondeoPersonalTecnico),ROUND(Programa!D$29*Hjor*'a)Plantilla'!$C34,RedondeoPersonalTecnico))),0)</f>
        <v>0</v>
      </c>
      <c r="V67" s="6">
        <f>IF(Programa!D$30&gt;0,IF(TipoProgramaPersonalTecnico=1,ROUND(Programa!F$30*'a)Plantilla'!$C34,RedondeoPersonalTecnico),IF(TipoProgramaPersonalTecnico=2,ROUND(Programa!D$30*'a)Plantilla'!$C34,RedondeoPersonalTecnico),ROUND(Programa!D$30*Hjor*'a)Plantilla'!$C34,RedondeoPersonalTecnico))),0)</f>
        <v>0</v>
      </c>
      <c r="W67" s="6">
        <f>IF(Programa!D$31&gt;0,IF(TipoProgramaPersonalTecnico=1,ROUND(Programa!F$31*'a)Plantilla'!$C34,RedondeoPersonalTecnico),IF(TipoProgramaPersonalTecnico=2,ROUND(Programa!D$31*'a)Plantilla'!$C34,RedondeoPersonalTecnico),ROUND(Programa!D$31*Hjor*'a)Plantilla'!$C34,RedondeoPersonalTecnico))),0)</f>
        <v>0</v>
      </c>
      <c r="X67" s="6">
        <f>IF(Programa!D$32&gt;0,IF(TipoProgramaPersonalTecnico=1,ROUND(Programa!F$32*'a)Plantilla'!$C34,RedondeoPersonalTecnico),IF(TipoProgramaPersonalTecnico=2,ROUND(Programa!D$32*'a)Plantilla'!$C34,RedondeoPersonalTecnico),ROUND(Programa!D$32*Hjor*'a)Plantilla'!$C34,RedondeoPersonalTecnico))),0)</f>
        <v>0</v>
      </c>
      <c r="Y67" s="6">
        <f>IF(Programa!D$33&gt;0,IF(TipoProgramaPersonalTecnico=1,ROUND(Programa!F$33*'a)Plantilla'!$C34,RedondeoPersonalTecnico),IF(TipoProgramaPersonalTecnico=2,ROUND(Programa!D$33*'a)Plantilla'!$C34,RedondeoPersonalTecnico),ROUND(Programa!D$33*Hjor*'a)Plantilla'!$C34,RedondeoPersonalTecnico))),0)</f>
        <v>0</v>
      </c>
      <c r="Z67" s="6">
        <f>IF(Programa!D$34&gt;0,IF(TipoProgramaPersonalTecnico=1,ROUND(Programa!F$34*'a)Plantilla'!$C34,RedondeoPersonalTecnico),IF(TipoProgramaPersonalTecnico=2,ROUND(Programa!D$34*'a)Plantilla'!$C34,RedondeoPersonalTecnico),ROUND(Programa!D$34*Hjor*'a)Plantilla'!$C34,RedondeoPersonalTecnico))),0)</f>
        <v>0</v>
      </c>
      <c r="AA67" s="6">
        <f>IF(Programa!D$35&gt;0,IF(TipoProgramaPersonalTecnico=1,ROUND(Programa!F$35*'a)Plantilla'!$C34,RedondeoPersonalTecnico),IF(TipoProgramaPersonalTecnico=2,ROUND(Programa!D$35*'a)Plantilla'!$C34,RedondeoPersonalTecnico),ROUND(Programa!D$35*Hjor*'a)Plantilla'!$C34,RedondeoPersonalTecnico))),0)</f>
        <v>0</v>
      </c>
      <c r="AB67" s="78">
        <f>IF(Programa!D$36&gt;0,IF(TipoProgramaPersonalTecnico=1,ROUND(Programa!F$36*'a)Plantilla'!$C34,RedondeoPersonalTecnico),IF(TipoProgramaPersonalTecnico=2,ROUND(Programa!D$36*'a)Plantilla'!$C34,RedondeoPersonalTecnico),ROUND(Programa!D$36*Hjor*'a)Plantilla'!$C34,RedondeoPersonalTecnico))),0)</f>
        <v>0</v>
      </c>
      <c r="AC67" s="27">
        <f>IF(Programa!D$37&gt;0,IF(TipoProgramaPersonalTecnico=1,ROUND(Programa!F$37*'a)Plantilla'!$C34,RedondeoPersonalTecnico),IF(TipoProgramaPersonalTecnico=2,ROUND(Programa!D$37*'a)Plantilla'!$C34,RedondeoPersonalTecnico),ROUND(Programa!D$37*Hjor*'a)Plantilla'!$C34,RedondeoPersonalTecnico))),0)</f>
        <v>0</v>
      </c>
      <c r="AD67" s="6">
        <f>IF(Programa!D$38&gt;0,IF(TipoProgramaPersonalTecnico=1,ROUND(Programa!F$38*'a)Plantilla'!$C34,RedondeoPersonalTecnico),IF(TipoProgramaPersonalTecnico=2,ROUND(Programa!D$38*'a)Plantilla'!$C34,RedondeoPersonalTecnico),ROUND(Programa!D$38*Hjor*'a)Plantilla'!$C34,RedondeoPersonalTecnico))),0)</f>
        <v>0</v>
      </c>
      <c r="AE67" s="6">
        <f>IF(Programa!D$39&gt;0,IF(TipoProgramaPersonalTecnico=1,ROUND(Programa!F$39*'a)Plantilla'!$C34,RedondeoPersonalTecnico),IF(TipoProgramaPersonalTecnico=2,ROUND(Programa!D$39*'a)Plantilla'!$C34,RedondeoPersonalTecnico),ROUND(Programa!D$39*Hjor*'a)Plantilla'!$C34,RedondeoPersonalTecnico))),0)</f>
        <v>0</v>
      </c>
      <c r="AF67" s="6">
        <f>IF(Programa!D$40&gt;0,IF(TipoProgramaPersonalTecnico=1,ROUND(Programa!F$40*'a)Plantilla'!$C34,RedondeoPersonalTecnico),IF(TipoProgramaPersonalTecnico=2,ROUND(Programa!D$40*'a)Plantilla'!$C34,RedondeoPersonalTecnico),ROUND(Programa!D$40*Hjor*'a)Plantilla'!$C34,RedondeoPersonalTecnico))),0)</f>
        <v>0</v>
      </c>
      <c r="AG67" s="6">
        <f>IF(Programa!D$41&gt;0,IF(TipoProgramaPersonalTecnico=1,ROUND(Programa!F$41*'a)Plantilla'!$C34,RedondeoPersonalTecnico),IF(TipoProgramaPersonalTecnico=2,ROUND(Programa!D$41*'a)Plantilla'!$C34,RedondeoPersonalTecnico),ROUND(Programa!D$41*Hjor*'a)Plantilla'!$C34,RedondeoPersonalTecnico))),0)</f>
        <v>0</v>
      </c>
      <c r="AH67" s="6">
        <f>IF(Programa!D$42&gt;0,IF(TipoProgramaPersonalTecnico=1,ROUND(Programa!F$42*'a)Plantilla'!$C34,RedondeoPersonalTecnico),IF(TipoProgramaPersonalTecnico=2,ROUND(Programa!D$42*'a)Plantilla'!$C34,RedondeoPersonalTecnico),ROUND(Programa!D$42*Hjor*'a)Plantilla'!$C34,RedondeoPersonalTecnico))),0)</f>
        <v>0</v>
      </c>
      <c r="AI67" s="6">
        <f>IF(Programa!D$43&gt;0,IF(TipoProgramaPersonalTecnico=1,ROUND(Programa!F$43*'a)Plantilla'!$C34,RedondeoPersonalTecnico),IF(TipoProgramaPersonalTecnico=2,ROUND(Programa!D$43*'a)Plantilla'!$C34,RedondeoPersonalTecnico),ROUND(Programa!D$43*Hjor*'a)Plantilla'!$C34,RedondeoPersonalTecnico))),0)</f>
        <v>0</v>
      </c>
      <c r="AJ67" s="6">
        <f>IF(Programa!D$44&gt;0,IF(TipoProgramaPersonalTecnico=1,ROUND(Programa!F$44*'a)Plantilla'!$C34,RedondeoPersonalTecnico),IF(TipoProgramaPersonalTecnico=2,ROUND(Programa!D$44*'a)Plantilla'!$C34,RedondeoPersonalTecnico),ROUND(Programa!D$44*Hjor*'a)Plantilla'!$C34,RedondeoPersonalTecnico))),0)</f>
        <v>0</v>
      </c>
      <c r="AK67" s="6">
        <f>IF(Programa!D$45&gt;0,IF(TipoProgramaPersonalTecnico=1,ROUND(Programa!F$45*'a)Plantilla'!$C34,RedondeoPersonalTecnico),IF(TipoProgramaPersonalTecnico=2,ROUND(Programa!D$45*'a)Plantilla'!$C34,RedondeoPersonalTecnico),ROUND(Programa!D$45*Hjor*'a)Plantilla'!$C34,RedondeoPersonalTecnico))),0)</f>
        <v>0</v>
      </c>
      <c r="AL67" s="6">
        <f>IF(Programa!D$46&gt;0,IF(TipoProgramaPersonalTecnico=1,ROUND(Programa!F$46*'a)Plantilla'!$C34,RedondeoPersonalTecnico),IF(TipoProgramaPersonalTecnico=2,ROUND(Programa!D$46*'a)Plantilla'!$C34,RedondeoPersonalTecnico),ROUND(Programa!D$46*Hjor*'a)Plantilla'!$C34,RedondeoPersonalTecnico))),0)</f>
        <v>0</v>
      </c>
      <c r="AM67" s="6">
        <f>IF(Programa!D$47&gt;0,IF(TipoProgramaPersonalTecnico=1,ROUND(Programa!F$47*'a)Plantilla'!$C34,RedondeoPersonalTecnico),IF(TipoProgramaPersonalTecnico=2,ROUND(Programa!D$47*'a)Plantilla'!$C34,RedondeoPersonalTecnico),ROUND(Programa!D$47*Hjor*'a)Plantilla'!$C34,RedondeoPersonalTecnico))),0)</f>
        <v>0</v>
      </c>
      <c r="AN67" s="78">
        <f>IF(Programa!D$48&gt;0,IF(TipoProgramaPersonalTecnico=1,ROUND(Programa!F$48*'a)Plantilla'!$C34,RedondeoPersonalTecnico),IF(TipoProgramaPersonalTecnico=2,ROUND(Programa!D$48*'a)Plantilla'!$C34,RedondeoPersonalTecnico),ROUND(Programa!D$48*Hjor*'a)Plantilla'!$C34,RedondeoPersonalTecnico))),0)</f>
        <v>0</v>
      </c>
      <c r="AO67" s="27">
        <f>IF(Programa!D$49&gt;0,IF(TipoProgramaPersonalTecnico=1,ROUND(Programa!F$49*'a)Plantilla'!$C34,RedondeoPersonalTecnico),IF(TipoProgramaPersonalTecnico=2,ROUND(Programa!D$49*'a)Plantilla'!$C34,RedondeoPersonalTecnico),ROUND(Programa!D$49*Hjor*'a)Plantilla'!$C34,RedondeoPersonalTecnico))),0)</f>
        <v>0</v>
      </c>
      <c r="AP67" s="6">
        <f>IF(Programa!D$50&gt;0,IF(TipoProgramaPersonalTecnico=1,ROUND(Programa!F$50*'a)Plantilla'!$C34,RedondeoPersonalTecnico),IF(TipoProgramaPersonalTecnico=2,ROUND(Programa!D$50*'a)Plantilla'!$C34,RedondeoPersonalTecnico),ROUND(Programa!D$50*Hjor*'a)Plantilla'!$C34,RedondeoPersonalTecnico))),0)</f>
        <v>0</v>
      </c>
      <c r="AQ67" s="6">
        <f>IF(Programa!D$51&gt;0,IF(TipoProgramaPersonalTecnico=1,ROUND(Programa!F$51*'a)Plantilla'!$C34,RedondeoPersonalTecnico),IF(TipoProgramaPersonalTecnico=2,ROUND(Programa!D$51*'a)Plantilla'!$C34,RedondeoPersonalTecnico),ROUND(Programa!D$51*Hjor*'a)Plantilla'!$C34,RedondeoPersonalTecnico))),0)</f>
        <v>0</v>
      </c>
      <c r="AR67" s="6">
        <f>IF(Programa!D$52&gt;0,IF(TipoProgramaPersonalTecnico=1,ROUND(Programa!F$52*'a)Plantilla'!$C34,RedondeoPersonalTecnico),IF(TipoProgramaPersonalTecnico=2,ROUND(Programa!D$52*'a)Plantilla'!$C34,RedondeoPersonalTecnico),ROUND(Programa!D$52*Hjor*'a)Plantilla'!$C34,RedondeoPersonalTecnico))),0)</f>
        <v>0</v>
      </c>
      <c r="AS67" s="6">
        <f>IF(Programa!D$53&gt;0,IF(TipoProgramaPersonalTecnico=1,ROUND(Programa!F$53*'a)Plantilla'!$C34,RedondeoPersonalTecnico),IF(TipoProgramaPersonalTecnico=2,ROUND(Programa!D$53*'a)Plantilla'!$C34,RedondeoPersonalTecnico),ROUND(Programa!D$53*Hjor*'a)Plantilla'!$C34,RedondeoPersonalTecnico))),0)</f>
        <v>0</v>
      </c>
      <c r="AT67" s="6">
        <f>IF(Programa!D$54&gt;0,IF(TipoProgramaPersonalTecnico=1,ROUND(Programa!F$54*'a)Plantilla'!$C34,RedondeoPersonalTecnico),IF(TipoProgramaPersonalTecnico=2,ROUND(Programa!D$54*'a)Plantilla'!$C34,RedondeoPersonalTecnico),ROUND(Programa!D$54*Hjor*'a)Plantilla'!$C34,RedondeoPersonalTecnico))),0)</f>
        <v>0</v>
      </c>
      <c r="AU67" s="6">
        <f>IF(Programa!D$55&gt;0,IF(TipoProgramaPersonalTecnico=1,ROUND(Programa!F$55*'a)Plantilla'!$C34,RedondeoPersonalTecnico),IF(TipoProgramaPersonalTecnico=2,ROUND(Programa!D$55*'a)Plantilla'!$C34,RedondeoPersonalTecnico),ROUND(Programa!D$55*Hjor*'a)Plantilla'!$C34,RedondeoPersonalTecnico))),0)</f>
        <v>0</v>
      </c>
      <c r="AV67" s="6">
        <f>IF(Programa!D$56&gt;0,IF(TipoProgramaPersonalTecnico=1,ROUND(Programa!F$56*'a)Plantilla'!$C34,RedondeoPersonalTecnico),IF(TipoProgramaPersonalTecnico=2,ROUND(Programa!D$56*'a)Plantilla'!$C34,RedondeoPersonalTecnico),ROUND(Programa!D$56*Hjor*'a)Plantilla'!$C34,RedondeoPersonalTecnico))),0)</f>
        <v>0</v>
      </c>
      <c r="AW67" s="6">
        <f>IF(Programa!D$57&gt;0,IF(TipoProgramaPersonalTecnico=1,ROUND(Programa!F$57*'a)Plantilla'!$C34,RedondeoPersonalTecnico),IF(TipoProgramaPersonalTecnico=2,ROUND(Programa!D$57*'a)Plantilla'!$C34,RedondeoPersonalTecnico),ROUND(Programa!D$57*Hjor*'a)Plantilla'!$C34,RedondeoPersonalTecnico))),0)</f>
        <v>0</v>
      </c>
      <c r="AX67" s="6">
        <f>IF(Programa!D$58&gt;0,IF(TipoProgramaPersonalTecnico=1,ROUND(Programa!F$58*'a)Plantilla'!$C34,RedondeoPersonalTecnico),IF(TipoProgramaPersonalTecnico=2,ROUND(Programa!D$58*'a)Plantilla'!$C34,RedondeoPersonalTecnico),ROUND(Programa!D$58*Hjor*'a)Plantilla'!$C34,RedondeoPersonalTecnico))),0)</f>
        <v>0</v>
      </c>
      <c r="AY67" s="6">
        <f>IF(Programa!D$59&gt;0,IF(TipoProgramaPersonalTecnico=1,ROUND(Programa!F$59*'a)Plantilla'!$C34,RedondeoPersonalTecnico),IF(TipoProgramaPersonalTecnico=2,ROUND(Programa!D$59*'a)Plantilla'!$C34,RedondeoPersonalTecnico),ROUND(Programa!D$59*Hjor*'a)Plantilla'!$C34,RedondeoPersonalTecnico))),0)</f>
        <v>0</v>
      </c>
      <c r="AZ67" s="6">
        <f>IF(Programa!D$60&gt;0,IF(TipoProgramaPersonalTecnico=1,ROUND(Programa!F$60*'a)Plantilla'!$C34,RedondeoPersonalTecnico),IF(TipoProgramaPersonalTecnico=2,ROUND(Programa!D$60*'a)Plantilla'!$C34,RedondeoPersonalTecnico),ROUND(Programa!D$60*Hjor*'a)Plantilla'!$C34,RedondeoPersonalTecnico))),0)</f>
        <v>0</v>
      </c>
      <c r="BA67" s="6">
        <f>IF(Programa!D$61&gt;0,IF(TipoProgramaPersonalTecnico=1,ROUND(Programa!F$61*'a)Plantilla'!$C34,RedondeoPersonalTecnico),IF(TipoProgramaPersonalTecnico=2,ROUND(Programa!D$61*'a)Plantilla'!$C34,RedondeoPersonalTecnico),ROUND(Programa!D$61*Hjor*'a)Plantilla'!$C34,RedondeoPersonalTecnico))),0)</f>
        <v>0</v>
      </c>
      <c r="BB67" s="6">
        <f>IF(Programa!D$62&gt;0,IF(TipoProgramaPersonalTecnico=1,ROUND(Programa!F$62*'a)Plantilla'!$C34,RedondeoPersonalTecnico),IF(TipoProgramaPersonalTecnico=2,ROUND(Programa!D$62*'a)Plantilla'!$C34,RedondeoPersonalTecnico),ROUND(Programa!D$62*Hjor*'a)Plantilla'!$C34,RedondeoPersonalTecnico))),0)</f>
        <v>0</v>
      </c>
      <c r="BC67" s="6">
        <f>IF(Programa!D$63&gt;0,IF(TipoProgramaPersonalTecnico=1,ROUND(Programa!F$63*'a)Plantilla'!$C34,RedondeoPersonalTecnico),IF(TipoProgramaPersonalTecnico=2,ROUND(Programa!D$63*'a)Plantilla'!$C34,RedondeoPersonalTecnico),ROUND(Programa!D$63*Hjor*'a)Plantilla'!$C34,RedondeoPersonalTecnico))),0)</f>
        <v>0</v>
      </c>
      <c r="BD67" s="6">
        <f>IF(Programa!D$64&gt;0,IF(TipoProgramaPersonalTecnico=1,ROUND(Programa!F$64*'a)Plantilla'!$C34,RedondeoPersonalTecnico),IF(TipoProgramaPersonalTecnico=2,ROUND(Programa!D$64*'a)Plantilla'!$C34,RedondeoPersonalTecnico),ROUND(Programa!D$64*Hjor*'a)Plantilla'!$C34,RedondeoPersonalTecnico))),0)</f>
        <v>0</v>
      </c>
      <c r="BE67" s="6">
        <f>IF(Programa!D$65&gt;0,IF(TipoProgramaPersonalTecnico=1,ROUND(Programa!F$65*'a)Plantilla'!$C34,RedondeoPersonalTecnico),IF(TipoProgramaPersonalTecnico=2,ROUND(Programa!D$65*'a)Plantilla'!$C34,RedondeoPersonalTecnico),ROUND(Programa!D$65*Hjor*'a)Plantilla'!$C34,RedondeoPersonalTecnico))),0)</f>
        <v>0</v>
      </c>
      <c r="BF67" s="6">
        <f>IF(Programa!D$66&gt;0,IF(TipoProgramaPersonalTecnico=1,ROUND(Programa!F$66*'a)Plantilla'!$C34,RedondeoPersonalTecnico),IF(TipoProgramaPersonalTecnico=2,ROUND(Programa!D$66*'a)Plantilla'!$C34,RedondeoPersonalTecnico),ROUND(Programa!D$66*Hjor*'a)Plantilla'!$C34,RedondeoPersonalTecnico))),0)</f>
        <v>0</v>
      </c>
      <c r="BG67" s="6">
        <f>IF(Programa!D$67&gt;0,IF(TipoProgramaPersonalTecnico=1,ROUND(Programa!F$67*'a)Plantilla'!$C34,RedondeoPersonalTecnico),IF(TipoProgramaPersonalTecnico=2,ROUND(Programa!D$67*'a)Plantilla'!$C34,RedondeoPersonalTecnico),ROUND(Programa!D$67*Hjor*'a)Plantilla'!$C34,RedondeoPersonalTecnico))),0)</f>
        <v>0</v>
      </c>
      <c r="BH67" s="6">
        <f>IF(Programa!D$68&gt;0,IF(TipoProgramaPersonalTecnico=1,ROUND(Programa!F$68*'a)Plantilla'!$C34,RedondeoPersonalTecnico),IF(TipoProgramaPersonalTecnico=2,ROUND(Programa!D$68*'a)Plantilla'!$C34,RedondeoPersonalTecnico),ROUND(Programa!D$68*Hjor*'a)Plantilla'!$C34,RedondeoPersonalTecnico))),0)</f>
        <v>0</v>
      </c>
      <c r="BI67" s="6">
        <f>IF(Programa!D$69&gt;0,IF(TipoProgramaPersonalTecnico=1,ROUND(Programa!F$69*'a)Plantilla'!$C34,RedondeoPersonalTecnico),IF(TipoProgramaPersonalTecnico=2,ROUND(Programa!D$69*'a)Plantilla'!$C34,RedondeoPersonalTecnico),ROUND(Programa!D$69*Hjor*'a)Plantilla'!$C34,RedondeoPersonalTecnico))),0)</f>
        <v>0</v>
      </c>
      <c r="BJ67" s="6">
        <f>IF(Programa!D$70&gt;0,IF(TipoProgramaPersonalTecnico=1,ROUND(Programa!F$70*'a)Plantilla'!$C34,RedondeoPersonalTecnico),IF(TipoProgramaPersonalTecnico=2,ROUND(Programa!D$70*'a)Plantilla'!$C34,RedondeoPersonalTecnico),ROUND(Programa!D$70*Hjor*'a)Plantilla'!$C34,RedondeoPersonalTecnico))),0)</f>
        <v>0</v>
      </c>
      <c r="BK67" s="6">
        <f>IF(Programa!D$71&gt;0,IF(TipoProgramaPersonalTecnico=1,ROUND(Programa!F$71*'a)Plantilla'!$C34,RedondeoPersonalTecnico),IF(TipoProgramaPersonalTecnico=2,ROUND(Programa!D$71*'a)Plantilla'!$C34,RedondeoPersonalTecnico),ROUND(Programa!D$71*Hjor*'a)Plantilla'!$C34,RedondeoPersonalTecnico))),0)</f>
        <v>0</v>
      </c>
      <c r="BL67" s="78">
        <f>IF(Programa!D$72&gt;0,IF(TipoProgramaPersonalTecnico=1,ROUND(Programa!F$72*'a)Plantilla'!$C34,RedondeoPersonalTecnico),IF(TipoProgramaPersonalTecnico=2,ROUND(Programa!D$72*'a)Plantilla'!$C34,RedondeoPersonalTecnico),ROUND(Programa!D$72*Hjor*'a)Plantilla'!$C34,RedondeoPersonalTecnico))),0)</f>
        <v>0</v>
      </c>
    </row>
    <row r="68" spans="1:64" ht="8.1" customHeight="1">
      <c r="A68" s="133"/>
      <c r="B68" s="46"/>
      <c r="C68" s="31"/>
      <c r="D68" s="22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78"/>
      <c r="Q68" s="27"/>
      <c r="R68" s="6"/>
      <c r="S68" s="6"/>
      <c r="T68" s="6"/>
      <c r="U68" s="6"/>
      <c r="V68" s="6"/>
      <c r="W68" s="6"/>
      <c r="X68" s="6"/>
      <c r="Y68" s="6"/>
      <c r="Z68" s="6"/>
      <c r="AA68" s="6"/>
      <c r="AB68" s="78"/>
      <c r="AC68" s="27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78"/>
      <c r="AO68" s="27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78"/>
    </row>
    <row r="69" spans="1:64" ht="12.75" customHeight="1">
      <c r="A69" s="133"/>
      <c r="B69" s="46" t="str">
        <f>IF('a)Plantilla'!C35&gt;0,'a)Plantilla'!B35,"")</f>
        <v/>
      </c>
      <c r="C69" s="17" t="str">
        <f>IF('a)Plantilla'!C$35&gt;0,IF(TipoProgramaPersonalTecnico=1,"Personas",IF(TipoProgramaPersonalTecnico=2,"Jornal","horas-Hombre")),"")</f>
        <v/>
      </c>
      <c r="D69" s="226">
        <f>ROUND(SUM(E69:BL69),RedondeoPersonalTecnico)</f>
        <v>0</v>
      </c>
      <c r="E69" s="6">
        <f>IF(Programa!D$13&gt;0,IF(TipoProgramaPersonalTecnico=1,ROUND(Programa!F$13*'a)Plantilla'!$C35,RedondeoPersonalTecnico),IF(TipoProgramaPersonalTecnico=2,ROUND(Programa!D$13*'a)Plantilla'!$C35,RedondeoPersonalTecnico),ROUND(Programa!D$13*Hjor*'a)Plantilla'!$C35,RedondeoPersonalTecnico))),0)</f>
        <v>0</v>
      </c>
      <c r="F69" s="6">
        <f>IF(Programa!D$14&gt;0,IF(TipoProgramaPersonalTecnico=1,ROUND(Programa!F$14*'a)Plantilla'!$C35,RedondeoPersonalTecnico),IF(TipoProgramaPersonalTecnico=2,ROUND(Programa!D$14*'a)Plantilla'!$C35,RedondeoPersonalTecnico),ROUND(Programa!D$14*Hjor*'a)Plantilla'!$C35,RedondeoPersonalTecnico))),0)</f>
        <v>0</v>
      </c>
      <c r="G69" s="6">
        <f>IF(Programa!D$15&gt;0,IF(TipoProgramaPersonalTecnico=1,ROUND(Programa!F$15*'a)Plantilla'!$C35,RedondeoPersonalTecnico),IF(TipoProgramaPersonalTecnico=2,ROUND(Programa!D$15*'a)Plantilla'!$C35,RedondeoPersonalTecnico),ROUND(Programa!D$15*Hjor*'a)Plantilla'!$C35,RedondeoPersonalTecnico))),0)</f>
        <v>0</v>
      </c>
      <c r="H69" s="6">
        <f>IF(Programa!D$16&gt;0,IF(TipoProgramaPersonalTecnico=1,ROUND(Programa!F$16*'a)Plantilla'!$C35,RedondeoPersonalTecnico),IF(TipoProgramaPersonalTecnico=2,ROUND(Programa!D$16*'a)Plantilla'!$C35,RedondeoPersonalTecnico),ROUND(Programa!D$16*Hjor*'a)Plantilla'!$C35,RedondeoPersonalTecnico))),0)</f>
        <v>0</v>
      </c>
      <c r="I69" s="6">
        <f>IF(Programa!D$17&gt;0,IF(TipoProgramaPersonalTecnico=1,ROUND(Programa!F$17*'a)Plantilla'!$C35,RedondeoPersonalTecnico),IF(TipoProgramaPersonalTecnico=2,ROUND(Programa!D$17*'a)Plantilla'!$C35,RedondeoPersonalTecnico),ROUND(Programa!D$17*Hjor*'a)Plantilla'!$C35,RedondeoPersonalTecnico))),0)</f>
        <v>0</v>
      </c>
      <c r="J69" s="6">
        <f>IF(Programa!D$18&gt;0,IF(TipoProgramaPersonalTecnico=1,ROUND(Programa!F$18*'a)Plantilla'!$C35,RedondeoPersonalTecnico),IF(TipoProgramaPersonalTecnico=2,ROUND(Programa!D$18*'a)Plantilla'!$C35,RedondeoPersonalTecnico),ROUND(Programa!D$18*Hjor*'a)Plantilla'!$C35,RedondeoPersonalTecnico))),0)</f>
        <v>0</v>
      </c>
      <c r="K69" s="6">
        <f>IF(Programa!D$19&gt;0,IF(TipoProgramaPersonalTecnico=1,ROUND(Programa!F$19*'a)Plantilla'!$C35,RedondeoPersonalTecnico),IF(TipoProgramaPersonalTecnico=2,ROUND(Programa!D$19*'a)Plantilla'!$C35,RedondeoPersonalTecnico),ROUND(Programa!D$19*Hjor*'a)Plantilla'!$C35,RedondeoPersonalTecnico))),0)</f>
        <v>0</v>
      </c>
      <c r="L69" s="6">
        <f>IF(Programa!D$20&gt;0,IF(TipoProgramaPersonalTecnico=1,ROUND(Programa!F$20*'a)Plantilla'!$C35,RedondeoPersonalTecnico),IF(TipoProgramaPersonalTecnico=2,ROUND(Programa!D$20*'a)Plantilla'!$C35,RedondeoPersonalTecnico),ROUND(Programa!D$20*Hjor*'a)Plantilla'!$C35,RedondeoPersonalTecnico))),0)</f>
        <v>0</v>
      </c>
      <c r="M69" s="6">
        <f>IF(Programa!D$21&gt;0,IF(TipoProgramaPersonalTecnico=1,ROUND(Programa!F$21*'a)Plantilla'!$C35,RedondeoPersonalTecnico),IF(TipoProgramaPersonalTecnico=2,ROUND(Programa!D$21*'a)Plantilla'!$C35,RedondeoPersonalTecnico),ROUND(Programa!D$21*Hjor*'a)Plantilla'!$C35,RedondeoPersonalTecnico))),0)</f>
        <v>0</v>
      </c>
      <c r="N69" s="6">
        <f>IF(Programa!D$22&gt;0,IF(TipoProgramaPersonalTecnico=1,ROUND(Programa!F$22*'a)Plantilla'!$C35,RedondeoPersonalTecnico),IF(TipoProgramaPersonalTecnico=2,ROUND(Programa!D$22*'a)Plantilla'!$C35,RedondeoPersonalTecnico),ROUND(Programa!D$22*Hjor*'a)Plantilla'!$C35,RedondeoPersonalTecnico))),0)</f>
        <v>0</v>
      </c>
      <c r="O69" s="6">
        <f>IF(Programa!D$23&gt;0,IF(TipoProgramaPersonalTecnico=1,ROUND(Programa!F$23*'a)Plantilla'!$C35,RedondeoPersonalTecnico),IF(TipoProgramaPersonalTecnico=2,ROUND(Programa!D$23*'a)Plantilla'!$C35,RedondeoPersonalTecnico),ROUND(Programa!D$23*Hjor*'a)Plantilla'!$C35,RedondeoPersonalTecnico))),0)</f>
        <v>0</v>
      </c>
      <c r="P69" s="78">
        <f>IF(Programa!D$24&gt;0,IF(TipoProgramaPersonalTecnico=1,ROUND(Programa!F$24*'a)Plantilla'!$C35,RedondeoPersonalTecnico),IF(TipoProgramaPersonalTecnico=2,ROUND(Programa!D$24*'a)Plantilla'!$C35,RedondeoPersonalTecnico),ROUND(Programa!D$24*Hjor*'a)Plantilla'!$C35,RedondeoPersonalTecnico))),0)</f>
        <v>0</v>
      </c>
      <c r="Q69" s="27">
        <f>IF(Programa!D$25&gt;0,IF(TipoProgramaPersonalTecnico=1,ROUND(Programa!F$25*'a)Plantilla'!$C35,RedondeoPersonalTecnico),IF(TipoProgramaPersonalTecnico=2,ROUND(Programa!D$25*'a)Plantilla'!$C35,RedondeoPersonalTecnico),ROUND(Programa!D$25*Hjor*'a)Plantilla'!$C35,RedondeoPersonalTecnico))),0)</f>
        <v>0</v>
      </c>
      <c r="R69" s="6">
        <f>IF(Programa!D$26&gt;0,IF(TipoProgramaPersonalTecnico=1,ROUND(Programa!F$26*'a)Plantilla'!$C35,RedondeoPersonalTecnico),IF(TipoProgramaPersonalTecnico=2,ROUND(Programa!D$26*'a)Plantilla'!$C35,RedondeoPersonalTecnico),ROUND(Programa!D$26*Hjor*'a)Plantilla'!$C35,RedondeoPersonalTecnico))),0)</f>
        <v>0</v>
      </c>
      <c r="S69" s="6">
        <f>IF(Programa!D$27&gt;0,IF(TipoProgramaPersonalTecnico=1,ROUND(Programa!F$27*'a)Plantilla'!$C35,RedondeoPersonalTecnico),IF(TipoProgramaPersonalTecnico=2,ROUND(Programa!D$27*'a)Plantilla'!$C35,RedondeoPersonalTecnico),ROUND(Programa!D$27*Hjor*'a)Plantilla'!$C35,RedondeoPersonalTecnico))),0)</f>
        <v>0</v>
      </c>
      <c r="T69" s="6">
        <f>IF(Programa!D$28&gt;0,IF(TipoProgramaPersonalTecnico=1,ROUND(Programa!F$28*'a)Plantilla'!$C35,RedondeoPersonalTecnico),IF(TipoProgramaPersonalTecnico=2,ROUND(Programa!D$28*'a)Plantilla'!$C35,RedondeoPersonalTecnico),ROUND(Programa!D$28*Hjor*'a)Plantilla'!$C35,RedondeoPersonalTecnico))),0)</f>
        <v>0</v>
      </c>
      <c r="U69" s="6">
        <f>IF(Programa!D$29&gt;0,IF(TipoProgramaPersonalTecnico=1,ROUND(Programa!F$29*'a)Plantilla'!$C35,RedondeoPersonalTecnico),IF(TipoProgramaPersonalTecnico=2,ROUND(Programa!D$29*'a)Plantilla'!$C35,RedondeoPersonalTecnico),ROUND(Programa!D$29*Hjor*'a)Plantilla'!$C35,RedondeoPersonalTecnico))),0)</f>
        <v>0</v>
      </c>
      <c r="V69" s="6">
        <f>IF(Programa!D$30&gt;0,IF(TipoProgramaPersonalTecnico=1,ROUND(Programa!F$30*'a)Plantilla'!$C35,RedondeoPersonalTecnico),IF(TipoProgramaPersonalTecnico=2,ROUND(Programa!D$30*'a)Plantilla'!$C35,RedondeoPersonalTecnico),ROUND(Programa!D$30*Hjor*'a)Plantilla'!$C35,RedondeoPersonalTecnico))),0)</f>
        <v>0</v>
      </c>
      <c r="W69" s="6">
        <f>IF(Programa!D$31&gt;0,IF(TipoProgramaPersonalTecnico=1,ROUND(Programa!F$31*'a)Plantilla'!$C35,RedondeoPersonalTecnico),IF(TipoProgramaPersonalTecnico=2,ROUND(Programa!D$31*'a)Plantilla'!$C35,RedondeoPersonalTecnico),ROUND(Programa!D$31*Hjor*'a)Plantilla'!$C35,RedondeoPersonalTecnico))),0)</f>
        <v>0</v>
      </c>
      <c r="X69" s="6">
        <f>IF(Programa!D$32&gt;0,IF(TipoProgramaPersonalTecnico=1,ROUND(Programa!F$32*'a)Plantilla'!$C35,RedondeoPersonalTecnico),IF(TipoProgramaPersonalTecnico=2,ROUND(Programa!D$32*'a)Plantilla'!$C35,RedondeoPersonalTecnico),ROUND(Programa!D$32*Hjor*'a)Plantilla'!$C35,RedondeoPersonalTecnico))),0)</f>
        <v>0</v>
      </c>
      <c r="Y69" s="6">
        <f>IF(Programa!D$33&gt;0,IF(TipoProgramaPersonalTecnico=1,ROUND(Programa!F$33*'a)Plantilla'!$C35,RedondeoPersonalTecnico),IF(TipoProgramaPersonalTecnico=2,ROUND(Programa!D$33*'a)Plantilla'!$C35,RedondeoPersonalTecnico),ROUND(Programa!D$33*Hjor*'a)Plantilla'!$C35,RedondeoPersonalTecnico))),0)</f>
        <v>0</v>
      </c>
      <c r="Z69" s="6">
        <f>IF(Programa!D$34&gt;0,IF(TipoProgramaPersonalTecnico=1,ROUND(Programa!F$34*'a)Plantilla'!$C35,RedondeoPersonalTecnico),IF(TipoProgramaPersonalTecnico=2,ROUND(Programa!D$34*'a)Plantilla'!$C35,RedondeoPersonalTecnico),ROUND(Programa!D$34*Hjor*'a)Plantilla'!$C35,RedondeoPersonalTecnico))),0)</f>
        <v>0</v>
      </c>
      <c r="AA69" s="6">
        <f>IF(Programa!D$35&gt;0,IF(TipoProgramaPersonalTecnico=1,ROUND(Programa!F$35*'a)Plantilla'!$C35,RedondeoPersonalTecnico),IF(TipoProgramaPersonalTecnico=2,ROUND(Programa!D$35*'a)Plantilla'!$C35,RedondeoPersonalTecnico),ROUND(Programa!D$35*Hjor*'a)Plantilla'!$C35,RedondeoPersonalTecnico))),0)</f>
        <v>0</v>
      </c>
      <c r="AB69" s="78">
        <f>IF(Programa!D$36&gt;0,IF(TipoProgramaPersonalTecnico=1,ROUND(Programa!F$36*'a)Plantilla'!$C35,RedondeoPersonalTecnico),IF(TipoProgramaPersonalTecnico=2,ROUND(Programa!D$36*'a)Plantilla'!$C35,RedondeoPersonalTecnico),ROUND(Programa!D$36*Hjor*'a)Plantilla'!$C35,RedondeoPersonalTecnico))),0)</f>
        <v>0</v>
      </c>
      <c r="AC69" s="27">
        <f>IF(Programa!D$37&gt;0,IF(TipoProgramaPersonalTecnico=1,ROUND(Programa!F$37*'a)Plantilla'!$C35,RedondeoPersonalTecnico),IF(TipoProgramaPersonalTecnico=2,ROUND(Programa!D$37*'a)Plantilla'!$C35,RedondeoPersonalTecnico),ROUND(Programa!D$37*Hjor*'a)Plantilla'!$C35,RedondeoPersonalTecnico))),0)</f>
        <v>0</v>
      </c>
      <c r="AD69" s="6">
        <f>IF(Programa!D$38&gt;0,IF(TipoProgramaPersonalTecnico=1,ROUND(Programa!F$38*'a)Plantilla'!$C35,RedondeoPersonalTecnico),IF(TipoProgramaPersonalTecnico=2,ROUND(Programa!D$38*'a)Plantilla'!$C35,RedondeoPersonalTecnico),ROUND(Programa!D$38*Hjor*'a)Plantilla'!$C35,RedondeoPersonalTecnico))),0)</f>
        <v>0</v>
      </c>
      <c r="AE69" s="6">
        <f>IF(Programa!D$39&gt;0,IF(TipoProgramaPersonalTecnico=1,ROUND(Programa!F$39*'a)Plantilla'!$C35,RedondeoPersonalTecnico),IF(TipoProgramaPersonalTecnico=2,ROUND(Programa!D$39*'a)Plantilla'!$C35,RedondeoPersonalTecnico),ROUND(Programa!D$39*Hjor*'a)Plantilla'!$C35,RedondeoPersonalTecnico))),0)</f>
        <v>0</v>
      </c>
      <c r="AF69" s="6">
        <f>IF(Programa!D$40&gt;0,IF(TipoProgramaPersonalTecnico=1,ROUND(Programa!F$40*'a)Plantilla'!$C35,RedondeoPersonalTecnico),IF(TipoProgramaPersonalTecnico=2,ROUND(Programa!D$40*'a)Plantilla'!$C35,RedondeoPersonalTecnico),ROUND(Programa!D$40*Hjor*'a)Plantilla'!$C35,RedondeoPersonalTecnico))),0)</f>
        <v>0</v>
      </c>
      <c r="AG69" s="6">
        <f>IF(Programa!D$41&gt;0,IF(TipoProgramaPersonalTecnico=1,ROUND(Programa!F$41*'a)Plantilla'!$C35,RedondeoPersonalTecnico),IF(TipoProgramaPersonalTecnico=2,ROUND(Programa!D$41*'a)Plantilla'!$C35,RedondeoPersonalTecnico),ROUND(Programa!D$41*Hjor*'a)Plantilla'!$C35,RedondeoPersonalTecnico))),0)</f>
        <v>0</v>
      </c>
      <c r="AH69" s="6">
        <f>IF(Programa!D$42&gt;0,IF(TipoProgramaPersonalTecnico=1,ROUND(Programa!F$42*'a)Plantilla'!$C35,RedondeoPersonalTecnico),IF(TipoProgramaPersonalTecnico=2,ROUND(Programa!D$42*'a)Plantilla'!$C35,RedondeoPersonalTecnico),ROUND(Programa!D$42*Hjor*'a)Plantilla'!$C35,RedondeoPersonalTecnico))),0)</f>
        <v>0</v>
      </c>
      <c r="AI69" s="6">
        <f>IF(Programa!D$43&gt;0,IF(TipoProgramaPersonalTecnico=1,ROUND(Programa!F$43*'a)Plantilla'!$C35,RedondeoPersonalTecnico),IF(TipoProgramaPersonalTecnico=2,ROUND(Programa!D$43*'a)Plantilla'!$C35,RedondeoPersonalTecnico),ROUND(Programa!D$43*Hjor*'a)Plantilla'!$C35,RedondeoPersonalTecnico))),0)</f>
        <v>0</v>
      </c>
      <c r="AJ69" s="6">
        <f>IF(Programa!D$44&gt;0,IF(TipoProgramaPersonalTecnico=1,ROUND(Programa!F$44*'a)Plantilla'!$C35,RedondeoPersonalTecnico),IF(TipoProgramaPersonalTecnico=2,ROUND(Programa!D$44*'a)Plantilla'!$C35,RedondeoPersonalTecnico),ROUND(Programa!D$44*Hjor*'a)Plantilla'!$C35,RedondeoPersonalTecnico))),0)</f>
        <v>0</v>
      </c>
      <c r="AK69" s="6">
        <f>IF(Programa!D$45&gt;0,IF(TipoProgramaPersonalTecnico=1,ROUND(Programa!F$45*'a)Plantilla'!$C35,RedondeoPersonalTecnico),IF(TipoProgramaPersonalTecnico=2,ROUND(Programa!D$45*'a)Plantilla'!$C35,RedondeoPersonalTecnico),ROUND(Programa!D$45*Hjor*'a)Plantilla'!$C35,RedondeoPersonalTecnico))),0)</f>
        <v>0</v>
      </c>
      <c r="AL69" s="6">
        <f>IF(Programa!D$46&gt;0,IF(TipoProgramaPersonalTecnico=1,ROUND(Programa!F$46*'a)Plantilla'!$C35,RedondeoPersonalTecnico),IF(TipoProgramaPersonalTecnico=2,ROUND(Programa!D$46*'a)Plantilla'!$C35,RedondeoPersonalTecnico),ROUND(Programa!D$46*Hjor*'a)Plantilla'!$C35,RedondeoPersonalTecnico))),0)</f>
        <v>0</v>
      </c>
      <c r="AM69" s="6">
        <f>IF(Programa!D$47&gt;0,IF(TipoProgramaPersonalTecnico=1,ROUND(Programa!F$47*'a)Plantilla'!$C35,RedondeoPersonalTecnico),IF(TipoProgramaPersonalTecnico=2,ROUND(Programa!D$47*'a)Plantilla'!$C35,RedondeoPersonalTecnico),ROUND(Programa!D$47*Hjor*'a)Plantilla'!$C35,RedondeoPersonalTecnico))),0)</f>
        <v>0</v>
      </c>
      <c r="AN69" s="78">
        <f>IF(Programa!D$48&gt;0,IF(TipoProgramaPersonalTecnico=1,ROUND(Programa!F$48*'a)Plantilla'!$C35,RedondeoPersonalTecnico),IF(TipoProgramaPersonalTecnico=2,ROUND(Programa!D$48*'a)Plantilla'!$C35,RedondeoPersonalTecnico),ROUND(Programa!D$48*Hjor*'a)Plantilla'!$C35,RedondeoPersonalTecnico))),0)</f>
        <v>0</v>
      </c>
      <c r="AO69" s="27">
        <f>IF(Programa!D$49&gt;0,IF(TipoProgramaPersonalTecnico=1,ROUND(Programa!F$49*'a)Plantilla'!$C35,RedondeoPersonalTecnico),IF(TipoProgramaPersonalTecnico=2,ROUND(Programa!D$49*'a)Plantilla'!$C35,RedondeoPersonalTecnico),ROUND(Programa!D$49*Hjor*'a)Plantilla'!$C35,RedondeoPersonalTecnico))),0)</f>
        <v>0</v>
      </c>
      <c r="AP69" s="6">
        <f>IF(Programa!D$50&gt;0,IF(TipoProgramaPersonalTecnico=1,ROUND(Programa!F$50*'a)Plantilla'!$C35,RedondeoPersonalTecnico),IF(TipoProgramaPersonalTecnico=2,ROUND(Programa!D$50*'a)Plantilla'!$C35,RedondeoPersonalTecnico),ROUND(Programa!D$50*Hjor*'a)Plantilla'!$C35,RedondeoPersonalTecnico))),0)</f>
        <v>0</v>
      </c>
      <c r="AQ69" s="6">
        <f>IF(Programa!D$51&gt;0,IF(TipoProgramaPersonalTecnico=1,ROUND(Programa!F$51*'a)Plantilla'!$C35,RedondeoPersonalTecnico),IF(TipoProgramaPersonalTecnico=2,ROUND(Programa!D$51*'a)Plantilla'!$C35,RedondeoPersonalTecnico),ROUND(Programa!D$51*Hjor*'a)Plantilla'!$C35,RedondeoPersonalTecnico))),0)</f>
        <v>0</v>
      </c>
      <c r="AR69" s="6">
        <f>IF(Programa!D$52&gt;0,IF(TipoProgramaPersonalTecnico=1,ROUND(Programa!F$52*'a)Plantilla'!$C35,RedondeoPersonalTecnico),IF(TipoProgramaPersonalTecnico=2,ROUND(Programa!D$52*'a)Plantilla'!$C35,RedondeoPersonalTecnico),ROUND(Programa!D$52*Hjor*'a)Plantilla'!$C35,RedondeoPersonalTecnico))),0)</f>
        <v>0</v>
      </c>
      <c r="AS69" s="6">
        <f>IF(Programa!D$53&gt;0,IF(TipoProgramaPersonalTecnico=1,ROUND(Programa!F$53*'a)Plantilla'!$C35,RedondeoPersonalTecnico),IF(TipoProgramaPersonalTecnico=2,ROUND(Programa!D$53*'a)Plantilla'!$C35,RedondeoPersonalTecnico),ROUND(Programa!D$53*Hjor*'a)Plantilla'!$C35,RedondeoPersonalTecnico))),0)</f>
        <v>0</v>
      </c>
      <c r="AT69" s="6">
        <f>IF(Programa!D$54&gt;0,IF(TipoProgramaPersonalTecnico=1,ROUND(Programa!F$54*'a)Plantilla'!$C35,RedondeoPersonalTecnico),IF(TipoProgramaPersonalTecnico=2,ROUND(Programa!D$54*'a)Plantilla'!$C35,RedondeoPersonalTecnico),ROUND(Programa!D$54*Hjor*'a)Plantilla'!$C35,RedondeoPersonalTecnico))),0)</f>
        <v>0</v>
      </c>
      <c r="AU69" s="6">
        <f>IF(Programa!D$55&gt;0,IF(TipoProgramaPersonalTecnico=1,ROUND(Programa!F$55*'a)Plantilla'!$C35,RedondeoPersonalTecnico),IF(TipoProgramaPersonalTecnico=2,ROUND(Programa!D$55*'a)Plantilla'!$C35,RedondeoPersonalTecnico),ROUND(Programa!D$55*Hjor*'a)Plantilla'!$C35,RedondeoPersonalTecnico))),0)</f>
        <v>0</v>
      </c>
      <c r="AV69" s="6">
        <f>IF(Programa!D$56&gt;0,IF(TipoProgramaPersonalTecnico=1,ROUND(Programa!F$56*'a)Plantilla'!$C35,RedondeoPersonalTecnico),IF(TipoProgramaPersonalTecnico=2,ROUND(Programa!D$56*'a)Plantilla'!$C35,RedondeoPersonalTecnico),ROUND(Programa!D$56*Hjor*'a)Plantilla'!$C35,RedondeoPersonalTecnico))),0)</f>
        <v>0</v>
      </c>
      <c r="AW69" s="6">
        <f>IF(Programa!D$57&gt;0,IF(TipoProgramaPersonalTecnico=1,ROUND(Programa!F$57*'a)Plantilla'!$C35,RedondeoPersonalTecnico),IF(TipoProgramaPersonalTecnico=2,ROUND(Programa!D$57*'a)Plantilla'!$C35,RedondeoPersonalTecnico),ROUND(Programa!D$57*Hjor*'a)Plantilla'!$C35,RedondeoPersonalTecnico))),0)</f>
        <v>0</v>
      </c>
      <c r="AX69" s="6">
        <f>IF(Programa!D$58&gt;0,IF(TipoProgramaPersonalTecnico=1,ROUND(Programa!F$58*'a)Plantilla'!$C35,RedondeoPersonalTecnico),IF(TipoProgramaPersonalTecnico=2,ROUND(Programa!D$58*'a)Plantilla'!$C35,RedondeoPersonalTecnico),ROUND(Programa!D$58*Hjor*'a)Plantilla'!$C35,RedondeoPersonalTecnico))),0)</f>
        <v>0</v>
      </c>
      <c r="AY69" s="6">
        <f>IF(Programa!D$59&gt;0,IF(TipoProgramaPersonalTecnico=1,ROUND(Programa!F$59*'a)Plantilla'!$C35,RedondeoPersonalTecnico),IF(TipoProgramaPersonalTecnico=2,ROUND(Programa!D$59*'a)Plantilla'!$C35,RedondeoPersonalTecnico),ROUND(Programa!D$59*Hjor*'a)Plantilla'!$C35,RedondeoPersonalTecnico))),0)</f>
        <v>0</v>
      </c>
      <c r="AZ69" s="6">
        <f>IF(Programa!D$60&gt;0,IF(TipoProgramaPersonalTecnico=1,ROUND(Programa!F$60*'a)Plantilla'!$C35,RedondeoPersonalTecnico),IF(TipoProgramaPersonalTecnico=2,ROUND(Programa!D$60*'a)Plantilla'!$C35,RedondeoPersonalTecnico),ROUND(Programa!D$60*Hjor*'a)Plantilla'!$C35,RedondeoPersonalTecnico))),0)</f>
        <v>0</v>
      </c>
      <c r="BA69" s="6">
        <f>IF(Programa!D$61&gt;0,IF(TipoProgramaPersonalTecnico=1,ROUND(Programa!F$61*'a)Plantilla'!$C35,RedondeoPersonalTecnico),IF(TipoProgramaPersonalTecnico=2,ROUND(Programa!D$61*'a)Plantilla'!$C35,RedondeoPersonalTecnico),ROUND(Programa!D$61*Hjor*'a)Plantilla'!$C35,RedondeoPersonalTecnico))),0)</f>
        <v>0</v>
      </c>
      <c r="BB69" s="6">
        <f>IF(Programa!D$62&gt;0,IF(TipoProgramaPersonalTecnico=1,ROUND(Programa!F$62*'a)Plantilla'!$C35,RedondeoPersonalTecnico),IF(TipoProgramaPersonalTecnico=2,ROUND(Programa!D$62*'a)Plantilla'!$C35,RedondeoPersonalTecnico),ROUND(Programa!D$62*Hjor*'a)Plantilla'!$C35,RedondeoPersonalTecnico))),0)</f>
        <v>0</v>
      </c>
      <c r="BC69" s="6">
        <f>IF(Programa!D$63&gt;0,IF(TipoProgramaPersonalTecnico=1,ROUND(Programa!F$63*'a)Plantilla'!$C35,RedondeoPersonalTecnico),IF(TipoProgramaPersonalTecnico=2,ROUND(Programa!D$63*'a)Plantilla'!$C35,RedondeoPersonalTecnico),ROUND(Programa!D$63*Hjor*'a)Plantilla'!$C35,RedondeoPersonalTecnico))),0)</f>
        <v>0</v>
      </c>
      <c r="BD69" s="6">
        <f>IF(Programa!D$64&gt;0,IF(TipoProgramaPersonalTecnico=1,ROUND(Programa!F$64*'a)Plantilla'!$C35,RedondeoPersonalTecnico),IF(TipoProgramaPersonalTecnico=2,ROUND(Programa!D$64*'a)Plantilla'!$C35,RedondeoPersonalTecnico),ROUND(Programa!D$64*Hjor*'a)Plantilla'!$C35,RedondeoPersonalTecnico))),0)</f>
        <v>0</v>
      </c>
      <c r="BE69" s="6">
        <f>IF(Programa!D$65&gt;0,IF(TipoProgramaPersonalTecnico=1,ROUND(Programa!F$65*'a)Plantilla'!$C35,RedondeoPersonalTecnico),IF(TipoProgramaPersonalTecnico=2,ROUND(Programa!D$65*'a)Plantilla'!$C35,RedondeoPersonalTecnico),ROUND(Programa!D$65*Hjor*'a)Plantilla'!$C35,RedondeoPersonalTecnico))),0)</f>
        <v>0</v>
      </c>
      <c r="BF69" s="6">
        <f>IF(Programa!D$66&gt;0,IF(TipoProgramaPersonalTecnico=1,ROUND(Programa!F$66*'a)Plantilla'!$C35,RedondeoPersonalTecnico),IF(TipoProgramaPersonalTecnico=2,ROUND(Programa!D$66*'a)Plantilla'!$C35,RedondeoPersonalTecnico),ROUND(Programa!D$66*Hjor*'a)Plantilla'!$C35,RedondeoPersonalTecnico))),0)</f>
        <v>0</v>
      </c>
      <c r="BG69" s="6">
        <f>IF(Programa!D$67&gt;0,IF(TipoProgramaPersonalTecnico=1,ROUND(Programa!F$67*'a)Plantilla'!$C35,RedondeoPersonalTecnico),IF(TipoProgramaPersonalTecnico=2,ROUND(Programa!D$67*'a)Plantilla'!$C35,RedondeoPersonalTecnico),ROUND(Programa!D$67*Hjor*'a)Plantilla'!$C35,RedondeoPersonalTecnico))),0)</f>
        <v>0</v>
      </c>
      <c r="BH69" s="6">
        <f>IF(Programa!D$68&gt;0,IF(TipoProgramaPersonalTecnico=1,ROUND(Programa!F$68*'a)Plantilla'!$C35,RedondeoPersonalTecnico),IF(TipoProgramaPersonalTecnico=2,ROUND(Programa!D$68*'a)Plantilla'!$C35,RedondeoPersonalTecnico),ROUND(Programa!D$68*Hjor*'a)Plantilla'!$C35,RedondeoPersonalTecnico))),0)</f>
        <v>0</v>
      </c>
      <c r="BI69" s="6">
        <f>IF(Programa!D$69&gt;0,IF(TipoProgramaPersonalTecnico=1,ROUND(Programa!F$69*'a)Plantilla'!$C35,RedondeoPersonalTecnico),IF(TipoProgramaPersonalTecnico=2,ROUND(Programa!D$69*'a)Plantilla'!$C35,RedondeoPersonalTecnico),ROUND(Programa!D$69*Hjor*'a)Plantilla'!$C35,RedondeoPersonalTecnico))),0)</f>
        <v>0</v>
      </c>
      <c r="BJ69" s="6">
        <f>IF(Programa!D$70&gt;0,IF(TipoProgramaPersonalTecnico=1,ROUND(Programa!F$70*'a)Plantilla'!$C35,RedondeoPersonalTecnico),IF(TipoProgramaPersonalTecnico=2,ROUND(Programa!D$70*'a)Plantilla'!$C35,RedondeoPersonalTecnico),ROUND(Programa!D$70*Hjor*'a)Plantilla'!$C35,RedondeoPersonalTecnico))),0)</f>
        <v>0</v>
      </c>
      <c r="BK69" s="6">
        <f>IF(Programa!D$71&gt;0,IF(TipoProgramaPersonalTecnico=1,ROUND(Programa!F$71*'a)Plantilla'!$C35,RedondeoPersonalTecnico),IF(TipoProgramaPersonalTecnico=2,ROUND(Programa!D$71*'a)Plantilla'!$C35,RedondeoPersonalTecnico),ROUND(Programa!D$71*Hjor*'a)Plantilla'!$C35,RedondeoPersonalTecnico))),0)</f>
        <v>0</v>
      </c>
      <c r="BL69" s="78">
        <f>IF(Programa!D$72&gt;0,IF(TipoProgramaPersonalTecnico=1,ROUND(Programa!F$72*'a)Plantilla'!$C35,RedondeoPersonalTecnico),IF(TipoProgramaPersonalTecnico=2,ROUND(Programa!D$72*'a)Plantilla'!$C35,RedondeoPersonalTecnico),ROUND(Programa!D$72*Hjor*'a)Plantilla'!$C35,RedondeoPersonalTecnico))),0)</f>
        <v>0</v>
      </c>
    </row>
    <row r="70" spans="1:64" ht="8.1" customHeight="1">
      <c r="A70" s="133"/>
      <c r="B70" s="46"/>
      <c r="C70" s="31"/>
      <c r="D70" s="22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78"/>
      <c r="Q70" s="27"/>
      <c r="R70" s="6"/>
      <c r="S70" s="6"/>
      <c r="T70" s="6"/>
      <c r="U70" s="6"/>
      <c r="V70" s="6"/>
      <c r="W70" s="6"/>
      <c r="X70" s="6"/>
      <c r="Y70" s="6"/>
      <c r="Z70" s="6"/>
      <c r="AA70" s="6"/>
      <c r="AB70" s="78"/>
      <c r="AC70" s="27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78"/>
      <c r="AO70" s="27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78"/>
    </row>
    <row r="71" spans="1:64" ht="12.75" customHeight="1">
      <c r="A71" s="133"/>
      <c r="B71" s="46" t="str">
        <f>IF('a)Plantilla'!C36&gt;0,'a)Plantilla'!B36,"")</f>
        <v/>
      </c>
      <c r="C71" s="17" t="str">
        <f>IF('a)Plantilla'!C$36&gt;0,IF(TipoProgramaPersonalTecnico=1,"Personas",IF(TipoProgramaPersonalTecnico=2,"Jornal","horas-Hombre")),"")</f>
        <v/>
      </c>
      <c r="D71" s="226">
        <f>ROUND(SUM(E71:BL71),RedondeoPersonalTecnico)</f>
        <v>0</v>
      </c>
      <c r="E71" s="6">
        <f>IF(Programa!D$13&gt;0,IF(TipoProgramaPersonalTecnico=1,ROUND(Programa!F$13*'a)Plantilla'!$C36,RedondeoPersonalTecnico),IF(TipoProgramaPersonalTecnico=2,ROUND(Programa!D$13*'a)Plantilla'!$C36,RedondeoPersonalTecnico),ROUND(Programa!D$13*Hjor*'a)Plantilla'!$C36,RedondeoPersonalTecnico))),0)</f>
        <v>0</v>
      </c>
      <c r="F71" s="6">
        <f>IF(Programa!D$14&gt;0,IF(TipoProgramaPersonalTecnico=1,ROUND(Programa!F$14*'a)Plantilla'!$C36,RedondeoPersonalTecnico),IF(TipoProgramaPersonalTecnico=2,ROUND(Programa!D$14*'a)Plantilla'!$C36,RedondeoPersonalTecnico),ROUND(Programa!D$14*Hjor*'a)Plantilla'!$C36,RedondeoPersonalTecnico))),0)</f>
        <v>0</v>
      </c>
      <c r="G71" s="6">
        <f>IF(Programa!D$15&gt;0,IF(TipoProgramaPersonalTecnico=1,ROUND(Programa!F$15*'a)Plantilla'!$C36,RedondeoPersonalTecnico),IF(TipoProgramaPersonalTecnico=2,ROUND(Programa!D$15*'a)Plantilla'!$C36,RedondeoPersonalTecnico),ROUND(Programa!D$15*Hjor*'a)Plantilla'!$C36,RedondeoPersonalTecnico))),0)</f>
        <v>0</v>
      </c>
      <c r="H71" s="6">
        <f>IF(Programa!D$16&gt;0,IF(TipoProgramaPersonalTecnico=1,ROUND(Programa!F$16*'a)Plantilla'!$C36,RedondeoPersonalTecnico),IF(TipoProgramaPersonalTecnico=2,ROUND(Programa!D$16*'a)Plantilla'!$C36,RedondeoPersonalTecnico),ROUND(Programa!D$16*Hjor*'a)Plantilla'!$C36,RedondeoPersonalTecnico))),0)</f>
        <v>0</v>
      </c>
      <c r="I71" s="6">
        <f>IF(Programa!D$17&gt;0,IF(TipoProgramaPersonalTecnico=1,ROUND(Programa!F$17*'a)Plantilla'!$C36,RedondeoPersonalTecnico),IF(TipoProgramaPersonalTecnico=2,ROUND(Programa!D$17*'a)Plantilla'!$C36,RedondeoPersonalTecnico),ROUND(Programa!D$17*Hjor*'a)Plantilla'!$C36,RedondeoPersonalTecnico))),0)</f>
        <v>0</v>
      </c>
      <c r="J71" s="6">
        <f>IF(Programa!D$18&gt;0,IF(TipoProgramaPersonalTecnico=1,ROUND(Programa!F$18*'a)Plantilla'!$C36,RedondeoPersonalTecnico),IF(TipoProgramaPersonalTecnico=2,ROUND(Programa!D$18*'a)Plantilla'!$C36,RedondeoPersonalTecnico),ROUND(Programa!D$18*Hjor*'a)Plantilla'!$C36,RedondeoPersonalTecnico))),0)</f>
        <v>0</v>
      </c>
      <c r="K71" s="6">
        <f>IF(Programa!D$19&gt;0,IF(TipoProgramaPersonalTecnico=1,ROUND(Programa!F$19*'a)Plantilla'!$C36,RedondeoPersonalTecnico),IF(TipoProgramaPersonalTecnico=2,ROUND(Programa!D$19*'a)Plantilla'!$C36,RedondeoPersonalTecnico),ROUND(Programa!D$19*Hjor*'a)Plantilla'!$C36,RedondeoPersonalTecnico))),0)</f>
        <v>0</v>
      </c>
      <c r="L71" s="6">
        <f>IF(Programa!D$20&gt;0,IF(TipoProgramaPersonalTecnico=1,ROUND(Programa!F$20*'a)Plantilla'!$C36,RedondeoPersonalTecnico),IF(TipoProgramaPersonalTecnico=2,ROUND(Programa!D$20*'a)Plantilla'!$C36,RedondeoPersonalTecnico),ROUND(Programa!D$20*Hjor*'a)Plantilla'!$C36,RedondeoPersonalTecnico))),0)</f>
        <v>0</v>
      </c>
      <c r="M71" s="6">
        <f>IF(Programa!D$21&gt;0,IF(TipoProgramaPersonalTecnico=1,ROUND(Programa!F$21*'a)Plantilla'!$C36,RedondeoPersonalTecnico),IF(TipoProgramaPersonalTecnico=2,ROUND(Programa!D$21*'a)Plantilla'!$C36,RedondeoPersonalTecnico),ROUND(Programa!D$21*Hjor*'a)Plantilla'!$C36,RedondeoPersonalTecnico))),0)</f>
        <v>0</v>
      </c>
      <c r="N71" s="6">
        <f>IF(Programa!D$22&gt;0,IF(TipoProgramaPersonalTecnico=1,ROUND(Programa!F$22*'a)Plantilla'!$C36,RedondeoPersonalTecnico),IF(TipoProgramaPersonalTecnico=2,ROUND(Programa!D$22*'a)Plantilla'!$C36,RedondeoPersonalTecnico),ROUND(Programa!D$22*Hjor*'a)Plantilla'!$C36,RedondeoPersonalTecnico))),0)</f>
        <v>0</v>
      </c>
      <c r="O71" s="6">
        <f>IF(Programa!D$23&gt;0,IF(TipoProgramaPersonalTecnico=1,ROUND(Programa!F$23*'a)Plantilla'!$C36,RedondeoPersonalTecnico),IF(TipoProgramaPersonalTecnico=2,ROUND(Programa!D$23*'a)Plantilla'!$C36,RedondeoPersonalTecnico),ROUND(Programa!D$23*Hjor*'a)Plantilla'!$C36,RedondeoPersonalTecnico))),0)</f>
        <v>0</v>
      </c>
      <c r="P71" s="78">
        <f>IF(Programa!D$24&gt;0,IF(TipoProgramaPersonalTecnico=1,ROUND(Programa!F$24*'a)Plantilla'!$C36,RedondeoPersonalTecnico),IF(TipoProgramaPersonalTecnico=2,ROUND(Programa!D$24*'a)Plantilla'!$C36,RedondeoPersonalTecnico),ROUND(Programa!D$24*Hjor*'a)Plantilla'!$C36,RedondeoPersonalTecnico))),0)</f>
        <v>0</v>
      </c>
      <c r="Q71" s="27">
        <f>IF(Programa!D$25&gt;0,IF(TipoProgramaPersonalTecnico=1,ROUND(Programa!F$25*'a)Plantilla'!$C36,RedondeoPersonalTecnico),IF(TipoProgramaPersonalTecnico=2,ROUND(Programa!D$25*'a)Plantilla'!$C36,RedondeoPersonalTecnico),ROUND(Programa!D$25*Hjor*'a)Plantilla'!$C36,RedondeoPersonalTecnico))),0)</f>
        <v>0</v>
      </c>
      <c r="R71" s="6">
        <f>IF(Programa!D$26&gt;0,IF(TipoProgramaPersonalTecnico=1,ROUND(Programa!F$26*'a)Plantilla'!$C36,RedondeoPersonalTecnico),IF(TipoProgramaPersonalTecnico=2,ROUND(Programa!D$26*'a)Plantilla'!$C36,RedondeoPersonalTecnico),ROUND(Programa!D$26*Hjor*'a)Plantilla'!$C36,RedondeoPersonalTecnico))),0)</f>
        <v>0</v>
      </c>
      <c r="S71" s="6">
        <f>IF(Programa!D$27&gt;0,IF(TipoProgramaPersonalTecnico=1,ROUND(Programa!F$27*'a)Plantilla'!$C36,RedondeoPersonalTecnico),IF(TipoProgramaPersonalTecnico=2,ROUND(Programa!D$27*'a)Plantilla'!$C36,RedondeoPersonalTecnico),ROUND(Programa!D$27*Hjor*'a)Plantilla'!$C36,RedondeoPersonalTecnico))),0)</f>
        <v>0</v>
      </c>
      <c r="T71" s="6">
        <f>IF(Programa!D$28&gt;0,IF(TipoProgramaPersonalTecnico=1,ROUND(Programa!F$28*'a)Plantilla'!$C36,RedondeoPersonalTecnico),IF(TipoProgramaPersonalTecnico=2,ROUND(Programa!D$28*'a)Plantilla'!$C36,RedondeoPersonalTecnico),ROUND(Programa!D$28*Hjor*'a)Plantilla'!$C36,RedondeoPersonalTecnico))),0)</f>
        <v>0</v>
      </c>
      <c r="U71" s="6">
        <f>IF(Programa!D$29&gt;0,IF(TipoProgramaPersonalTecnico=1,ROUND(Programa!F$29*'a)Plantilla'!$C36,RedondeoPersonalTecnico),IF(TipoProgramaPersonalTecnico=2,ROUND(Programa!D$29*'a)Plantilla'!$C36,RedondeoPersonalTecnico),ROUND(Programa!D$29*Hjor*'a)Plantilla'!$C36,RedondeoPersonalTecnico))),0)</f>
        <v>0</v>
      </c>
      <c r="V71" s="6">
        <f>IF(Programa!D$30&gt;0,IF(TipoProgramaPersonalTecnico=1,ROUND(Programa!F$30*'a)Plantilla'!$C36,RedondeoPersonalTecnico),IF(TipoProgramaPersonalTecnico=2,ROUND(Programa!D$30*'a)Plantilla'!$C36,RedondeoPersonalTecnico),ROUND(Programa!D$30*Hjor*'a)Plantilla'!$C36,RedondeoPersonalTecnico))),0)</f>
        <v>0</v>
      </c>
      <c r="W71" s="6">
        <f>IF(Programa!D$31&gt;0,IF(TipoProgramaPersonalTecnico=1,ROUND(Programa!F$31*'a)Plantilla'!$C36,RedondeoPersonalTecnico),IF(TipoProgramaPersonalTecnico=2,ROUND(Programa!D$31*'a)Plantilla'!$C36,RedondeoPersonalTecnico),ROUND(Programa!D$31*Hjor*'a)Plantilla'!$C36,RedondeoPersonalTecnico))),0)</f>
        <v>0</v>
      </c>
      <c r="X71" s="6">
        <f>IF(Programa!D$32&gt;0,IF(TipoProgramaPersonalTecnico=1,ROUND(Programa!F$32*'a)Plantilla'!$C36,RedondeoPersonalTecnico),IF(TipoProgramaPersonalTecnico=2,ROUND(Programa!D$32*'a)Plantilla'!$C36,RedondeoPersonalTecnico),ROUND(Programa!D$32*Hjor*'a)Plantilla'!$C36,RedondeoPersonalTecnico))),0)</f>
        <v>0</v>
      </c>
      <c r="Y71" s="6">
        <f>IF(Programa!D$33&gt;0,IF(TipoProgramaPersonalTecnico=1,ROUND(Programa!F$33*'a)Plantilla'!$C36,RedondeoPersonalTecnico),IF(TipoProgramaPersonalTecnico=2,ROUND(Programa!D$33*'a)Plantilla'!$C36,RedondeoPersonalTecnico),ROUND(Programa!D$33*Hjor*'a)Plantilla'!$C36,RedondeoPersonalTecnico))),0)</f>
        <v>0</v>
      </c>
      <c r="Z71" s="6">
        <f>IF(Programa!D$34&gt;0,IF(TipoProgramaPersonalTecnico=1,ROUND(Programa!F$34*'a)Plantilla'!$C36,RedondeoPersonalTecnico),IF(TipoProgramaPersonalTecnico=2,ROUND(Programa!D$34*'a)Plantilla'!$C36,RedondeoPersonalTecnico),ROUND(Programa!D$34*Hjor*'a)Plantilla'!$C36,RedondeoPersonalTecnico))),0)</f>
        <v>0</v>
      </c>
      <c r="AA71" s="6">
        <f>IF(Programa!D$35&gt;0,IF(TipoProgramaPersonalTecnico=1,ROUND(Programa!F$35*'a)Plantilla'!$C36,RedondeoPersonalTecnico),IF(TipoProgramaPersonalTecnico=2,ROUND(Programa!D$35*'a)Plantilla'!$C36,RedondeoPersonalTecnico),ROUND(Programa!D$35*Hjor*'a)Plantilla'!$C36,RedondeoPersonalTecnico))),0)</f>
        <v>0</v>
      </c>
      <c r="AB71" s="78">
        <f>IF(Programa!D$36&gt;0,IF(TipoProgramaPersonalTecnico=1,ROUND(Programa!F$36*'a)Plantilla'!$C36,RedondeoPersonalTecnico),IF(TipoProgramaPersonalTecnico=2,ROUND(Programa!D$36*'a)Plantilla'!$C36,RedondeoPersonalTecnico),ROUND(Programa!D$36*Hjor*'a)Plantilla'!$C36,RedondeoPersonalTecnico))),0)</f>
        <v>0</v>
      </c>
      <c r="AC71" s="27">
        <f>IF(Programa!D$37&gt;0,IF(TipoProgramaPersonalTecnico=1,ROUND(Programa!F$37*'a)Plantilla'!$C36,RedondeoPersonalTecnico),IF(TipoProgramaPersonalTecnico=2,ROUND(Programa!D$37*'a)Plantilla'!$C36,RedondeoPersonalTecnico),ROUND(Programa!D$37*Hjor*'a)Plantilla'!$C36,RedondeoPersonalTecnico))),0)</f>
        <v>0</v>
      </c>
      <c r="AD71" s="6">
        <f>IF(Programa!D$38&gt;0,IF(TipoProgramaPersonalTecnico=1,ROUND(Programa!F$38*'a)Plantilla'!$C36,RedondeoPersonalTecnico),IF(TipoProgramaPersonalTecnico=2,ROUND(Programa!D$38*'a)Plantilla'!$C36,RedondeoPersonalTecnico),ROUND(Programa!D$38*Hjor*'a)Plantilla'!$C36,RedondeoPersonalTecnico))),0)</f>
        <v>0</v>
      </c>
      <c r="AE71" s="6">
        <f>IF(Programa!D$39&gt;0,IF(TipoProgramaPersonalTecnico=1,ROUND(Programa!F$39*'a)Plantilla'!$C36,RedondeoPersonalTecnico),IF(TipoProgramaPersonalTecnico=2,ROUND(Programa!D$39*'a)Plantilla'!$C36,RedondeoPersonalTecnico),ROUND(Programa!D$39*Hjor*'a)Plantilla'!$C36,RedondeoPersonalTecnico))),0)</f>
        <v>0</v>
      </c>
      <c r="AF71" s="6">
        <f>IF(Programa!D$40&gt;0,IF(TipoProgramaPersonalTecnico=1,ROUND(Programa!F$40*'a)Plantilla'!$C36,RedondeoPersonalTecnico),IF(TipoProgramaPersonalTecnico=2,ROUND(Programa!D$40*'a)Plantilla'!$C36,RedondeoPersonalTecnico),ROUND(Programa!D$40*Hjor*'a)Plantilla'!$C36,RedondeoPersonalTecnico))),0)</f>
        <v>0</v>
      </c>
      <c r="AG71" s="6">
        <f>IF(Programa!D$41&gt;0,IF(TipoProgramaPersonalTecnico=1,ROUND(Programa!F$41*'a)Plantilla'!$C36,RedondeoPersonalTecnico),IF(TipoProgramaPersonalTecnico=2,ROUND(Programa!D$41*'a)Plantilla'!$C36,RedondeoPersonalTecnico),ROUND(Programa!D$41*Hjor*'a)Plantilla'!$C36,RedondeoPersonalTecnico))),0)</f>
        <v>0</v>
      </c>
      <c r="AH71" s="6">
        <f>IF(Programa!D$42&gt;0,IF(TipoProgramaPersonalTecnico=1,ROUND(Programa!F$42*'a)Plantilla'!$C36,RedondeoPersonalTecnico),IF(TipoProgramaPersonalTecnico=2,ROUND(Programa!D$42*'a)Plantilla'!$C36,RedondeoPersonalTecnico),ROUND(Programa!D$42*Hjor*'a)Plantilla'!$C36,RedondeoPersonalTecnico))),0)</f>
        <v>0</v>
      </c>
      <c r="AI71" s="6">
        <f>IF(Programa!D$43&gt;0,IF(TipoProgramaPersonalTecnico=1,ROUND(Programa!F$43*'a)Plantilla'!$C36,RedondeoPersonalTecnico),IF(TipoProgramaPersonalTecnico=2,ROUND(Programa!D$43*'a)Plantilla'!$C36,RedondeoPersonalTecnico),ROUND(Programa!D$43*Hjor*'a)Plantilla'!$C36,RedondeoPersonalTecnico))),0)</f>
        <v>0</v>
      </c>
      <c r="AJ71" s="6">
        <f>IF(Programa!D$44&gt;0,IF(TipoProgramaPersonalTecnico=1,ROUND(Programa!F$44*'a)Plantilla'!$C36,RedondeoPersonalTecnico),IF(TipoProgramaPersonalTecnico=2,ROUND(Programa!D$44*'a)Plantilla'!$C36,RedondeoPersonalTecnico),ROUND(Programa!D$44*Hjor*'a)Plantilla'!$C36,RedondeoPersonalTecnico))),0)</f>
        <v>0</v>
      </c>
      <c r="AK71" s="6">
        <f>IF(Programa!D$45&gt;0,IF(TipoProgramaPersonalTecnico=1,ROUND(Programa!F$45*'a)Plantilla'!$C36,RedondeoPersonalTecnico),IF(TipoProgramaPersonalTecnico=2,ROUND(Programa!D$45*'a)Plantilla'!$C36,RedondeoPersonalTecnico),ROUND(Programa!D$45*Hjor*'a)Plantilla'!$C36,RedondeoPersonalTecnico))),0)</f>
        <v>0</v>
      </c>
      <c r="AL71" s="6">
        <f>IF(Programa!D$46&gt;0,IF(TipoProgramaPersonalTecnico=1,ROUND(Programa!F$46*'a)Plantilla'!$C36,RedondeoPersonalTecnico),IF(TipoProgramaPersonalTecnico=2,ROUND(Programa!D$46*'a)Plantilla'!$C36,RedondeoPersonalTecnico),ROUND(Programa!D$46*Hjor*'a)Plantilla'!$C36,RedondeoPersonalTecnico))),0)</f>
        <v>0</v>
      </c>
      <c r="AM71" s="6">
        <f>IF(Programa!D$47&gt;0,IF(TipoProgramaPersonalTecnico=1,ROUND(Programa!F$47*'a)Plantilla'!$C36,RedondeoPersonalTecnico),IF(TipoProgramaPersonalTecnico=2,ROUND(Programa!D$47*'a)Plantilla'!$C36,RedondeoPersonalTecnico),ROUND(Programa!D$47*Hjor*'a)Plantilla'!$C36,RedondeoPersonalTecnico))),0)</f>
        <v>0</v>
      </c>
      <c r="AN71" s="78">
        <f>IF(Programa!D$48&gt;0,IF(TipoProgramaPersonalTecnico=1,ROUND(Programa!F$48*'a)Plantilla'!$C36,RedondeoPersonalTecnico),IF(TipoProgramaPersonalTecnico=2,ROUND(Programa!D$48*'a)Plantilla'!$C36,RedondeoPersonalTecnico),ROUND(Programa!D$48*Hjor*'a)Plantilla'!$C36,RedondeoPersonalTecnico))),0)</f>
        <v>0</v>
      </c>
      <c r="AO71" s="27">
        <f>IF(Programa!D$49&gt;0,IF(TipoProgramaPersonalTecnico=1,ROUND(Programa!F$49*'a)Plantilla'!$C36,RedondeoPersonalTecnico),IF(TipoProgramaPersonalTecnico=2,ROUND(Programa!D$49*'a)Plantilla'!$C36,RedondeoPersonalTecnico),ROUND(Programa!D$49*Hjor*'a)Plantilla'!$C36,RedondeoPersonalTecnico))),0)</f>
        <v>0</v>
      </c>
      <c r="AP71" s="6">
        <f>IF(Programa!D$50&gt;0,IF(TipoProgramaPersonalTecnico=1,ROUND(Programa!F$50*'a)Plantilla'!$C36,RedondeoPersonalTecnico),IF(TipoProgramaPersonalTecnico=2,ROUND(Programa!D$50*'a)Plantilla'!$C36,RedondeoPersonalTecnico),ROUND(Programa!D$50*Hjor*'a)Plantilla'!$C36,RedondeoPersonalTecnico))),0)</f>
        <v>0</v>
      </c>
      <c r="AQ71" s="6">
        <f>IF(Programa!D$51&gt;0,IF(TipoProgramaPersonalTecnico=1,ROUND(Programa!F$51*'a)Plantilla'!$C36,RedondeoPersonalTecnico),IF(TipoProgramaPersonalTecnico=2,ROUND(Programa!D$51*'a)Plantilla'!$C36,RedondeoPersonalTecnico),ROUND(Programa!D$51*Hjor*'a)Plantilla'!$C36,RedondeoPersonalTecnico))),0)</f>
        <v>0</v>
      </c>
      <c r="AR71" s="6">
        <f>IF(Programa!D$52&gt;0,IF(TipoProgramaPersonalTecnico=1,ROUND(Programa!F$52*'a)Plantilla'!$C36,RedondeoPersonalTecnico),IF(TipoProgramaPersonalTecnico=2,ROUND(Programa!D$52*'a)Plantilla'!$C36,RedondeoPersonalTecnico),ROUND(Programa!D$52*Hjor*'a)Plantilla'!$C36,RedondeoPersonalTecnico))),0)</f>
        <v>0</v>
      </c>
      <c r="AS71" s="6">
        <f>IF(Programa!D$53&gt;0,IF(TipoProgramaPersonalTecnico=1,ROUND(Programa!F$53*'a)Plantilla'!$C36,RedondeoPersonalTecnico),IF(TipoProgramaPersonalTecnico=2,ROUND(Programa!D$53*'a)Plantilla'!$C36,RedondeoPersonalTecnico),ROUND(Programa!D$53*Hjor*'a)Plantilla'!$C36,RedondeoPersonalTecnico))),0)</f>
        <v>0</v>
      </c>
      <c r="AT71" s="6">
        <f>IF(Programa!D$54&gt;0,IF(TipoProgramaPersonalTecnico=1,ROUND(Programa!F$54*'a)Plantilla'!$C36,RedondeoPersonalTecnico),IF(TipoProgramaPersonalTecnico=2,ROUND(Programa!D$54*'a)Plantilla'!$C36,RedondeoPersonalTecnico),ROUND(Programa!D$54*Hjor*'a)Plantilla'!$C36,RedondeoPersonalTecnico))),0)</f>
        <v>0</v>
      </c>
      <c r="AU71" s="6">
        <f>IF(Programa!D$55&gt;0,IF(TipoProgramaPersonalTecnico=1,ROUND(Programa!F$55*'a)Plantilla'!$C36,RedondeoPersonalTecnico),IF(TipoProgramaPersonalTecnico=2,ROUND(Programa!D$55*'a)Plantilla'!$C36,RedondeoPersonalTecnico),ROUND(Programa!D$55*Hjor*'a)Plantilla'!$C36,RedondeoPersonalTecnico))),0)</f>
        <v>0</v>
      </c>
      <c r="AV71" s="6">
        <f>IF(Programa!D$56&gt;0,IF(TipoProgramaPersonalTecnico=1,ROUND(Programa!F$56*'a)Plantilla'!$C36,RedondeoPersonalTecnico),IF(TipoProgramaPersonalTecnico=2,ROUND(Programa!D$56*'a)Plantilla'!$C36,RedondeoPersonalTecnico),ROUND(Programa!D$56*Hjor*'a)Plantilla'!$C36,RedondeoPersonalTecnico))),0)</f>
        <v>0</v>
      </c>
      <c r="AW71" s="6">
        <f>IF(Programa!D$57&gt;0,IF(TipoProgramaPersonalTecnico=1,ROUND(Programa!F$57*'a)Plantilla'!$C36,RedondeoPersonalTecnico),IF(TipoProgramaPersonalTecnico=2,ROUND(Programa!D$57*'a)Plantilla'!$C36,RedondeoPersonalTecnico),ROUND(Programa!D$57*Hjor*'a)Plantilla'!$C36,RedondeoPersonalTecnico))),0)</f>
        <v>0</v>
      </c>
      <c r="AX71" s="6">
        <f>IF(Programa!D$58&gt;0,IF(TipoProgramaPersonalTecnico=1,ROUND(Programa!F$58*'a)Plantilla'!$C36,RedondeoPersonalTecnico),IF(TipoProgramaPersonalTecnico=2,ROUND(Programa!D$58*'a)Plantilla'!$C36,RedondeoPersonalTecnico),ROUND(Programa!D$58*Hjor*'a)Plantilla'!$C36,RedondeoPersonalTecnico))),0)</f>
        <v>0</v>
      </c>
      <c r="AY71" s="6">
        <f>IF(Programa!D$59&gt;0,IF(TipoProgramaPersonalTecnico=1,ROUND(Programa!F$59*'a)Plantilla'!$C36,RedondeoPersonalTecnico),IF(TipoProgramaPersonalTecnico=2,ROUND(Programa!D$59*'a)Plantilla'!$C36,RedondeoPersonalTecnico),ROUND(Programa!D$59*Hjor*'a)Plantilla'!$C36,RedondeoPersonalTecnico))),0)</f>
        <v>0</v>
      </c>
      <c r="AZ71" s="6">
        <f>IF(Programa!D$60&gt;0,IF(TipoProgramaPersonalTecnico=1,ROUND(Programa!F$60*'a)Plantilla'!$C36,RedondeoPersonalTecnico),IF(TipoProgramaPersonalTecnico=2,ROUND(Programa!D$60*'a)Plantilla'!$C36,RedondeoPersonalTecnico),ROUND(Programa!D$60*Hjor*'a)Plantilla'!$C36,RedondeoPersonalTecnico))),0)</f>
        <v>0</v>
      </c>
      <c r="BA71" s="6">
        <f>IF(Programa!D$61&gt;0,IF(TipoProgramaPersonalTecnico=1,ROUND(Programa!F$61*'a)Plantilla'!$C36,RedondeoPersonalTecnico),IF(TipoProgramaPersonalTecnico=2,ROUND(Programa!D$61*'a)Plantilla'!$C36,RedondeoPersonalTecnico),ROUND(Programa!D$61*Hjor*'a)Plantilla'!$C36,RedondeoPersonalTecnico))),0)</f>
        <v>0</v>
      </c>
      <c r="BB71" s="6">
        <f>IF(Programa!D$62&gt;0,IF(TipoProgramaPersonalTecnico=1,ROUND(Programa!F$62*'a)Plantilla'!$C36,RedondeoPersonalTecnico),IF(TipoProgramaPersonalTecnico=2,ROUND(Programa!D$62*'a)Plantilla'!$C36,RedondeoPersonalTecnico),ROUND(Programa!D$62*Hjor*'a)Plantilla'!$C36,RedondeoPersonalTecnico))),0)</f>
        <v>0</v>
      </c>
      <c r="BC71" s="6">
        <f>IF(Programa!D$63&gt;0,IF(TipoProgramaPersonalTecnico=1,ROUND(Programa!F$63*'a)Plantilla'!$C36,RedondeoPersonalTecnico),IF(TipoProgramaPersonalTecnico=2,ROUND(Programa!D$63*'a)Plantilla'!$C36,RedondeoPersonalTecnico),ROUND(Programa!D$63*Hjor*'a)Plantilla'!$C36,RedondeoPersonalTecnico))),0)</f>
        <v>0</v>
      </c>
      <c r="BD71" s="6">
        <f>IF(Programa!D$64&gt;0,IF(TipoProgramaPersonalTecnico=1,ROUND(Programa!F$64*'a)Plantilla'!$C36,RedondeoPersonalTecnico),IF(TipoProgramaPersonalTecnico=2,ROUND(Programa!D$64*'a)Plantilla'!$C36,RedondeoPersonalTecnico),ROUND(Programa!D$64*Hjor*'a)Plantilla'!$C36,RedondeoPersonalTecnico))),0)</f>
        <v>0</v>
      </c>
      <c r="BE71" s="6">
        <f>IF(Programa!D$65&gt;0,IF(TipoProgramaPersonalTecnico=1,ROUND(Programa!F$65*'a)Plantilla'!$C36,RedondeoPersonalTecnico),IF(TipoProgramaPersonalTecnico=2,ROUND(Programa!D$65*'a)Plantilla'!$C36,RedondeoPersonalTecnico),ROUND(Programa!D$65*Hjor*'a)Plantilla'!$C36,RedondeoPersonalTecnico))),0)</f>
        <v>0</v>
      </c>
      <c r="BF71" s="6">
        <f>IF(Programa!D$66&gt;0,IF(TipoProgramaPersonalTecnico=1,ROUND(Programa!F$66*'a)Plantilla'!$C36,RedondeoPersonalTecnico),IF(TipoProgramaPersonalTecnico=2,ROUND(Programa!D$66*'a)Plantilla'!$C36,RedondeoPersonalTecnico),ROUND(Programa!D$66*Hjor*'a)Plantilla'!$C36,RedondeoPersonalTecnico))),0)</f>
        <v>0</v>
      </c>
      <c r="BG71" s="6">
        <f>IF(Programa!D$67&gt;0,IF(TipoProgramaPersonalTecnico=1,ROUND(Programa!F$67*'a)Plantilla'!$C36,RedondeoPersonalTecnico),IF(TipoProgramaPersonalTecnico=2,ROUND(Programa!D$67*'a)Plantilla'!$C36,RedondeoPersonalTecnico),ROUND(Programa!D$67*Hjor*'a)Plantilla'!$C36,RedondeoPersonalTecnico))),0)</f>
        <v>0</v>
      </c>
      <c r="BH71" s="6">
        <f>IF(Programa!D$68&gt;0,IF(TipoProgramaPersonalTecnico=1,ROUND(Programa!F$68*'a)Plantilla'!$C36,RedondeoPersonalTecnico),IF(TipoProgramaPersonalTecnico=2,ROUND(Programa!D$68*'a)Plantilla'!$C36,RedondeoPersonalTecnico),ROUND(Programa!D$68*Hjor*'a)Plantilla'!$C36,RedondeoPersonalTecnico))),0)</f>
        <v>0</v>
      </c>
      <c r="BI71" s="6">
        <f>IF(Programa!D$69&gt;0,IF(TipoProgramaPersonalTecnico=1,ROUND(Programa!F$69*'a)Plantilla'!$C36,RedondeoPersonalTecnico),IF(TipoProgramaPersonalTecnico=2,ROUND(Programa!D$69*'a)Plantilla'!$C36,RedondeoPersonalTecnico),ROUND(Programa!D$69*Hjor*'a)Plantilla'!$C36,RedondeoPersonalTecnico))),0)</f>
        <v>0</v>
      </c>
      <c r="BJ71" s="6">
        <f>IF(Programa!D$70&gt;0,IF(TipoProgramaPersonalTecnico=1,ROUND(Programa!F$70*'a)Plantilla'!$C36,RedondeoPersonalTecnico),IF(TipoProgramaPersonalTecnico=2,ROUND(Programa!D$70*'a)Plantilla'!$C36,RedondeoPersonalTecnico),ROUND(Programa!D$70*Hjor*'a)Plantilla'!$C36,RedondeoPersonalTecnico))),0)</f>
        <v>0</v>
      </c>
      <c r="BK71" s="6">
        <f>IF(Programa!D$71&gt;0,IF(TipoProgramaPersonalTecnico=1,ROUND(Programa!F$71*'a)Plantilla'!$C36,RedondeoPersonalTecnico),IF(TipoProgramaPersonalTecnico=2,ROUND(Programa!D$71*'a)Plantilla'!$C36,RedondeoPersonalTecnico),ROUND(Programa!D$71*Hjor*'a)Plantilla'!$C36,RedondeoPersonalTecnico))),0)</f>
        <v>0</v>
      </c>
      <c r="BL71" s="78">
        <f>IF(Programa!D$72&gt;0,IF(TipoProgramaPersonalTecnico=1,ROUND(Programa!F$72*'a)Plantilla'!$C36,RedondeoPersonalTecnico),IF(TipoProgramaPersonalTecnico=2,ROUND(Programa!D$72*'a)Plantilla'!$C36,RedondeoPersonalTecnico),ROUND(Programa!D$72*Hjor*'a)Plantilla'!$C36,RedondeoPersonalTecnico))),0)</f>
        <v>0</v>
      </c>
    </row>
    <row r="72" spans="1:64" ht="8.1" customHeight="1">
      <c r="A72" s="133"/>
      <c r="B72" s="46"/>
      <c r="C72" s="31"/>
      <c r="D72" s="22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78"/>
      <c r="Q72" s="27"/>
      <c r="R72" s="6"/>
      <c r="S72" s="6"/>
      <c r="T72" s="6"/>
      <c r="U72" s="6"/>
      <c r="V72" s="6"/>
      <c r="W72" s="6"/>
      <c r="X72" s="6"/>
      <c r="Y72" s="6"/>
      <c r="Z72" s="6"/>
      <c r="AA72" s="6"/>
      <c r="AB72" s="78"/>
      <c r="AC72" s="27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78"/>
      <c r="AO72" s="27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78"/>
    </row>
    <row r="73" spans="1:64" ht="12.75" customHeight="1">
      <c r="A73" s="133" t="s">
        <v>168</v>
      </c>
      <c r="B73" s="136" t="str">
        <f>IF('a)Plantilla'!C37&gt;0,'a)Plantilla'!B37,"")</f>
        <v/>
      </c>
      <c r="C73" s="17" t="str">
        <f>IF('a)Plantilla'!C$37&gt;0,IF(TipoProgramaPersonalTecnico=1,"Personas",IF(TipoProgramaPersonalTecnico=2,"Jornal","horas-Hombre")),"")</f>
        <v/>
      </c>
      <c r="D73" s="226">
        <f>ROUND(SUM(E73:BL73),RedondeoPersonalTecnico)</f>
        <v>0</v>
      </c>
      <c r="E73" s="16">
        <f>IF(Programa!D$13&gt;0,IF(TipoProgramaPersonalTecnico=1,ROUND(Programa!F$13*'a)Plantilla'!$C37,RedondeoPersonalTecnico),IF(TipoProgramaPersonalTecnico=2,ROUND(Programa!D$13*'a)Plantilla'!$C37,RedondeoPersonalTecnico),ROUND(Programa!D$13*Hjor*'a)Plantilla'!$C37,RedondeoPersonalTecnico))),0)</f>
        <v>0</v>
      </c>
      <c r="F73" s="16">
        <f>IF(Programa!D$14&gt;0,IF(TipoProgramaPersonalTecnico=1,ROUND(Programa!F$14*'a)Plantilla'!$C37,RedondeoPersonalTecnico),IF(TipoProgramaPersonalTecnico=2,ROUND(Programa!D$14*'a)Plantilla'!$C37,RedondeoPersonalTecnico),ROUND(Programa!D$14*Hjor*'a)Plantilla'!$C37,RedondeoPersonalTecnico))),0)</f>
        <v>0</v>
      </c>
      <c r="G73" s="16">
        <f>IF(Programa!D$15&gt;0,IF(TipoProgramaPersonalTecnico=1,ROUND(Programa!F$15*'a)Plantilla'!$C37,RedondeoPersonalTecnico),IF(TipoProgramaPersonalTecnico=2,ROUND(Programa!D$15*'a)Plantilla'!$C37,RedondeoPersonalTecnico),ROUND(Programa!D$15*Hjor*'a)Plantilla'!$C37,RedondeoPersonalTecnico))),0)</f>
        <v>0</v>
      </c>
      <c r="H73" s="16">
        <f>IF(Programa!D$16&gt;0,IF(TipoProgramaPersonalTecnico=1,ROUND(Programa!F$16*'a)Plantilla'!$C37,RedondeoPersonalTecnico),IF(TipoProgramaPersonalTecnico=2,ROUND(Programa!D$16*'a)Plantilla'!$C37,RedondeoPersonalTecnico),ROUND(Programa!D$16*Hjor*'a)Plantilla'!$C37,RedondeoPersonalTecnico))),0)</f>
        <v>0</v>
      </c>
      <c r="I73" s="16">
        <f>IF(Programa!D$17&gt;0,IF(TipoProgramaPersonalTecnico=1,ROUND(Programa!F$17*'a)Plantilla'!$C37,RedondeoPersonalTecnico),IF(TipoProgramaPersonalTecnico=2,ROUND(Programa!D$17*'a)Plantilla'!$C37,RedondeoPersonalTecnico),ROUND(Programa!D$17*Hjor*'a)Plantilla'!$C37,RedondeoPersonalTecnico))),0)</f>
        <v>0</v>
      </c>
      <c r="J73" s="16">
        <f>IF(Programa!D$18&gt;0,IF(TipoProgramaPersonalTecnico=1,ROUND(Programa!F$18*'a)Plantilla'!$C37,RedondeoPersonalTecnico),IF(TipoProgramaPersonalTecnico=2,ROUND(Programa!D$18*'a)Plantilla'!$C37,RedondeoPersonalTecnico),ROUND(Programa!D$18*Hjor*'a)Plantilla'!$C37,RedondeoPersonalTecnico))),0)</f>
        <v>0</v>
      </c>
      <c r="K73" s="16">
        <f>IF(Programa!D$19&gt;0,IF(TipoProgramaPersonalTecnico=1,ROUND(Programa!F$19*'a)Plantilla'!$C37,RedondeoPersonalTecnico),IF(TipoProgramaPersonalTecnico=2,ROUND(Programa!D$19*'a)Plantilla'!$C37,RedondeoPersonalTecnico),ROUND(Programa!D$19*Hjor*'a)Plantilla'!$C37,RedondeoPersonalTecnico))),0)</f>
        <v>0</v>
      </c>
      <c r="L73" s="16">
        <f>IF(Programa!D$20&gt;0,IF(TipoProgramaPersonalTecnico=1,ROUND(Programa!F$20*'a)Plantilla'!$C37,RedondeoPersonalTecnico),IF(TipoProgramaPersonalTecnico=2,ROUND(Programa!D$20*'a)Plantilla'!$C37,RedondeoPersonalTecnico),ROUND(Programa!D$20*Hjor*'a)Plantilla'!$C37,RedondeoPersonalTecnico))),0)</f>
        <v>0</v>
      </c>
      <c r="M73" s="16">
        <f>IF(Programa!D$21&gt;0,IF(TipoProgramaPersonalTecnico=1,ROUND(Programa!F$21*'a)Plantilla'!$C37,RedondeoPersonalTecnico),IF(TipoProgramaPersonalTecnico=2,ROUND(Programa!D$21*'a)Plantilla'!$C37,RedondeoPersonalTecnico),ROUND(Programa!D$21*Hjor*'a)Plantilla'!$C37,RedondeoPersonalTecnico))),0)</f>
        <v>0</v>
      </c>
      <c r="N73" s="16">
        <f>IF(Programa!D$22&gt;0,IF(TipoProgramaPersonalTecnico=1,ROUND(Programa!F$22*'a)Plantilla'!$C37,RedondeoPersonalTecnico),IF(TipoProgramaPersonalTecnico=2,ROUND(Programa!D$22*'a)Plantilla'!$C37,RedondeoPersonalTecnico),ROUND(Programa!D$22*Hjor*'a)Plantilla'!$C37,RedondeoPersonalTecnico))),0)</f>
        <v>0</v>
      </c>
      <c r="O73" s="16">
        <f>IF(Programa!D$23&gt;0,IF(TipoProgramaPersonalTecnico=1,ROUND(Programa!F$23*'a)Plantilla'!$C37,RedondeoPersonalTecnico),IF(TipoProgramaPersonalTecnico=2,ROUND(Programa!D$23*'a)Plantilla'!$C37,RedondeoPersonalTecnico),ROUND(Programa!D$23*Hjor*'a)Plantilla'!$C37,RedondeoPersonalTecnico))),0)</f>
        <v>0</v>
      </c>
      <c r="P73" s="117">
        <f>IF(Programa!D$24&gt;0,IF(TipoProgramaPersonalTecnico=1,ROUND(Programa!F$24*'a)Plantilla'!$C37,RedondeoPersonalTecnico),IF(TipoProgramaPersonalTecnico=2,ROUND(Programa!D$24*'a)Plantilla'!$C37,RedondeoPersonalTecnico),ROUND(Programa!D$24*Hjor*'a)Plantilla'!$C37,RedondeoPersonalTecnico))),0)</f>
        <v>0</v>
      </c>
      <c r="Q73" s="36">
        <f>IF(Programa!D$25&gt;0,IF(TipoProgramaPersonalTecnico=1,ROUND(Programa!F$25*'a)Plantilla'!$C37,RedondeoPersonalTecnico),IF(TipoProgramaPersonalTecnico=2,ROUND(Programa!D$25*'a)Plantilla'!$C37,RedondeoPersonalTecnico),ROUND(Programa!D$25*Hjor*'a)Plantilla'!$C37,RedondeoPersonalTecnico))),0)</f>
        <v>0</v>
      </c>
      <c r="R73" s="16">
        <f>IF(Programa!D$26&gt;0,IF(TipoProgramaPersonalTecnico=1,ROUND(Programa!F$26*'a)Plantilla'!$C37,RedondeoPersonalTecnico),IF(TipoProgramaPersonalTecnico=2,ROUND(Programa!D$26*'a)Plantilla'!$C37,RedondeoPersonalTecnico),ROUND(Programa!D$26*Hjor*'a)Plantilla'!$C37,RedondeoPersonalTecnico))),0)</f>
        <v>0</v>
      </c>
      <c r="S73" s="16">
        <f>IF(Programa!D$27&gt;0,IF(TipoProgramaPersonalTecnico=1,ROUND(Programa!F$27*'a)Plantilla'!$C37,RedondeoPersonalTecnico),IF(TipoProgramaPersonalTecnico=2,ROUND(Programa!D$27*'a)Plantilla'!$C37,RedondeoPersonalTecnico),ROUND(Programa!D$27*Hjor*'a)Plantilla'!$C37,RedondeoPersonalTecnico))),0)</f>
        <v>0</v>
      </c>
      <c r="T73" s="16">
        <f>IF(Programa!D$28&gt;0,IF(TipoProgramaPersonalTecnico=1,ROUND(Programa!F$28*'a)Plantilla'!$C37,RedondeoPersonalTecnico),IF(TipoProgramaPersonalTecnico=2,ROUND(Programa!D$28*'a)Plantilla'!$C37,RedondeoPersonalTecnico),ROUND(Programa!D$28*Hjor*'a)Plantilla'!$C37,RedondeoPersonalTecnico))),0)</f>
        <v>0</v>
      </c>
      <c r="U73" s="16">
        <f>IF(Programa!D$29&gt;0,IF(TipoProgramaPersonalTecnico=1,ROUND(Programa!F$29*'a)Plantilla'!$C37,RedondeoPersonalTecnico),IF(TipoProgramaPersonalTecnico=2,ROUND(Programa!D$29*'a)Plantilla'!$C37,RedondeoPersonalTecnico),ROUND(Programa!D$29*Hjor*'a)Plantilla'!$C37,RedondeoPersonalTecnico))),0)</f>
        <v>0</v>
      </c>
      <c r="V73" s="16">
        <f>IF(Programa!D$30&gt;0,IF(TipoProgramaPersonalTecnico=1,ROUND(Programa!F$30*'a)Plantilla'!$C37,RedondeoPersonalTecnico),IF(TipoProgramaPersonalTecnico=2,ROUND(Programa!D$30*'a)Plantilla'!$C37,RedondeoPersonalTecnico),ROUND(Programa!D$30*Hjor*'a)Plantilla'!$C37,RedondeoPersonalTecnico))),0)</f>
        <v>0</v>
      </c>
      <c r="W73" s="16">
        <f>IF(Programa!D$31&gt;0,IF(TipoProgramaPersonalTecnico=1,ROUND(Programa!F$31*'a)Plantilla'!$C37,RedondeoPersonalTecnico),IF(TipoProgramaPersonalTecnico=2,ROUND(Programa!D$31*'a)Plantilla'!$C37,RedondeoPersonalTecnico),ROUND(Programa!D$31*Hjor*'a)Plantilla'!$C37,RedondeoPersonalTecnico))),0)</f>
        <v>0</v>
      </c>
      <c r="X73" s="16">
        <f>IF(Programa!D$32&gt;0,IF(TipoProgramaPersonalTecnico=1,ROUND(Programa!F$32*'a)Plantilla'!$C37,RedondeoPersonalTecnico),IF(TipoProgramaPersonalTecnico=2,ROUND(Programa!D$32*'a)Plantilla'!$C37,RedondeoPersonalTecnico),ROUND(Programa!D$32*Hjor*'a)Plantilla'!$C37,RedondeoPersonalTecnico))),0)</f>
        <v>0</v>
      </c>
      <c r="Y73" s="16">
        <f>IF(Programa!D$33&gt;0,IF(TipoProgramaPersonalTecnico=1,ROUND(Programa!F$33*'a)Plantilla'!$C37,RedondeoPersonalTecnico),IF(TipoProgramaPersonalTecnico=2,ROUND(Programa!D$33*'a)Plantilla'!$C37,RedondeoPersonalTecnico),ROUND(Programa!D$33*Hjor*'a)Plantilla'!$C37,RedondeoPersonalTecnico))),0)</f>
        <v>0</v>
      </c>
      <c r="Z73" s="16">
        <f>IF(Programa!D$34&gt;0,IF(TipoProgramaPersonalTecnico=1,ROUND(Programa!F$34*'a)Plantilla'!$C37,RedondeoPersonalTecnico),IF(TipoProgramaPersonalTecnico=2,ROUND(Programa!D$34*'a)Plantilla'!$C37,RedondeoPersonalTecnico),ROUND(Programa!D$34*Hjor*'a)Plantilla'!$C37,RedondeoPersonalTecnico))),0)</f>
        <v>0</v>
      </c>
      <c r="AA73" s="16">
        <f>IF(Programa!D$35&gt;0,IF(TipoProgramaPersonalTecnico=1,ROUND(Programa!F$35*'a)Plantilla'!$C37,RedondeoPersonalTecnico),IF(TipoProgramaPersonalTecnico=2,ROUND(Programa!D$35*'a)Plantilla'!$C37,RedondeoPersonalTecnico),ROUND(Programa!D$35*Hjor*'a)Plantilla'!$C37,RedondeoPersonalTecnico))),0)</f>
        <v>0</v>
      </c>
      <c r="AB73" s="117">
        <f>IF(Programa!D$36&gt;0,IF(TipoProgramaPersonalTecnico=1,ROUND(Programa!F$36*'a)Plantilla'!$C37,RedondeoPersonalTecnico),IF(TipoProgramaPersonalTecnico=2,ROUND(Programa!D$36*'a)Plantilla'!$C37,RedondeoPersonalTecnico),ROUND(Programa!D$36*Hjor*'a)Plantilla'!$C37,RedondeoPersonalTecnico))),0)</f>
        <v>0</v>
      </c>
      <c r="AC73" s="36">
        <f>IF(Programa!D$37&gt;0,IF(TipoProgramaPersonalTecnico=1,ROUND(Programa!F$37*'a)Plantilla'!$C37,RedondeoPersonalTecnico),IF(TipoProgramaPersonalTecnico=2,ROUND(Programa!D$37*'a)Plantilla'!$C37,RedondeoPersonalTecnico),ROUND(Programa!D$37*Hjor*'a)Plantilla'!$C37,RedondeoPersonalTecnico))),0)</f>
        <v>0</v>
      </c>
      <c r="AD73" s="16">
        <f>IF(Programa!D$38&gt;0,IF(TipoProgramaPersonalTecnico=1,ROUND(Programa!F$38*'a)Plantilla'!$C37,RedondeoPersonalTecnico),IF(TipoProgramaPersonalTecnico=2,ROUND(Programa!D$38*'a)Plantilla'!$C37,RedondeoPersonalTecnico),ROUND(Programa!D$38*Hjor*'a)Plantilla'!$C37,RedondeoPersonalTecnico))),0)</f>
        <v>0</v>
      </c>
      <c r="AE73" s="16">
        <f>IF(Programa!D$39&gt;0,IF(TipoProgramaPersonalTecnico=1,ROUND(Programa!F$39*'a)Plantilla'!$C37,RedondeoPersonalTecnico),IF(TipoProgramaPersonalTecnico=2,ROUND(Programa!D$39*'a)Plantilla'!$C37,RedondeoPersonalTecnico),ROUND(Programa!D$39*Hjor*'a)Plantilla'!$C37,RedondeoPersonalTecnico))),0)</f>
        <v>0</v>
      </c>
      <c r="AF73" s="16">
        <f>IF(Programa!D$40&gt;0,IF(TipoProgramaPersonalTecnico=1,ROUND(Programa!F$40*'a)Plantilla'!$C37,RedondeoPersonalTecnico),IF(TipoProgramaPersonalTecnico=2,ROUND(Programa!D$40*'a)Plantilla'!$C37,RedondeoPersonalTecnico),ROUND(Programa!D$40*Hjor*'a)Plantilla'!$C37,RedondeoPersonalTecnico))),0)</f>
        <v>0</v>
      </c>
      <c r="AG73" s="16">
        <f>IF(Programa!D$41&gt;0,IF(TipoProgramaPersonalTecnico=1,ROUND(Programa!F$41*'a)Plantilla'!$C37,RedondeoPersonalTecnico),IF(TipoProgramaPersonalTecnico=2,ROUND(Programa!D$41*'a)Plantilla'!$C37,RedondeoPersonalTecnico),ROUND(Programa!D$41*Hjor*'a)Plantilla'!$C37,RedondeoPersonalTecnico))),0)</f>
        <v>0</v>
      </c>
      <c r="AH73" s="16">
        <f>IF(Programa!D$42&gt;0,IF(TipoProgramaPersonalTecnico=1,ROUND(Programa!F$42*'a)Plantilla'!$C37,RedondeoPersonalTecnico),IF(TipoProgramaPersonalTecnico=2,ROUND(Programa!D$42*'a)Plantilla'!$C37,RedondeoPersonalTecnico),ROUND(Programa!D$42*Hjor*'a)Plantilla'!$C37,RedondeoPersonalTecnico))),0)</f>
        <v>0</v>
      </c>
      <c r="AI73" s="16">
        <f>IF(Programa!D$43&gt;0,IF(TipoProgramaPersonalTecnico=1,ROUND(Programa!F$43*'a)Plantilla'!$C37,RedondeoPersonalTecnico),IF(TipoProgramaPersonalTecnico=2,ROUND(Programa!D$43*'a)Plantilla'!$C37,RedondeoPersonalTecnico),ROUND(Programa!D$43*Hjor*'a)Plantilla'!$C37,RedondeoPersonalTecnico))),0)</f>
        <v>0</v>
      </c>
      <c r="AJ73" s="16">
        <f>IF(Programa!D$44&gt;0,IF(TipoProgramaPersonalTecnico=1,ROUND(Programa!F$44*'a)Plantilla'!$C37,RedondeoPersonalTecnico),IF(TipoProgramaPersonalTecnico=2,ROUND(Programa!D$44*'a)Plantilla'!$C37,RedondeoPersonalTecnico),ROUND(Programa!D$44*Hjor*'a)Plantilla'!$C37,RedondeoPersonalTecnico))),0)</f>
        <v>0</v>
      </c>
      <c r="AK73" s="16">
        <f>IF(Programa!D$45&gt;0,IF(TipoProgramaPersonalTecnico=1,ROUND(Programa!F$45*'a)Plantilla'!$C37,RedondeoPersonalTecnico),IF(TipoProgramaPersonalTecnico=2,ROUND(Programa!D$45*'a)Plantilla'!$C37,RedondeoPersonalTecnico),ROUND(Programa!D$45*Hjor*'a)Plantilla'!$C37,RedondeoPersonalTecnico))),0)</f>
        <v>0</v>
      </c>
      <c r="AL73" s="16">
        <f>IF(Programa!D$46&gt;0,IF(TipoProgramaPersonalTecnico=1,ROUND(Programa!F$46*'a)Plantilla'!$C37,RedondeoPersonalTecnico),IF(TipoProgramaPersonalTecnico=2,ROUND(Programa!D$46*'a)Plantilla'!$C37,RedondeoPersonalTecnico),ROUND(Programa!D$46*Hjor*'a)Plantilla'!$C37,RedondeoPersonalTecnico))),0)</f>
        <v>0</v>
      </c>
      <c r="AM73" s="16">
        <f>IF(Programa!D$47&gt;0,IF(TipoProgramaPersonalTecnico=1,ROUND(Programa!F$47*'a)Plantilla'!$C37,RedondeoPersonalTecnico),IF(TipoProgramaPersonalTecnico=2,ROUND(Programa!D$47*'a)Plantilla'!$C37,RedondeoPersonalTecnico),ROUND(Programa!D$47*Hjor*'a)Plantilla'!$C37,RedondeoPersonalTecnico))),0)</f>
        <v>0</v>
      </c>
      <c r="AN73" s="117">
        <f>IF(Programa!D$48&gt;0,IF(TipoProgramaPersonalTecnico=1,ROUND(Programa!F$48*'a)Plantilla'!$C37,RedondeoPersonalTecnico),IF(TipoProgramaPersonalTecnico=2,ROUND(Programa!D$48*'a)Plantilla'!$C37,RedondeoPersonalTecnico),ROUND(Programa!D$48*Hjor*'a)Plantilla'!$C37,RedondeoPersonalTecnico))),0)</f>
        <v>0</v>
      </c>
      <c r="AO73" s="36">
        <f>IF(Programa!D$49&gt;0,IF(TipoProgramaPersonalTecnico=1,ROUND(Programa!F$49*'a)Plantilla'!$C37,RedondeoPersonalTecnico),IF(TipoProgramaPersonalTecnico=2,ROUND(Programa!D$49*'a)Plantilla'!$C37,RedondeoPersonalTecnico),ROUND(Programa!D$49*Hjor*'a)Plantilla'!$C37,RedondeoPersonalTecnico))),0)</f>
        <v>0</v>
      </c>
      <c r="AP73" s="16">
        <f>IF(Programa!D$50&gt;0,IF(TipoProgramaPersonalTecnico=1,ROUND(Programa!F$50*'a)Plantilla'!$C37,RedondeoPersonalTecnico),IF(TipoProgramaPersonalTecnico=2,ROUND(Programa!D$50*'a)Plantilla'!$C37,RedondeoPersonalTecnico),ROUND(Programa!D$50*Hjor*'a)Plantilla'!$C37,RedondeoPersonalTecnico))),0)</f>
        <v>0</v>
      </c>
      <c r="AQ73" s="16">
        <f>IF(Programa!D$51&gt;0,IF(TipoProgramaPersonalTecnico=1,ROUND(Programa!F$51*'a)Plantilla'!$C37,RedondeoPersonalTecnico),IF(TipoProgramaPersonalTecnico=2,ROUND(Programa!D$51*'a)Plantilla'!$C37,RedondeoPersonalTecnico),ROUND(Programa!D$51*Hjor*'a)Plantilla'!$C37,RedondeoPersonalTecnico))),0)</f>
        <v>0</v>
      </c>
      <c r="AR73" s="16">
        <f>IF(Programa!D$52&gt;0,IF(TipoProgramaPersonalTecnico=1,ROUND(Programa!F$52*'a)Plantilla'!$C37,RedondeoPersonalTecnico),IF(TipoProgramaPersonalTecnico=2,ROUND(Programa!D$52*'a)Plantilla'!$C37,RedondeoPersonalTecnico),ROUND(Programa!D$52*Hjor*'a)Plantilla'!$C37,RedondeoPersonalTecnico))),0)</f>
        <v>0</v>
      </c>
      <c r="AS73" s="16">
        <f>IF(Programa!D$53&gt;0,IF(TipoProgramaPersonalTecnico=1,ROUND(Programa!F$53*'a)Plantilla'!$C37,RedondeoPersonalTecnico),IF(TipoProgramaPersonalTecnico=2,ROUND(Programa!D$53*'a)Plantilla'!$C37,RedondeoPersonalTecnico),ROUND(Programa!D$53*Hjor*'a)Plantilla'!$C37,RedondeoPersonalTecnico))),0)</f>
        <v>0</v>
      </c>
      <c r="AT73" s="16">
        <f>IF(Programa!D$54&gt;0,IF(TipoProgramaPersonalTecnico=1,ROUND(Programa!F$54*'a)Plantilla'!$C37,RedondeoPersonalTecnico),IF(TipoProgramaPersonalTecnico=2,ROUND(Programa!D$54*'a)Plantilla'!$C37,RedondeoPersonalTecnico),ROUND(Programa!D$54*Hjor*'a)Plantilla'!$C37,RedondeoPersonalTecnico))),0)</f>
        <v>0</v>
      </c>
      <c r="AU73" s="16">
        <f>IF(Programa!D$55&gt;0,IF(TipoProgramaPersonalTecnico=1,ROUND(Programa!F$55*'a)Plantilla'!$C37,RedondeoPersonalTecnico),IF(TipoProgramaPersonalTecnico=2,ROUND(Programa!D$55*'a)Plantilla'!$C37,RedondeoPersonalTecnico),ROUND(Programa!D$55*Hjor*'a)Plantilla'!$C37,RedondeoPersonalTecnico))),0)</f>
        <v>0</v>
      </c>
      <c r="AV73" s="16">
        <f>IF(Programa!D$56&gt;0,IF(TipoProgramaPersonalTecnico=1,ROUND(Programa!F$56*'a)Plantilla'!$C37,RedondeoPersonalTecnico),IF(TipoProgramaPersonalTecnico=2,ROUND(Programa!D$56*'a)Plantilla'!$C37,RedondeoPersonalTecnico),ROUND(Programa!D$56*Hjor*'a)Plantilla'!$C37,RedondeoPersonalTecnico))),0)</f>
        <v>0</v>
      </c>
      <c r="AW73" s="16">
        <f>IF(Programa!D$57&gt;0,IF(TipoProgramaPersonalTecnico=1,ROUND(Programa!F$57*'a)Plantilla'!$C37,RedondeoPersonalTecnico),IF(TipoProgramaPersonalTecnico=2,ROUND(Programa!D$57*'a)Plantilla'!$C37,RedondeoPersonalTecnico),ROUND(Programa!D$57*Hjor*'a)Plantilla'!$C37,RedondeoPersonalTecnico))),0)</f>
        <v>0</v>
      </c>
      <c r="AX73" s="16">
        <f>IF(Programa!D$58&gt;0,IF(TipoProgramaPersonalTecnico=1,ROUND(Programa!F$58*'a)Plantilla'!$C37,RedondeoPersonalTecnico),IF(TipoProgramaPersonalTecnico=2,ROUND(Programa!D$58*'a)Plantilla'!$C37,RedondeoPersonalTecnico),ROUND(Programa!D$58*Hjor*'a)Plantilla'!$C37,RedondeoPersonalTecnico))),0)</f>
        <v>0</v>
      </c>
      <c r="AY73" s="16">
        <f>IF(Programa!D$59&gt;0,IF(TipoProgramaPersonalTecnico=1,ROUND(Programa!F$59*'a)Plantilla'!$C37,RedondeoPersonalTecnico),IF(TipoProgramaPersonalTecnico=2,ROUND(Programa!D$59*'a)Plantilla'!$C37,RedondeoPersonalTecnico),ROUND(Programa!D$59*Hjor*'a)Plantilla'!$C37,RedondeoPersonalTecnico))),0)</f>
        <v>0</v>
      </c>
      <c r="AZ73" s="16">
        <f>IF(Programa!D$60&gt;0,IF(TipoProgramaPersonalTecnico=1,ROUND(Programa!F$60*'a)Plantilla'!$C37,RedondeoPersonalTecnico),IF(TipoProgramaPersonalTecnico=2,ROUND(Programa!D$60*'a)Plantilla'!$C37,RedondeoPersonalTecnico),ROUND(Programa!D$60*Hjor*'a)Plantilla'!$C37,RedondeoPersonalTecnico))),0)</f>
        <v>0</v>
      </c>
      <c r="BA73" s="16">
        <f>IF(Programa!D$61&gt;0,IF(TipoProgramaPersonalTecnico=1,ROUND(Programa!F$61*'a)Plantilla'!$C37,RedondeoPersonalTecnico),IF(TipoProgramaPersonalTecnico=2,ROUND(Programa!D$61*'a)Plantilla'!$C37,RedondeoPersonalTecnico),ROUND(Programa!D$61*Hjor*'a)Plantilla'!$C37,RedondeoPersonalTecnico))),0)</f>
        <v>0</v>
      </c>
      <c r="BB73" s="16">
        <f>IF(Programa!D$62&gt;0,IF(TipoProgramaPersonalTecnico=1,ROUND(Programa!F$62*'a)Plantilla'!$C37,RedondeoPersonalTecnico),IF(TipoProgramaPersonalTecnico=2,ROUND(Programa!D$62*'a)Plantilla'!$C37,RedondeoPersonalTecnico),ROUND(Programa!D$62*Hjor*'a)Plantilla'!$C37,RedondeoPersonalTecnico))),0)</f>
        <v>0</v>
      </c>
      <c r="BC73" s="16">
        <f>IF(Programa!D$63&gt;0,IF(TipoProgramaPersonalTecnico=1,ROUND(Programa!F$63*'a)Plantilla'!$C37,RedondeoPersonalTecnico),IF(TipoProgramaPersonalTecnico=2,ROUND(Programa!D$63*'a)Plantilla'!$C37,RedondeoPersonalTecnico),ROUND(Programa!D$63*Hjor*'a)Plantilla'!$C37,RedondeoPersonalTecnico))),0)</f>
        <v>0</v>
      </c>
      <c r="BD73" s="16">
        <f>IF(Programa!D$64&gt;0,IF(TipoProgramaPersonalTecnico=1,ROUND(Programa!F$64*'a)Plantilla'!$C37,RedondeoPersonalTecnico),IF(TipoProgramaPersonalTecnico=2,ROUND(Programa!D$64*'a)Plantilla'!$C37,RedondeoPersonalTecnico),ROUND(Programa!D$64*Hjor*'a)Plantilla'!$C37,RedondeoPersonalTecnico))),0)</f>
        <v>0</v>
      </c>
      <c r="BE73" s="16">
        <f>IF(Programa!D$65&gt;0,IF(TipoProgramaPersonalTecnico=1,ROUND(Programa!F$65*'a)Plantilla'!$C37,RedondeoPersonalTecnico),IF(TipoProgramaPersonalTecnico=2,ROUND(Programa!D$65*'a)Plantilla'!$C37,RedondeoPersonalTecnico),ROUND(Programa!D$65*Hjor*'a)Plantilla'!$C37,RedondeoPersonalTecnico))),0)</f>
        <v>0</v>
      </c>
      <c r="BF73" s="16">
        <f>IF(Programa!D$66&gt;0,IF(TipoProgramaPersonalTecnico=1,ROUND(Programa!F$66*'a)Plantilla'!$C37,RedondeoPersonalTecnico),IF(TipoProgramaPersonalTecnico=2,ROUND(Programa!D$66*'a)Plantilla'!$C37,RedondeoPersonalTecnico),ROUND(Programa!D$66*Hjor*'a)Plantilla'!$C37,RedondeoPersonalTecnico))),0)</f>
        <v>0</v>
      </c>
      <c r="BG73" s="16">
        <f>IF(Programa!D$67&gt;0,IF(TipoProgramaPersonalTecnico=1,ROUND(Programa!F$67*'a)Plantilla'!$C37,RedondeoPersonalTecnico),IF(TipoProgramaPersonalTecnico=2,ROUND(Programa!D$67*'a)Plantilla'!$C37,RedondeoPersonalTecnico),ROUND(Programa!D$67*Hjor*'a)Plantilla'!$C37,RedondeoPersonalTecnico))),0)</f>
        <v>0</v>
      </c>
      <c r="BH73" s="16">
        <f>IF(Programa!D$68&gt;0,IF(TipoProgramaPersonalTecnico=1,ROUND(Programa!F$68*'a)Plantilla'!$C37,RedondeoPersonalTecnico),IF(TipoProgramaPersonalTecnico=2,ROUND(Programa!D$68*'a)Plantilla'!$C37,RedondeoPersonalTecnico),ROUND(Programa!D$68*Hjor*'a)Plantilla'!$C37,RedondeoPersonalTecnico))),0)</f>
        <v>0</v>
      </c>
      <c r="BI73" s="16">
        <f>IF(Programa!D$69&gt;0,IF(TipoProgramaPersonalTecnico=1,ROUND(Programa!F$69*'a)Plantilla'!$C37,RedondeoPersonalTecnico),IF(TipoProgramaPersonalTecnico=2,ROUND(Programa!D$69*'a)Plantilla'!$C37,RedondeoPersonalTecnico),ROUND(Programa!D$69*Hjor*'a)Plantilla'!$C37,RedondeoPersonalTecnico))),0)</f>
        <v>0</v>
      </c>
      <c r="BJ73" s="16">
        <f>IF(Programa!D$70&gt;0,IF(TipoProgramaPersonalTecnico=1,ROUND(Programa!F$70*'a)Plantilla'!$C37,RedondeoPersonalTecnico),IF(TipoProgramaPersonalTecnico=2,ROUND(Programa!D$70*'a)Plantilla'!$C37,RedondeoPersonalTecnico),ROUND(Programa!D$70*Hjor*'a)Plantilla'!$C37,RedondeoPersonalTecnico))),0)</f>
        <v>0</v>
      </c>
      <c r="BK73" s="16">
        <f>IF(Programa!D$71&gt;0,IF(TipoProgramaPersonalTecnico=1,ROUND(Programa!F$71*'a)Plantilla'!$C37,RedondeoPersonalTecnico),IF(TipoProgramaPersonalTecnico=2,ROUND(Programa!D$71*'a)Plantilla'!$C37,RedondeoPersonalTecnico),ROUND(Programa!D$71*Hjor*'a)Plantilla'!$C37,RedondeoPersonalTecnico))),0)</f>
        <v>0</v>
      </c>
      <c r="BL73" s="117">
        <f>IF(Programa!D$72&gt;0,IF(TipoProgramaPersonalTecnico=1,ROUND(Programa!F$72*'a)Plantilla'!$C37,RedondeoPersonalTecnico),IF(TipoProgramaPersonalTecnico=2,ROUND(Programa!D$72*'a)Plantilla'!$C37,RedondeoPersonalTecnico),ROUND(Programa!D$72*Hjor*'a)Plantilla'!$C37,RedondeoPersonalTecnico))),0)</f>
        <v>0</v>
      </c>
    </row>
    <row r="74" spans="1:64" ht="12.75" customHeight="1">
      <c r="A74" s="214" t="str">
        <f>'b)Indirectos Desglosados'!B19</f>
        <v>Personal técnico incluye: Prestaciones</v>
      </c>
      <c r="B74" s="200"/>
      <c r="C74" s="200"/>
      <c r="D74" s="339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158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158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158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158"/>
    </row>
    <row r="75" spans="1:64" ht="8.1" customHeight="1">
      <c r="A75" s="204"/>
      <c r="B75" s="30"/>
      <c r="C75" s="30"/>
      <c r="D75" s="252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79"/>
      <c r="Q75" s="48"/>
      <c r="R75" s="9"/>
      <c r="S75" s="9"/>
      <c r="T75" s="9"/>
      <c r="U75" s="9"/>
      <c r="V75" s="9"/>
      <c r="W75" s="9"/>
      <c r="X75" s="9"/>
      <c r="Y75" s="9"/>
      <c r="Z75" s="9"/>
      <c r="AA75" s="9"/>
      <c r="AB75" s="79"/>
      <c r="AC75" s="48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79"/>
      <c r="AO75" s="48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79"/>
    </row>
    <row r="76" spans="1:64" ht="12.75" customHeight="1">
      <c r="A76" s="133" t="s">
        <v>168</v>
      </c>
      <c r="B76" s="46" t="str">
        <f>IF('a)Plantilla'!C38&gt;0,'a)Plantilla'!B38,"")</f>
        <v/>
      </c>
      <c r="C76" s="17" t="str">
        <f>IF('a)Plantilla'!C$38&gt;0,IF(TipoProgramaPersonalTecnico=1,"Personas",IF(TipoProgramaPersonalTecnico=2,"Jornal","horas-Hombre")),"")</f>
        <v/>
      </c>
      <c r="D76" s="226">
        <f>ROUND(SUM(E76:BL76),RedondeoPersonalTecnico)</f>
        <v>0</v>
      </c>
      <c r="E76" s="6">
        <f>IF(Programa!D$13&gt;0,IF(TipoProgramaPersonalTecnico=1,ROUND(Programa!F$13*'a)Plantilla'!$C38,RedondeoPersonalTecnico),IF(TipoProgramaPersonalTecnico=2,ROUND(Programa!D$13*'a)Plantilla'!$C38,RedondeoPersonalTecnico),ROUND(Programa!D$13*Hjor*'a)Plantilla'!$C38,RedondeoPersonalTecnico))),0)</f>
        <v>0</v>
      </c>
      <c r="F76" s="6">
        <f>IF(Programa!D$14&gt;0,IF(TipoProgramaPersonalTecnico=1,ROUND(Programa!F$14*'a)Plantilla'!$C38,RedondeoPersonalTecnico),IF(TipoProgramaPersonalTecnico=2,ROUND(Programa!D$14*'a)Plantilla'!$C38,RedondeoPersonalTecnico),ROUND(Programa!D$14*Hjor*'a)Plantilla'!$C38,RedondeoPersonalTecnico))),0)</f>
        <v>0</v>
      </c>
      <c r="G76" s="6">
        <f>IF(Programa!D$15&gt;0,IF(TipoProgramaPersonalTecnico=1,ROUND(Programa!F$15*'a)Plantilla'!$C38,RedondeoPersonalTecnico),IF(TipoProgramaPersonalTecnico=2,ROUND(Programa!D$15*'a)Plantilla'!$C38,RedondeoPersonalTecnico),ROUND(Programa!D$15*Hjor*'a)Plantilla'!$C38,RedondeoPersonalTecnico))),0)</f>
        <v>0</v>
      </c>
      <c r="H76" s="6">
        <f>IF(Programa!D$16&gt;0,IF(TipoProgramaPersonalTecnico=1,ROUND(Programa!F$16*'a)Plantilla'!$C38,RedondeoPersonalTecnico),IF(TipoProgramaPersonalTecnico=2,ROUND(Programa!D$16*'a)Plantilla'!$C38,RedondeoPersonalTecnico),ROUND(Programa!D$16*Hjor*'a)Plantilla'!$C38,RedondeoPersonalTecnico))),0)</f>
        <v>0</v>
      </c>
      <c r="I76" s="6">
        <f>IF(Programa!D$17&gt;0,IF(TipoProgramaPersonalTecnico=1,ROUND(Programa!F$17*'a)Plantilla'!$C38,RedondeoPersonalTecnico),IF(TipoProgramaPersonalTecnico=2,ROUND(Programa!D$17*'a)Plantilla'!$C38,RedondeoPersonalTecnico),ROUND(Programa!D$17*Hjor*'a)Plantilla'!$C38,RedondeoPersonalTecnico))),0)</f>
        <v>0</v>
      </c>
      <c r="J76" s="6">
        <f>IF(Programa!D$18&gt;0,IF(TipoProgramaPersonalTecnico=1,ROUND(Programa!F$18*'a)Plantilla'!$C38,RedondeoPersonalTecnico),IF(TipoProgramaPersonalTecnico=2,ROUND(Programa!D$18*'a)Plantilla'!$C38,RedondeoPersonalTecnico),ROUND(Programa!D$18*Hjor*'a)Plantilla'!$C38,RedondeoPersonalTecnico))),0)</f>
        <v>0</v>
      </c>
      <c r="K76" s="6">
        <f>IF(Programa!D$19&gt;0,IF(TipoProgramaPersonalTecnico=1,ROUND(Programa!F$19*'a)Plantilla'!$C38,RedondeoPersonalTecnico),IF(TipoProgramaPersonalTecnico=2,ROUND(Programa!D$19*'a)Plantilla'!$C38,RedondeoPersonalTecnico),ROUND(Programa!D$19*Hjor*'a)Plantilla'!$C38,RedondeoPersonalTecnico))),0)</f>
        <v>0</v>
      </c>
      <c r="L76" s="6">
        <f>IF(Programa!D$20&gt;0,IF(TipoProgramaPersonalTecnico=1,ROUND(Programa!F$20*'a)Plantilla'!$C38,RedondeoPersonalTecnico),IF(TipoProgramaPersonalTecnico=2,ROUND(Programa!D$20*'a)Plantilla'!$C38,RedondeoPersonalTecnico),ROUND(Programa!D$20*Hjor*'a)Plantilla'!$C38,RedondeoPersonalTecnico))),0)</f>
        <v>0</v>
      </c>
      <c r="M76" s="6">
        <f>IF(Programa!D$21&gt;0,IF(TipoProgramaPersonalTecnico=1,ROUND(Programa!F$21*'a)Plantilla'!$C38,RedondeoPersonalTecnico),IF(TipoProgramaPersonalTecnico=2,ROUND(Programa!D$21*'a)Plantilla'!$C38,RedondeoPersonalTecnico),ROUND(Programa!D$21*Hjor*'a)Plantilla'!$C38,RedondeoPersonalTecnico))),0)</f>
        <v>0</v>
      </c>
      <c r="N76" s="6">
        <f>IF(Programa!D$22&gt;0,IF(TipoProgramaPersonalTecnico=1,ROUND(Programa!F$22*'a)Plantilla'!$C38,RedondeoPersonalTecnico),IF(TipoProgramaPersonalTecnico=2,ROUND(Programa!D$22*'a)Plantilla'!$C38,RedondeoPersonalTecnico),ROUND(Programa!D$22*Hjor*'a)Plantilla'!$C38,RedondeoPersonalTecnico))),0)</f>
        <v>0</v>
      </c>
      <c r="O76" s="6">
        <f>IF(Programa!D$23&gt;0,IF(TipoProgramaPersonalTecnico=1,ROUND(Programa!F$23*'a)Plantilla'!$C38,RedondeoPersonalTecnico),IF(TipoProgramaPersonalTecnico=2,ROUND(Programa!D$23*'a)Plantilla'!$C38,RedondeoPersonalTecnico),ROUND(Programa!D$23*Hjor*'a)Plantilla'!$C38,RedondeoPersonalTecnico))),0)</f>
        <v>0</v>
      </c>
      <c r="P76" s="78">
        <f>IF(Programa!D$24&gt;0,IF(TipoProgramaPersonalTecnico=1,ROUND(Programa!F$24*'a)Plantilla'!$C38,RedondeoPersonalTecnico),IF(TipoProgramaPersonalTecnico=2,ROUND(Programa!D$24*'a)Plantilla'!$C38,RedondeoPersonalTecnico),ROUND(Programa!D$24*Hjor*'a)Plantilla'!$C38,RedondeoPersonalTecnico))),0)</f>
        <v>0</v>
      </c>
      <c r="Q76" s="27">
        <f>IF(Programa!D$25&gt;0,IF(TipoProgramaPersonalTecnico=1,ROUND(Programa!F$25*'a)Plantilla'!$C38,RedondeoPersonalTecnico),IF(TipoProgramaPersonalTecnico=2,ROUND(Programa!D$25*'a)Plantilla'!$C38,RedondeoPersonalTecnico),ROUND(Programa!D$25*Hjor*'a)Plantilla'!$C38,RedondeoPersonalTecnico))),0)</f>
        <v>0</v>
      </c>
      <c r="R76" s="6">
        <f>IF(Programa!D$26&gt;0,IF(TipoProgramaPersonalTecnico=1,ROUND(Programa!F$26*'a)Plantilla'!$C38,RedondeoPersonalTecnico),IF(TipoProgramaPersonalTecnico=2,ROUND(Programa!D$26*'a)Plantilla'!$C38,RedondeoPersonalTecnico),ROUND(Programa!D$26*Hjor*'a)Plantilla'!$C38,RedondeoPersonalTecnico))),0)</f>
        <v>0</v>
      </c>
      <c r="S76" s="6">
        <f>IF(Programa!D$27&gt;0,IF(TipoProgramaPersonalTecnico=1,ROUND(Programa!F$27*'a)Plantilla'!$C38,RedondeoPersonalTecnico),IF(TipoProgramaPersonalTecnico=2,ROUND(Programa!D$27*'a)Plantilla'!$C38,RedondeoPersonalTecnico),ROUND(Programa!D$27*Hjor*'a)Plantilla'!$C38,RedondeoPersonalTecnico))),0)</f>
        <v>0</v>
      </c>
      <c r="T76" s="6">
        <f>IF(Programa!D$28&gt;0,IF(TipoProgramaPersonalTecnico=1,ROUND(Programa!F$28*'a)Plantilla'!$C38,RedondeoPersonalTecnico),IF(TipoProgramaPersonalTecnico=2,ROUND(Programa!D$28*'a)Plantilla'!$C38,RedondeoPersonalTecnico),ROUND(Programa!D$28*Hjor*'a)Plantilla'!$C38,RedondeoPersonalTecnico))),0)</f>
        <v>0</v>
      </c>
      <c r="U76" s="6">
        <f>IF(Programa!D$29&gt;0,IF(TipoProgramaPersonalTecnico=1,ROUND(Programa!F$29*'a)Plantilla'!$C38,RedondeoPersonalTecnico),IF(TipoProgramaPersonalTecnico=2,ROUND(Programa!D$29*'a)Plantilla'!$C38,RedondeoPersonalTecnico),ROUND(Programa!D$29*Hjor*'a)Plantilla'!$C38,RedondeoPersonalTecnico))),0)</f>
        <v>0</v>
      </c>
      <c r="V76" s="6">
        <f>IF(Programa!D$30&gt;0,IF(TipoProgramaPersonalTecnico=1,ROUND(Programa!F$30*'a)Plantilla'!$C38,RedondeoPersonalTecnico),IF(TipoProgramaPersonalTecnico=2,ROUND(Programa!D$30*'a)Plantilla'!$C38,RedondeoPersonalTecnico),ROUND(Programa!D$30*Hjor*'a)Plantilla'!$C38,RedondeoPersonalTecnico))),0)</f>
        <v>0</v>
      </c>
      <c r="W76" s="6">
        <f>IF(Programa!D$31&gt;0,IF(TipoProgramaPersonalTecnico=1,ROUND(Programa!F$31*'a)Plantilla'!$C38,RedondeoPersonalTecnico),IF(TipoProgramaPersonalTecnico=2,ROUND(Programa!D$31*'a)Plantilla'!$C38,RedondeoPersonalTecnico),ROUND(Programa!D$31*Hjor*'a)Plantilla'!$C38,RedondeoPersonalTecnico))),0)</f>
        <v>0</v>
      </c>
      <c r="X76" s="6">
        <f>IF(Programa!D$32&gt;0,IF(TipoProgramaPersonalTecnico=1,ROUND(Programa!F$32*'a)Plantilla'!$C38,RedondeoPersonalTecnico),IF(TipoProgramaPersonalTecnico=2,ROUND(Programa!D$32*'a)Plantilla'!$C38,RedondeoPersonalTecnico),ROUND(Programa!D$32*Hjor*'a)Plantilla'!$C38,RedondeoPersonalTecnico))),0)</f>
        <v>0</v>
      </c>
      <c r="Y76" s="6">
        <f>IF(Programa!D$33&gt;0,IF(TipoProgramaPersonalTecnico=1,ROUND(Programa!F$33*'a)Plantilla'!$C38,RedondeoPersonalTecnico),IF(TipoProgramaPersonalTecnico=2,ROUND(Programa!D$33*'a)Plantilla'!$C38,RedondeoPersonalTecnico),ROUND(Programa!D$33*Hjor*'a)Plantilla'!$C38,RedondeoPersonalTecnico))),0)</f>
        <v>0</v>
      </c>
      <c r="Z76" s="6">
        <f>IF(Programa!D$34&gt;0,IF(TipoProgramaPersonalTecnico=1,ROUND(Programa!F$34*'a)Plantilla'!$C38,RedondeoPersonalTecnico),IF(TipoProgramaPersonalTecnico=2,ROUND(Programa!D$34*'a)Plantilla'!$C38,RedondeoPersonalTecnico),ROUND(Programa!D$34*Hjor*'a)Plantilla'!$C38,RedondeoPersonalTecnico))),0)</f>
        <v>0</v>
      </c>
      <c r="AA76" s="6">
        <f>IF(Programa!D$35&gt;0,IF(TipoProgramaPersonalTecnico=1,ROUND(Programa!F$35*'a)Plantilla'!$C38,RedondeoPersonalTecnico),IF(TipoProgramaPersonalTecnico=2,ROUND(Programa!D$35*'a)Plantilla'!$C38,RedondeoPersonalTecnico),ROUND(Programa!D$35*Hjor*'a)Plantilla'!$C38,RedondeoPersonalTecnico))),0)</f>
        <v>0</v>
      </c>
      <c r="AB76" s="78">
        <f>IF(Programa!D$36&gt;0,IF(TipoProgramaPersonalTecnico=1,ROUND(Programa!F$36*'a)Plantilla'!$C38,RedondeoPersonalTecnico),IF(TipoProgramaPersonalTecnico=2,ROUND(Programa!D$36*'a)Plantilla'!$C38,RedondeoPersonalTecnico),ROUND(Programa!D$36*Hjor*'a)Plantilla'!$C38,RedondeoPersonalTecnico))),0)</f>
        <v>0</v>
      </c>
      <c r="AC76" s="27">
        <f>IF(Programa!D$37&gt;0,IF(TipoProgramaPersonalTecnico=1,ROUND(Programa!F$37*'a)Plantilla'!$C38,RedondeoPersonalTecnico),IF(TipoProgramaPersonalTecnico=2,ROUND(Programa!D$37*'a)Plantilla'!$C38,RedondeoPersonalTecnico),ROUND(Programa!D$37*Hjor*'a)Plantilla'!$C38,RedondeoPersonalTecnico))),0)</f>
        <v>0</v>
      </c>
      <c r="AD76" s="6">
        <f>IF(Programa!D$38&gt;0,IF(TipoProgramaPersonalTecnico=1,ROUND(Programa!F$38*'a)Plantilla'!$C38,RedondeoPersonalTecnico),IF(TipoProgramaPersonalTecnico=2,ROUND(Programa!D$38*'a)Plantilla'!$C38,RedondeoPersonalTecnico),ROUND(Programa!D$38*Hjor*'a)Plantilla'!$C38,RedondeoPersonalTecnico))),0)</f>
        <v>0</v>
      </c>
      <c r="AE76" s="6">
        <f>IF(Programa!D$39&gt;0,IF(TipoProgramaPersonalTecnico=1,ROUND(Programa!F$39*'a)Plantilla'!$C38,RedondeoPersonalTecnico),IF(TipoProgramaPersonalTecnico=2,ROUND(Programa!D$39*'a)Plantilla'!$C38,RedondeoPersonalTecnico),ROUND(Programa!D$39*Hjor*'a)Plantilla'!$C38,RedondeoPersonalTecnico))),0)</f>
        <v>0</v>
      </c>
      <c r="AF76" s="6">
        <f>IF(Programa!D$40&gt;0,IF(TipoProgramaPersonalTecnico=1,ROUND(Programa!F$40*'a)Plantilla'!$C38,RedondeoPersonalTecnico),IF(TipoProgramaPersonalTecnico=2,ROUND(Programa!D$40*'a)Plantilla'!$C38,RedondeoPersonalTecnico),ROUND(Programa!D$40*Hjor*'a)Plantilla'!$C38,RedondeoPersonalTecnico))),0)</f>
        <v>0</v>
      </c>
      <c r="AG76" s="6">
        <f>IF(Programa!D$41&gt;0,IF(TipoProgramaPersonalTecnico=1,ROUND(Programa!F$41*'a)Plantilla'!$C38,RedondeoPersonalTecnico),IF(TipoProgramaPersonalTecnico=2,ROUND(Programa!D$41*'a)Plantilla'!$C38,RedondeoPersonalTecnico),ROUND(Programa!D$41*Hjor*'a)Plantilla'!$C38,RedondeoPersonalTecnico))),0)</f>
        <v>0</v>
      </c>
      <c r="AH76" s="6">
        <f>IF(Programa!D$42&gt;0,IF(TipoProgramaPersonalTecnico=1,ROUND(Programa!F$42*'a)Plantilla'!$C38,RedondeoPersonalTecnico),IF(TipoProgramaPersonalTecnico=2,ROUND(Programa!D$42*'a)Plantilla'!$C38,RedondeoPersonalTecnico),ROUND(Programa!D$42*Hjor*'a)Plantilla'!$C38,RedondeoPersonalTecnico))),0)</f>
        <v>0</v>
      </c>
      <c r="AI76" s="6">
        <f>IF(Programa!D$43&gt;0,IF(TipoProgramaPersonalTecnico=1,ROUND(Programa!F$43*'a)Plantilla'!$C38,RedondeoPersonalTecnico),IF(TipoProgramaPersonalTecnico=2,ROUND(Programa!D$43*'a)Plantilla'!$C38,RedondeoPersonalTecnico),ROUND(Programa!D$43*Hjor*'a)Plantilla'!$C38,RedondeoPersonalTecnico))),0)</f>
        <v>0</v>
      </c>
      <c r="AJ76" s="6">
        <f>IF(Programa!D$44&gt;0,IF(TipoProgramaPersonalTecnico=1,ROUND(Programa!F$44*'a)Plantilla'!$C38,RedondeoPersonalTecnico),IF(TipoProgramaPersonalTecnico=2,ROUND(Programa!D$44*'a)Plantilla'!$C38,RedondeoPersonalTecnico),ROUND(Programa!D$44*Hjor*'a)Plantilla'!$C38,RedondeoPersonalTecnico))),0)</f>
        <v>0</v>
      </c>
      <c r="AK76" s="6">
        <f>IF(Programa!D$45&gt;0,IF(TipoProgramaPersonalTecnico=1,ROUND(Programa!F$45*'a)Plantilla'!$C38,RedondeoPersonalTecnico),IF(TipoProgramaPersonalTecnico=2,ROUND(Programa!D$45*'a)Plantilla'!$C38,RedondeoPersonalTecnico),ROUND(Programa!D$45*Hjor*'a)Plantilla'!$C38,RedondeoPersonalTecnico))),0)</f>
        <v>0</v>
      </c>
      <c r="AL76" s="6">
        <f>IF(Programa!D$46&gt;0,IF(TipoProgramaPersonalTecnico=1,ROUND(Programa!F$46*'a)Plantilla'!$C38,RedondeoPersonalTecnico),IF(TipoProgramaPersonalTecnico=2,ROUND(Programa!D$46*'a)Plantilla'!$C38,RedondeoPersonalTecnico),ROUND(Programa!D$46*Hjor*'a)Plantilla'!$C38,RedondeoPersonalTecnico))),0)</f>
        <v>0</v>
      </c>
      <c r="AM76" s="6">
        <f>IF(Programa!D$47&gt;0,IF(TipoProgramaPersonalTecnico=1,ROUND(Programa!F$47*'a)Plantilla'!$C38,RedondeoPersonalTecnico),IF(TipoProgramaPersonalTecnico=2,ROUND(Programa!D$47*'a)Plantilla'!$C38,RedondeoPersonalTecnico),ROUND(Programa!D$47*Hjor*'a)Plantilla'!$C38,RedondeoPersonalTecnico))),0)</f>
        <v>0</v>
      </c>
      <c r="AN76" s="78">
        <f>IF(Programa!D$48&gt;0,IF(TipoProgramaPersonalTecnico=1,ROUND(Programa!F$48*'a)Plantilla'!$C38,RedondeoPersonalTecnico),IF(TipoProgramaPersonalTecnico=2,ROUND(Programa!D$48*'a)Plantilla'!$C38,RedondeoPersonalTecnico),ROUND(Programa!D$48*Hjor*'a)Plantilla'!$C38,RedondeoPersonalTecnico))),0)</f>
        <v>0</v>
      </c>
      <c r="AO76" s="27">
        <f>IF(Programa!D$49&gt;0,IF(TipoProgramaPersonalTecnico=1,ROUND(Programa!F$49*'a)Plantilla'!$C38,RedondeoPersonalTecnico),IF(TipoProgramaPersonalTecnico=2,ROUND(Programa!D$49*'a)Plantilla'!$C38,RedondeoPersonalTecnico),ROUND(Programa!D$49*Hjor*'a)Plantilla'!$C38,RedondeoPersonalTecnico))),0)</f>
        <v>0</v>
      </c>
      <c r="AP76" s="6">
        <f>IF(Programa!D$50&gt;0,IF(TipoProgramaPersonalTecnico=1,ROUND(Programa!F$50*'a)Plantilla'!$C38,RedondeoPersonalTecnico),IF(TipoProgramaPersonalTecnico=2,ROUND(Programa!D$50*'a)Plantilla'!$C38,RedondeoPersonalTecnico),ROUND(Programa!D$50*Hjor*'a)Plantilla'!$C38,RedondeoPersonalTecnico))),0)</f>
        <v>0</v>
      </c>
      <c r="AQ76" s="6">
        <f>IF(Programa!D$51&gt;0,IF(TipoProgramaPersonalTecnico=1,ROUND(Programa!F$51*'a)Plantilla'!$C38,RedondeoPersonalTecnico),IF(TipoProgramaPersonalTecnico=2,ROUND(Programa!D$51*'a)Plantilla'!$C38,RedondeoPersonalTecnico),ROUND(Programa!D$51*Hjor*'a)Plantilla'!$C38,RedondeoPersonalTecnico))),0)</f>
        <v>0</v>
      </c>
      <c r="AR76" s="6">
        <f>IF(Programa!D$52&gt;0,IF(TipoProgramaPersonalTecnico=1,ROUND(Programa!F$52*'a)Plantilla'!$C38,RedondeoPersonalTecnico),IF(TipoProgramaPersonalTecnico=2,ROUND(Programa!D$52*'a)Plantilla'!$C38,RedondeoPersonalTecnico),ROUND(Programa!D$52*Hjor*'a)Plantilla'!$C38,RedondeoPersonalTecnico))),0)</f>
        <v>0</v>
      </c>
      <c r="AS76" s="6">
        <f>IF(Programa!D$53&gt;0,IF(TipoProgramaPersonalTecnico=1,ROUND(Programa!F$53*'a)Plantilla'!$C38,RedondeoPersonalTecnico),IF(TipoProgramaPersonalTecnico=2,ROUND(Programa!D$53*'a)Plantilla'!$C38,RedondeoPersonalTecnico),ROUND(Programa!D$53*Hjor*'a)Plantilla'!$C38,RedondeoPersonalTecnico))),0)</f>
        <v>0</v>
      </c>
      <c r="AT76" s="6">
        <f>IF(Programa!D$54&gt;0,IF(TipoProgramaPersonalTecnico=1,ROUND(Programa!F$54*'a)Plantilla'!$C38,RedondeoPersonalTecnico),IF(TipoProgramaPersonalTecnico=2,ROUND(Programa!D$54*'a)Plantilla'!$C38,RedondeoPersonalTecnico),ROUND(Programa!D$54*Hjor*'a)Plantilla'!$C38,RedondeoPersonalTecnico))),0)</f>
        <v>0</v>
      </c>
      <c r="AU76" s="6">
        <f>IF(Programa!D$55&gt;0,IF(TipoProgramaPersonalTecnico=1,ROUND(Programa!F$55*'a)Plantilla'!$C38,RedondeoPersonalTecnico),IF(TipoProgramaPersonalTecnico=2,ROUND(Programa!D$55*'a)Plantilla'!$C38,RedondeoPersonalTecnico),ROUND(Programa!D$55*Hjor*'a)Plantilla'!$C38,RedondeoPersonalTecnico))),0)</f>
        <v>0</v>
      </c>
      <c r="AV76" s="6">
        <f>IF(Programa!D$56&gt;0,IF(TipoProgramaPersonalTecnico=1,ROUND(Programa!F$56*'a)Plantilla'!$C38,RedondeoPersonalTecnico),IF(TipoProgramaPersonalTecnico=2,ROUND(Programa!D$56*'a)Plantilla'!$C38,RedondeoPersonalTecnico),ROUND(Programa!D$56*Hjor*'a)Plantilla'!$C38,RedondeoPersonalTecnico))),0)</f>
        <v>0</v>
      </c>
      <c r="AW76" s="6">
        <f>IF(Programa!D$57&gt;0,IF(TipoProgramaPersonalTecnico=1,ROUND(Programa!F$57*'a)Plantilla'!$C38,RedondeoPersonalTecnico),IF(TipoProgramaPersonalTecnico=2,ROUND(Programa!D$57*'a)Plantilla'!$C38,RedondeoPersonalTecnico),ROUND(Programa!D$57*Hjor*'a)Plantilla'!$C38,RedondeoPersonalTecnico))),0)</f>
        <v>0</v>
      </c>
      <c r="AX76" s="6">
        <f>IF(Programa!D$58&gt;0,IF(TipoProgramaPersonalTecnico=1,ROUND(Programa!F$58*'a)Plantilla'!$C38,RedondeoPersonalTecnico),IF(TipoProgramaPersonalTecnico=2,ROUND(Programa!D$58*'a)Plantilla'!$C38,RedondeoPersonalTecnico),ROUND(Programa!D$58*Hjor*'a)Plantilla'!$C38,RedondeoPersonalTecnico))),0)</f>
        <v>0</v>
      </c>
      <c r="AY76" s="6">
        <f>IF(Programa!D$59&gt;0,IF(TipoProgramaPersonalTecnico=1,ROUND(Programa!F$59*'a)Plantilla'!$C38,RedondeoPersonalTecnico),IF(TipoProgramaPersonalTecnico=2,ROUND(Programa!D$59*'a)Plantilla'!$C38,RedondeoPersonalTecnico),ROUND(Programa!D$59*Hjor*'a)Plantilla'!$C38,RedondeoPersonalTecnico))),0)</f>
        <v>0</v>
      </c>
      <c r="AZ76" s="6">
        <f>IF(Programa!D$60&gt;0,IF(TipoProgramaPersonalTecnico=1,ROUND(Programa!F$60*'a)Plantilla'!$C38,RedondeoPersonalTecnico),IF(TipoProgramaPersonalTecnico=2,ROUND(Programa!D$60*'a)Plantilla'!$C38,RedondeoPersonalTecnico),ROUND(Programa!D$60*Hjor*'a)Plantilla'!$C38,RedondeoPersonalTecnico))),0)</f>
        <v>0</v>
      </c>
      <c r="BA76" s="6">
        <f>IF(Programa!D$61&gt;0,IF(TipoProgramaPersonalTecnico=1,ROUND(Programa!F$61*'a)Plantilla'!$C38,RedondeoPersonalTecnico),IF(TipoProgramaPersonalTecnico=2,ROUND(Programa!D$61*'a)Plantilla'!$C38,RedondeoPersonalTecnico),ROUND(Programa!D$61*Hjor*'a)Plantilla'!$C38,RedondeoPersonalTecnico))),0)</f>
        <v>0</v>
      </c>
      <c r="BB76" s="6">
        <f>IF(Programa!D$62&gt;0,IF(TipoProgramaPersonalTecnico=1,ROUND(Programa!F$62*'a)Plantilla'!$C38,RedondeoPersonalTecnico),IF(TipoProgramaPersonalTecnico=2,ROUND(Programa!D$62*'a)Plantilla'!$C38,RedondeoPersonalTecnico),ROUND(Programa!D$62*Hjor*'a)Plantilla'!$C38,RedondeoPersonalTecnico))),0)</f>
        <v>0</v>
      </c>
      <c r="BC76" s="6">
        <f>IF(Programa!D$63&gt;0,IF(TipoProgramaPersonalTecnico=1,ROUND(Programa!F$63*'a)Plantilla'!$C38,RedondeoPersonalTecnico),IF(TipoProgramaPersonalTecnico=2,ROUND(Programa!D$63*'a)Plantilla'!$C38,RedondeoPersonalTecnico),ROUND(Programa!D$63*Hjor*'a)Plantilla'!$C38,RedondeoPersonalTecnico))),0)</f>
        <v>0</v>
      </c>
      <c r="BD76" s="6">
        <f>IF(Programa!D$64&gt;0,IF(TipoProgramaPersonalTecnico=1,ROUND(Programa!F$64*'a)Plantilla'!$C38,RedondeoPersonalTecnico),IF(TipoProgramaPersonalTecnico=2,ROUND(Programa!D$64*'a)Plantilla'!$C38,RedondeoPersonalTecnico),ROUND(Programa!D$64*Hjor*'a)Plantilla'!$C38,RedondeoPersonalTecnico))),0)</f>
        <v>0</v>
      </c>
      <c r="BE76" s="6">
        <f>IF(Programa!D$65&gt;0,IF(TipoProgramaPersonalTecnico=1,ROUND(Programa!F$65*'a)Plantilla'!$C38,RedondeoPersonalTecnico),IF(TipoProgramaPersonalTecnico=2,ROUND(Programa!D$65*'a)Plantilla'!$C38,RedondeoPersonalTecnico),ROUND(Programa!D$65*Hjor*'a)Plantilla'!$C38,RedondeoPersonalTecnico))),0)</f>
        <v>0</v>
      </c>
      <c r="BF76" s="6">
        <f>IF(Programa!D$66&gt;0,IF(TipoProgramaPersonalTecnico=1,ROUND(Programa!F$66*'a)Plantilla'!$C38,RedondeoPersonalTecnico),IF(TipoProgramaPersonalTecnico=2,ROUND(Programa!D$66*'a)Plantilla'!$C38,RedondeoPersonalTecnico),ROUND(Programa!D$66*Hjor*'a)Plantilla'!$C38,RedondeoPersonalTecnico))),0)</f>
        <v>0</v>
      </c>
      <c r="BG76" s="6">
        <f>IF(Programa!D$67&gt;0,IF(TipoProgramaPersonalTecnico=1,ROUND(Programa!F$67*'a)Plantilla'!$C38,RedondeoPersonalTecnico),IF(TipoProgramaPersonalTecnico=2,ROUND(Programa!D$67*'a)Plantilla'!$C38,RedondeoPersonalTecnico),ROUND(Programa!D$67*Hjor*'a)Plantilla'!$C38,RedondeoPersonalTecnico))),0)</f>
        <v>0</v>
      </c>
      <c r="BH76" s="6">
        <f>IF(Programa!D$68&gt;0,IF(TipoProgramaPersonalTecnico=1,ROUND(Programa!F$68*'a)Plantilla'!$C38,RedondeoPersonalTecnico),IF(TipoProgramaPersonalTecnico=2,ROUND(Programa!D$68*'a)Plantilla'!$C38,RedondeoPersonalTecnico),ROUND(Programa!D$68*Hjor*'a)Plantilla'!$C38,RedondeoPersonalTecnico))),0)</f>
        <v>0</v>
      </c>
      <c r="BI76" s="6">
        <f>IF(Programa!D$69&gt;0,IF(TipoProgramaPersonalTecnico=1,ROUND(Programa!F$69*'a)Plantilla'!$C38,RedondeoPersonalTecnico),IF(TipoProgramaPersonalTecnico=2,ROUND(Programa!D$69*'a)Plantilla'!$C38,RedondeoPersonalTecnico),ROUND(Programa!D$69*Hjor*'a)Plantilla'!$C38,RedondeoPersonalTecnico))),0)</f>
        <v>0</v>
      </c>
      <c r="BJ76" s="6">
        <f>IF(Programa!D$70&gt;0,IF(TipoProgramaPersonalTecnico=1,ROUND(Programa!F$70*'a)Plantilla'!$C38,RedondeoPersonalTecnico),IF(TipoProgramaPersonalTecnico=2,ROUND(Programa!D$70*'a)Plantilla'!$C38,RedondeoPersonalTecnico),ROUND(Programa!D$70*Hjor*'a)Plantilla'!$C38,RedondeoPersonalTecnico))),0)</f>
        <v>0</v>
      </c>
      <c r="BK76" s="6">
        <f>IF(Programa!D$71&gt;0,IF(TipoProgramaPersonalTecnico=1,ROUND(Programa!F$71*'a)Plantilla'!$C38,RedondeoPersonalTecnico),IF(TipoProgramaPersonalTecnico=2,ROUND(Programa!D$71*'a)Plantilla'!$C38,RedondeoPersonalTecnico),ROUND(Programa!D$71*Hjor*'a)Plantilla'!$C38,RedondeoPersonalTecnico))),0)</f>
        <v>0</v>
      </c>
      <c r="BL76" s="78">
        <f>IF(Programa!D$72&gt;0,IF(TipoProgramaPersonalTecnico=1,ROUND(Programa!F$72*'a)Plantilla'!$C38,RedondeoPersonalTecnico),IF(TipoProgramaPersonalTecnico=2,ROUND(Programa!D$72*'a)Plantilla'!$C38,RedondeoPersonalTecnico),ROUND(Programa!D$72*Hjor*'a)Plantilla'!$C38,RedondeoPersonalTecnico))),0)</f>
        <v>0</v>
      </c>
    </row>
    <row r="77" spans="1:64" ht="8.1" customHeight="1">
      <c r="A77" s="133"/>
      <c r="B77" s="46"/>
      <c r="C77" s="31"/>
      <c r="D77" s="22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78"/>
      <c r="Q77" s="27"/>
      <c r="R77" s="6"/>
      <c r="S77" s="6"/>
      <c r="T77" s="6"/>
      <c r="U77" s="6"/>
      <c r="V77" s="6"/>
      <c r="W77" s="6"/>
      <c r="X77" s="6"/>
      <c r="Y77" s="6"/>
      <c r="Z77" s="6"/>
      <c r="AA77" s="6"/>
      <c r="AB77" s="78"/>
      <c r="AC77" s="27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78"/>
      <c r="AO77" s="27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78"/>
    </row>
    <row r="78" spans="1:64" ht="12.75" customHeight="1">
      <c r="A78" s="133"/>
      <c r="B78" s="46" t="str">
        <f>IF('a)Plantilla'!C39&gt;0,'a)Plantilla'!B39,"")</f>
        <v>ANALISTA DE COSTOS</v>
      </c>
      <c r="C78" s="17" t="str">
        <f>IF('a)Plantilla'!C$39&gt;0,IF(TipoProgramaPersonalTecnico=1,"Personas",IF(TipoProgramaPersonalTecnico=2,"Jornal","horas-Hombre")),"")</f>
        <v>horas-Hombre</v>
      </c>
      <c r="D78" s="226">
        <f>ROUND(SUM(E78:BL78),RedondeoPersonalTecnico)</f>
        <v>30</v>
      </c>
      <c r="E78" s="6">
        <f>IF(Programa!D$13&gt;0,IF(TipoProgramaPersonalTecnico=1,ROUND(Programa!F$13*'a)Plantilla'!$C39,RedondeoPersonalTecnico),IF(TipoProgramaPersonalTecnico=2,ROUND(Programa!D$13*'a)Plantilla'!$C39,RedondeoPersonalTecnico),ROUND(Programa!D$13*Hjor*'a)Plantilla'!$C39,RedondeoPersonalTecnico))),0)</f>
        <v>6.4</v>
      </c>
      <c r="F78" s="6">
        <f>IF(Programa!D$14&gt;0,IF(TipoProgramaPersonalTecnico=1,ROUND(Programa!F$14*'a)Plantilla'!$C39,RedondeoPersonalTecnico),IF(TipoProgramaPersonalTecnico=2,ROUND(Programa!D$14*'a)Plantilla'!$C39,RedondeoPersonalTecnico),ROUND(Programa!D$14*Hjor*'a)Plantilla'!$C39,RedondeoPersonalTecnico))),0)</f>
        <v>12</v>
      </c>
      <c r="G78" s="6">
        <f>IF(Programa!D$15&gt;0,IF(TipoProgramaPersonalTecnico=1,ROUND(Programa!F$15*'a)Plantilla'!$C39,RedondeoPersonalTecnico),IF(TipoProgramaPersonalTecnico=2,ROUND(Programa!D$15*'a)Plantilla'!$C39,RedondeoPersonalTecnico),ROUND(Programa!D$15*Hjor*'a)Plantilla'!$C39,RedondeoPersonalTecnico))),0)</f>
        <v>11.6</v>
      </c>
      <c r="H78" s="6">
        <f>IF(Programa!D$16&gt;0,IF(TipoProgramaPersonalTecnico=1,ROUND(Programa!F$16*'a)Plantilla'!$C39,RedondeoPersonalTecnico),IF(TipoProgramaPersonalTecnico=2,ROUND(Programa!D$16*'a)Plantilla'!$C39,RedondeoPersonalTecnico),ROUND(Programa!D$16*Hjor*'a)Plantilla'!$C39,RedondeoPersonalTecnico))),0)</f>
        <v>0</v>
      </c>
      <c r="I78" s="6">
        <f>IF(Programa!D$17&gt;0,IF(TipoProgramaPersonalTecnico=1,ROUND(Programa!F$17*'a)Plantilla'!$C39,RedondeoPersonalTecnico),IF(TipoProgramaPersonalTecnico=2,ROUND(Programa!D$17*'a)Plantilla'!$C39,RedondeoPersonalTecnico),ROUND(Programa!D$17*Hjor*'a)Plantilla'!$C39,RedondeoPersonalTecnico))),0)</f>
        <v>0</v>
      </c>
      <c r="J78" s="6">
        <f>IF(Programa!D$18&gt;0,IF(TipoProgramaPersonalTecnico=1,ROUND(Programa!F$18*'a)Plantilla'!$C39,RedondeoPersonalTecnico),IF(TipoProgramaPersonalTecnico=2,ROUND(Programa!D$18*'a)Plantilla'!$C39,RedondeoPersonalTecnico),ROUND(Programa!D$18*Hjor*'a)Plantilla'!$C39,RedondeoPersonalTecnico))),0)</f>
        <v>0</v>
      </c>
      <c r="K78" s="6">
        <f>IF(Programa!D$19&gt;0,IF(TipoProgramaPersonalTecnico=1,ROUND(Programa!F$19*'a)Plantilla'!$C39,RedondeoPersonalTecnico),IF(TipoProgramaPersonalTecnico=2,ROUND(Programa!D$19*'a)Plantilla'!$C39,RedondeoPersonalTecnico),ROUND(Programa!D$19*Hjor*'a)Plantilla'!$C39,RedondeoPersonalTecnico))),0)</f>
        <v>0</v>
      </c>
      <c r="L78" s="6">
        <f>IF(Programa!D$20&gt;0,IF(TipoProgramaPersonalTecnico=1,ROUND(Programa!F$20*'a)Plantilla'!$C39,RedondeoPersonalTecnico),IF(TipoProgramaPersonalTecnico=2,ROUND(Programa!D$20*'a)Plantilla'!$C39,RedondeoPersonalTecnico),ROUND(Programa!D$20*Hjor*'a)Plantilla'!$C39,RedondeoPersonalTecnico))),0)</f>
        <v>0</v>
      </c>
      <c r="M78" s="6">
        <f>IF(Programa!D$21&gt;0,IF(TipoProgramaPersonalTecnico=1,ROUND(Programa!F$21*'a)Plantilla'!$C39,RedondeoPersonalTecnico),IF(TipoProgramaPersonalTecnico=2,ROUND(Programa!D$21*'a)Plantilla'!$C39,RedondeoPersonalTecnico),ROUND(Programa!D$21*Hjor*'a)Plantilla'!$C39,RedondeoPersonalTecnico))),0)</f>
        <v>0</v>
      </c>
      <c r="N78" s="6">
        <f>IF(Programa!D$22&gt;0,IF(TipoProgramaPersonalTecnico=1,ROUND(Programa!F$22*'a)Plantilla'!$C39,RedondeoPersonalTecnico),IF(TipoProgramaPersonalTecnico=2,ROUND(Programa!D$22*'a)Plantilla'!$C39,RedondeoPersonalTecnico),ROUND(Programa!D$22*Hjor*'a)Plantilla'!$C39,RedondeoPersonalTecnico))),0)</f>
        <v>0</v>
      </c>
      <c r="O78" s="6">
        <f>IF(Programa!D$23&gt;0,IF(TipoProgramaPersonalTecnico=1,ROUND(Programa!F$23*'a)Plantilla'!$C39,RedondeoPersonalTecnico),IF(TipoProgramaPersonalTecnico=2,ROUND(Programa!D$23*'a)Plantilla'!$C39,RedondeoPersonalTecnico),ROUND(Programa!D$23*Hjor*'a)Plantilla'!$C39,RedondeoPersonalTecnico))),0)</f>
        <v>0</v>
      </c>
      <c r="P78" s="78">
        <f>IF(Programa!D$24&gt;0,IF(TipoProgramaPersonalTecnico=1,ROUND(Programa!F$24*'a)Plantilla'!$C39,RedondeoPersonalTecnico),IF(TipoProgramaPersonalTecnico=2,ROUND(Programa!D$24*'a)Plantilla'!$C39,RedondeoPersonalTecnico),ROUND(Programa!D$24*Hjor*'a)Plantilla'!$C39,RedondeoPersonalTecnico))),0)</f>
        <v>0</v>
      </c>
      <c r="Q78" s="27">
        <f>IF(Programa!D$25&gt;0,IF(TipoProgramaPersonalTecnico=1,ROUND(Programa!F$25*'a)Plantilla'!$C39,RedondeoPersonalTecnico),IF(TipoProgramaPersonalTecnico=2,ROUND(Programa!D$25*'a)Plantilla'!$C39,RedondeoPersonalTecnico),ROUND(Programa!D$25*Hjor*'a)Plantilla'!$C39,RedondeoPersonalTecnico))),0)</f>
        <v>0</v>
      </c>
      <c r="R78" s="6">
        <f>IF(Programa!D$26&gt;0,IF(TipoProgramaPersonalTecnico=1,ROUND(Programa!F$26*'a)Plantilla'!$C39,RedondeoPersonalTecnico),IF(TipoProgramaPersonalTecnico=2,ROUND(Programa!D$26*'a)Plantilla'!$C39,RedondeoPersonalTecnico),ROUND(Programa!D$26*Hjor*'a)Plantilla'!$C39,RedondeoPersonalTecnico))),0)</f>
        <v>0</v>
      </c>
      <c r="S78" s="6">
        <f>IF(Programa!D$27&gt;0,IF(TipoProgramaPersonalTecnico=1,ROUND(Programa!F$27*'a)Plantilla'!$C39,RedondeoPersonalTecnico),IF(TipoProgramaPersonalTecnico=2,ROUND(Programa!D$27*'a)Plantilla'!$C39,RedondeoPersonalTecnico),ROUND(Programa!D$27*Hjor*'a)Plantilla'!$C39,RedondeoPersonalTecnico))),0)</f>
        <v>0</v>
      </c>
      <c r="T78" s="6">
        <f>IF(Programa!D$28&gt;0,IF(TipoProgramaPersonalTecnico=1,ROUND(Programa!F$28*'a)Plantilla'!$C39,RedondeoPersonalTecnico),IF(TipoProgramaPersonalTecnico=2,ROUND(Programa!D$28*'a)Plantilla'!$C39,RedondeoPersonalTecnico),ROUND(Programa!D$28*Hjor*'a)Plantilla'!$C39,RedondeoPersonalTecnico))),0)</f>
        <v>0</v>
      </c>
      <c r="U78" s="6">
        <f>IF(Programa!D$29&gt;0,IF(TipoProgramaPersonalTecnico=1,ROUND(Programa!F$29*'a)Plantilla'!$C39,RedondeoPersonalTecnico),IF(TipoProgramaPersonalTecnico=2,ROUND(Programa!D$29*'a)Plantilla'!$C39,RedondeoPersonalTecnico),ROUND(Programa!D$29*Hjor*'a)Plantilla'!$C39,RedondeoPersonalTecnico))),0)</f>
        <v>0</v>
      </c>
      <c r="V78" s="6">
        <f>IF(Programa!D$30&gt;0,IF(TipoProgramaPersonalTecnico=1,ROUND(Programa!F$30*'a)Plantilla'!$C39,RedondeoPersonalTecnico),IF(TipoProgramaPersonalTecnico=2,ROUND(Programa!D$30*'a)Plantilla'!$C39,RedondeoPersonalTecnico),ROUND(Programa!D$30*Hjor*'a)Plantilla'!$C39,RedondeoPersonalTecnico))),0)</f>
        <v>0</v>
      </c>
      <c r="W78" s="6">
        <f>IF(Programa!D$31&gt;0,IF(TipoProgramaPersonalTecnico=1,ROUND(Programa!F$31*'a)Plantilla'!$C39,RedondeoPersonalTecnico),IF(TipoProgramaPersonalTecnico=2,ROUND(Programa!D$31*'a)Plantilla'!$C39,RedondeoPersonalTecnico),ROUND(Programa!D$31*Hjor*'a)Plantilla'!$C39,RedondeoPersonalTecnico))),0)</f>
        <v>0</v>
      </c>
      <c r="X78" s="6">
        <f>IF(Programa!D$32&gt;0,IF(TipoProgramaPersonalTecnico=1,ROUND(Programa!F$32*'a)Plantilla'!$C39,RedondeoPersonalTecnico),IF(TipoProgramaPersonalTecnico=2,ROUND(Programa!D$32*'a)Plantilla'!$C39,RedondeoPersonalTecnico),ROUND(Programa!D$32*Hjor*'a)Plantilla'!$C39,RedondeoPersonalTecnico))),0)</f>
        <v>0</v>
      </c>
      <c r="Y78" s="6">
        <f>IF(Programa!D$33&gt;0,IF(TipoProgramaPersonalTecnico=1,ROUND(Programa!F$33*'a)Plantilla'!$C39,RedondeoPersonalTecnico),IF(TipoProgramaPersonalTecnico=2,ROUND(Programa!D$33*'a)Plantilla'!$C39,RedondeoPersonalTecnico),ROUND(Programa!D$33*Hjor*'a)Plantilla'!$C39,RedondeoPersonalTecnico))),0)</f>
        <v>0</v>
      </c>
      <c r="Z78" s="6">
        <f>IF(Programa!D$34&gt;0,IF(TipoProgramaPersonalTecnico=1,ROUND(Programa!F$34*'a)Plantilla'!$C39,RedondeoPersonalTecnico),IF(TipoProgramaPersonalTecnico=2,ROUND(Programa!D$34*'a)Plantilla'!$C39,RedondeoPersonalTecnico),ROUND(Programa!D$34*Hjor*'a)Plantilla'!$C39,RedondeoPersonalTecnico))),0)</f>
        <v>0</v>
      </c>
      <c r="AA78" s="6">
        <f>IF(Programa!D$35&gt;0,IF(TipoProgramaPersonalTecnico=1,ROUND(Programa!F$35*'a)Plantilla'!$C39,RedondeoPersonalTecnico),IF(TipoProgramaPersonalTecnico=2,ROUND(Programa!D$35*'a)Plantilla'!$C39,RedondeoPersonalTecnico),ROUND(Programa!D$35*Hjor*'a)Plantilla'!$C39,RedondeoPersonalTecnico))),0)</f>
        <v>0</v>
      </c>
      <c r="AB78" s="78">
        <f>IF(Programa!D$36&gt;0,IF(TipoProgramaPersonalTecnico=1,ROUND(Programa!F$36*'a)Plantilla'!$C39,RedondeoPersonalTecnico),IF(TipoProgramaPersonalTecnico=2,ROUND(Programa!D$36*'a)Plantilla'!$C39,RedondeoPersonalTecnico),ROUND(Programa!D$36*Hjor*'a)Plantilla'!$C39,RedondeoPersonalTecnico))),0)</f>
        <v>0</v>
      </c>
      <c r="AC78" s="27">
        <f>IF(Programa!D$37&gt;0,IF(TipoProgramaPersonalTecnico=1,ROUND(Programa!F$37*'a)Plantilla'!$C39,RedondeoPersonalTecnico),IF(TipoProgramaPersonalTecnico=2,ROUND(Programa!D$37*'a)Plantilla'!$C39,RedondeoPersonalTecnico),ROUND(Programa!D$37*Hjor*'a)Plantilla'!$C39,RedondeoPersonalTecnico))),0)</f>
        <v>0</v>
      </c>
      <c r="AD78" s="6">
        <f>IF(Programa!D$38&gt;0,IF(TipoProgramaPersonalTecnico=1,ROUND(Programa!F$38*'a)Plantilla'!$C39,RedondeoPersonalTecnico),IF(TipoProgramaPersonalTecnico=2,ROUND(Programa!D$38*'a)Plantilla'!$C39,RedondeoPersonalTecnico),ROUND(Programa!D$38*Hjor*'a)Plantilla'!$C39,RedondeoPersonalTecnico))),0)</f>
        <v>0</v>
      </c>
      <c r="AE78" s="6">
        <f>IF(Programa!D$39&gt;0,IF(TipoProgramaPersonalTecnico=1,ROUND(Programa!F$39*'a)Plantilla'!$C39,RedondeoPersonalTecnico),IF(TipoProgramaPersonalTecnico=2,ROUND(Programa!D$39*'a)Plantilla'!$C39,RedondeoPersonalTecnico),ROUND(Programa!D$39*Hjor*'a)Plantilla'!$C39,RedondeoPersonalTecnico))),0)</f>
        <v>0</v>
      </c>
      <c r="AF78" s="6">
        <f>IF(Programa!D$40&gt;0,IF(TipoProgramaPersonalTecnico=1,ROUND(Programa!F$40*'a)Plantilla'!$C39,RedondeoPersonalTecnico),IF(TipoProgramaPersonalTecnico=2,ROUND(Programa!D$40*'a)Plantilla'!$C39,RedondeoPersonalTecnico),ROUND(Programa!D$40*Hjor*'a)Plantilla'!$C39,RedondeoPersonalTecnico))),0)</f>
        <v>0</v>
      </c>
      <c r="AG78" s="6">
        <f>IF(Programa!D$41&gt;0,IF(TipoProgramaPersonalTecnico=1,ROUND(Programa!F$41*'a)Plantilla'!$C39,RedondeoPersonalTecnico),IF(TipoProgramaPersonalTecnico=2,ROUND(Programa!D$41*'a)Plantilla'!$C39,RedondeoPersonalTecnico),ROUND(Programa!D$41*Hjor*'a)Plantilla'!$C39,RedondeoPersonalTecnico))),0)</f>
        <v>0</v>
      </c>
      <c r="AH78" s="6">
        <f>IF(Programa!D$42&gt;0,IF(TipoProgramaPersonalTecnico=1,ROUND(Programa!F$42*'a)Plantilla'!$C39,RedondeoPersonalTecnico),IF(TipoProgramaPersonalTecnico=2,ROUND(Programa!D$42*'a)Plantilla'!$C39,RedondeoPersonalTecnico),ROUND(Programa!D$42*Hjor*'a)Plantilla'!$C39,RedondeoPersonalTecnico))),0)</f>
        <v>0</v>
      </c>
      <c r="AI78" s="6">
        <f>IF(Programa!D$43&gt;0,IF(TipoProgramaPersonalTecnico=1,ROUND(Programa!F$43*'a)Plantilla'!$C39,RedondeoPersonalTecnico),IF(TipoProgramaPersonalTecnico=2,ROUND(Programa!D$43*'a)Plantilla'!$C39,RedondeoPersonalTecnico),ROUND(Programa!D$43*Hjor*'a)Plantilla'!$C39,RedondeoPersonalTecnico))),0)</f>
        <v>0</v>
      </c>
      <c r="AJ78" s="6">
        <f>IF(Programa!D$44&gt;0,IF(TipoProgramaPersonalTecnico=1,ROUND(Programa!F$44*'a)Plantilla'!$C39,RedondeoPersonalTecnico),IF(TipoProgramaPersonalTecnico=2,ROUND(Programa!D$44*'a)Plantilla'!$C39,RedondeoPersonalTecnico),ROUND(Programa!D$44*Hjor*'a)Plantilla'!$C39,RedondeoPersonalTecnico))),0)</f>
        <v>0</v>
      </c>
      <c r="AK78" s="6">
        <f>IF(Programa!D$45&gt;0,IF(TipoProgramaPersonalTecnico=1,ROUND(Programa!F$45*'a)Plantilla'!$C39,RedondeoPersonalTecnico),IF(TipoProgramaPersonalTecnico=2,ROUND(Programa!D$45*'a)Plantilla'!$C39,RedondeoPersonalTecnico),ROUND(Programa!D$45*Hjor*'a)Plantilla'!$C39,RedondeoPersonalTecnico))),0)</f>
        <v>0</v>
      </c>
      <c r="AL78" s="6">
        <f>IF(Programa!D$46&gt;0,IF(TipoProgramaPersonalTecnico=1,ROUND(Programa!F$46*'a)Plantilla'!$C39,RedondeoPersonalTecnico),IF(TipoProgramaPersonalTecnico=2,ROUND(Programa!D$46*'a)Plantilla'!$C39,RedondeoPersonalTecnico),ROUND(Programa!D$46*Hjor*'a)Plantilla'!$C39,RedondeoPersonalTecnico))),0)</f>
        <v>0</v>
      </c>
      <c r="AM78" s="6">
        <f>IF(Programa!D$47&gt;0,IF(TipoProgramaPersonalTecnico=1,ROUND(Programa!F$47*'a)Plantilla'!$C39,RedondeoPersonalTecnico),IF(TipoProgramaPersonalTecnico=2,ROUND(Programa!D$47*'a)Plantilla'!$C39,RedondeoPersonalTecnico),ROUND(Programa!D$47*Hjor*'a)Plantilla'!$C39,RedondeoPersonalTecnico))),0)</f>
        <v>0</v>
      </c>
      <c r="AN78" s="78">
        <f>IF(Programa!D$48&gt;0,IF(TipoProgramaPersonalTecnico=1,ROUND(Programa!F$48*'a)Plantilla'!$C39,RedondeoPersonalTecnico),IF(TipoProgramaPersonalTecnico=2,ROUND(Programa!D$48*'a)Plantilla'!$C39,RedondeoPersonalTecnico),ROUND(Programa!D$48*Hjor*'a)Plantilla'!$C39,RedondeoPersonalTecnico))),0)</f>
        <v>0</v>
      </c>
      <c r="AO78" s="27">
        <f>IF(Programa!D$49&gt;0,IF(TipoProgramaPersonalTecnico=1,ROUND(Programa!F$49*'a)Plantilla'!$C39,RedondeoPersonalTecnico),IF(TipoProgramaPersonalTecnico=2,ROUND(Programa!D$49*'a)Plantilla'!$C39,RedondeoPersonalTecnico),ROUND(Programa!D$49*Hjor*'a)Plantilla'!$C39,RedondeoPersonalTecnico))),0)</f>
        <v>0</v>
      </c>
      <c r="AP78" s="6">
        <f>IF(Programa!D$50&gt;0,IF(TipoProgramaPersonalTecnico=1,ROUND(Programa!F$50*'a)Plantilla'!$C39,RedondeoPersonalTecnico),IF(TipoProgramaPersonalTecnico=2,ROUND(Programa!D$50*'a)Plantilla'!$C39,RedondeoPersonalTecnico),ROUND(Programa!D$50*Hjor*'a)Plantilla'!$C39,RedondeoPersonalTecnico))),0)</f>
        <v>0</v>
      </c>
      <c r="AQ78" s="6">
        <f>IF(Programa!D$51&gt;0,IF(TipoProgramaPersonalTecnico=1,ROUND(Programa!F$51*'a)Plantilla'!$C39,RedondeoPersonalTecnico),IF(TipoProgramaPersonalTecnico=2,ROUND(Programa!D$51*'a)Plantilla'!$C39,RedondeoPersonalTecnico),ROUND(Programa!D$51*Hjor*'a)Plantilla'!$C39,RedondeoPersonalTecnico))),0)</f>
        <v>0</v>
      </c>
      <c r="AR78" s="6">
        <f>IF(Programa!D$52&gt;0,IF(TipoProgramaPersonalTecnico=1,ROUND(Programa!F$52*'a)Plantilla'!$C39,RedondeoPersonalTecnico),IF(TipoProgramaPersonalTecnico=2,ROUND(Programa!D$52*'a)Plantilla'!$C39,RedondeoPersonalTecnico),ROUND(Programa!D$52*Hjor*'a)Plantilla'!$C39,RedondeoPersonalTecnico))),0)</f>
        <v>0</v>
      </c>
      <c r="AS78" s="6">
        <f>IF(Programa!D$53&gt;0,IF(TipoProgramaPersonalTecnico=1,ROUND(Programa!F$53*'a)Plantilla'!$C39,RedondeoPersonalTecnico),IF(TipoProgramaPersonalTecnico=2,ROUND(Programa!D$53*'a)Plantilla'!$C39,RedondeoPersonalTecnico),ROUND(Programa!D$53*Hjor*'a)Plantilla'!$C39,RedondeoPersonalTecnico))),0)</f>
        <v>0</v>
      </c>
      <c r="AT78" s="6">
        <f>IF(Programa!D$54&gt;0,IF(TipoProgramaPersonalTecnico=1,ROUND(Programa!F$54*'a)Plantilla'!$C39,RedondeoPersonalTecnico),IF(TipoProgramaPersonalTecnico=2,ROUND(Programa!D$54*'a)Plantilla'!$C39,RedondeoPersonalTecnico),ROUND(Programa!D$54*Hjor*'a)Plantilla'!$C39,RedondeoPersonalTecnico))),0)</f>
        <v>0</v>
      </c>
      <c r="AU78" s="6">
        <f>IF(Programa!D$55&gt;0,IF(TipoProgramaPersonalTecnico=1,ROUND(Programa!F$55*'a)Plantilla'!$C39,RedondeoPersonalTecnico),IF(TipoProgramaPersonalTecnico=2,ROUND(Programa!D$55*'a)Plantilla'!$C39,RedondeoPersonalTecnico),ROUND(Programa!D$55*Hjor*'a)Plantilla'!$C39,RedondeoPersonalTecnico))),0)</f>
        <v>0</v>
      </c>
      <c r="AV78" s="6">
        <f>IF(Programa!D$56&gt;0,IF(TipoProgramaPersonalTecnico=1,ROUND(Programa!F$56*'a)Plantilla'!$C39,RedondeoPersonalTecnico),IF(TipoProgramaPersonalTecnico=2,ROUND(Programa!D$56*'a)Plantilla'!$C39,RedondeoPersonalTecnico),ROUND(Programa!D$56*Hjor*'a)Plantilla'!$C39,RedondeoPersonalTecnico))),0)</f>
        <v>0</v>
      </c>
      <c r="AW78" s="6">
        <f>IF(Programa!D$57&gt;0,IF(TipoProgramaPersonalTecnico=1,ROUND(Programa!F$57*'a)Plantilla'!$C39,RedondeoPersonalTecnico),IF(TipoProgramaPersonalTecnico=2,ROUND(Programa!D$57*'a)Plantilla'!$C39,RedondeoPersonalTecnico),ROUND(Programa!D$57*Hjor*'a)Plantilla'!$C39,RedondeoPersonalTecnico))),0)</f>
        <v>0</v>
      </c>
      <c r="AX78" s="6">
        <f>IF(Programa!D$58&gt;0,IF(TipoProgramaPersonalTecnico=1,ROUND(Programa!F$58*'a)Plantilla'!$C39,RedondeoPersonalTecnico),IF(TipoProgramaPersonalTecnico=2,ROUND(Programa!D$58*'a)Plantilla'!$C39,RedondeoPersonalTecnico),ROUND(Programa!D$58*Hjor*'a)Plantilla'!$C39,RedondeoPersonalTecnico))),0)</f>
        <v>0</v>
      </c>
      <c r="AY78" s="6">
        <f>IF(Programa!D$59&gt;0,IF(TipoProgramaPersonalTecnico=1,ROUND(Programa!F$59*'a)Plantilla'!$C39,RedondeoPersonalTecnico),IF(TipoProgramaPersonalTecnico=2,ROUND(Programa!D$59*'a)Plantilla'!$C39,RedondeoPersonalTecnico),ROUND(Programa!D$59*Hjor*'a)Plantilla'!$C39,RedondeoPersonalTecnico))),0)</f>
        <v>0</v>
      </c>
      <c r="AZ78" s="6">
        <f>IF(Programa!D$60&gt;0,IF(TipoProgramaPersonalTecnico=1,ROUND(Programa!F$60*'a)Plantilla'!$C39,RedondeoPersonalTecnico),IF(TipoProgramaPersonalTecnico=2,ROUND(Programa!D$60*'a)Plantilla'!$C39,RedondeoPersonalTecnico),ROUND(Programa!D$60*Hjor*'a)Plantilla'!$C39,RedondeoPersonalTecnico))),0)</f>
        <v>0</v>
      </c>
      <c r="BA78" s="6">
        <f>IF(Programa!D$61&gt;0,IF(TipoProgramaPersonalTecnico=1,ROUND(Programa!F$61*'a)Plantilla'!$C39,RedondeoPersonalTecnico),IF(TipoProgramaPersonalTecnico=2,ROUND(Programa!D$61*'a)Plantilla'!$C39,RedondeoPersonalTecnico),ROUND(Programa!D$61*Hjor*'a)Plantilla'!$C39,RedondeoPersonalTecnico))),0)</f>
        <v>0</v>
      </c>
      <c r="BB78" s="6">
        <f>IF(Programa!D$62&gt;0,IF(TipoProgramaPersonalTecnico=1,ROUND(Programa!F$62*'a)Plantilla'!$C39,RedondeoPersonalTecnico),IF(TipoProgramaPersonalTecnico=2,ROUND(Programa!D$62*'a)Plantilla'!$C39,RedondeoPersonalTecnico),ROUND(Programa!D$62*Hjor*'a)Plantilla'!$C39,RedondeoPersonalTecnico))),0)</f>
        <v>0</v>
      </c>
      <c r="BC78" s="6">
        <f>IF(Programa!D$63&gt;0,IF(TipoProgramaPersonalTecnico=1,ROUND(Programa!F$63*'a)Plantilla'!$C39,RedondeoPersonalTecnico),IF(TipoProgramaPersonalTecnico=2,ROUND(Programa!D$63*'a)Plantilla'!$C39,RedondeoPersonalTecnico),ROUND(Programa!D$63*Hjor*'a)Plantilla'!$C39,RedondeoPersonalTecnico))),0)</f>
        <v>0</v>
      </c>
      <c r="BD78" s="6">
        <f>IF(Programa!D$64&gt;0,IF(TipoProgramaPersonalTecnico=1,ROUND(Programa!F$64*'a)Plantilla'!$C39,RedondeoPersonalTecnico),IF(TipoProgramaPersonalTecnico=2,ROUND(Programa!D$64*'a)Plantilla'!$C39,RedondeoPersonalTecnico),ROUND(Programa!D$64*Hjor*'a)Plantilla'!$C39,RedondeoPersonalTecnico))),0)</f>
        <v>0</v>
      </c>
      <c r="BE78" s="6">
        <f>IF(Programa!D$65&gt;0,IF(TipoProgramaPersonalTecnico=1,ROUND(Programa!F$65*'a)Plantilla'!$C39,RedondeoPersonalTecnico),IF(TipoProgramaPersonalTecnico=2,ROUND(Programa!D$65*'a)Plantilla'!$C39,RedondeoPersonalTecnico),ROUND(Programa!D$65*Hjor*'a)Plantilla'!$C39,RedondeoPersonalTecnico))),0)</f>
        <v>0</v>
      </c>
      <c r="BF78" s="6">
        <f>IF(Programa!D$66&gt;0,IF(TipoProgramaPersonalTecnico=1,ROUND(Programa!F$66*'a)Plantilla'!$C39,RedondeoPersonalTecnico),IF(TipoProgramaPersonalTecnico=2,ROUND(Programa!D$66*'a)Plantilla'!$C39,RedondeoPersonalTecnico),ROUND(Programa!D$66*Hjor*'a)Plantilla'!$C39,RedondeoPersonalTecnico))),0)</f>
        <v>0</v>
      </c>
      <c r="BG78" s="6">
        <f>IF(Programa!D$67&gt;0,IF(TipoProgramaPersonalTecnico=1,ROUND(Programa!F$67*'a)Plantilla'!$C39,RedondeoPersonalTecnico),IF(TipoProgramaPersonalTecnico=2,ROUND(Programa!D$67*'a)Plantilla'!$C39,RedondeoPersonalTecnico),ROUND(Programa!D$67*Hjor*'a)Plantilla'!$C39,RedondeoPersonalTecnico))),0)</f>
        <v>0</v>
      </c>
      <c r="BH78" s="6">
        <f>IF(Programa!D$68&gt;0,IF(TipoProgramaPersonalTecnico=1,ROUND(Programa!F$68*'a)Plantilla'!$C39,RedondeoPersonalTecnico),IF(TipoProgramaPersonalTecnico=2,ROUND(Programa!D$68*'a)Plantilla'!$C39,RedondeoPersonalTecnico),ROUND(Programa!D$68*Hjor*'a)Plantilla'!$C39,RedondeoPersonalTecnico))),0)</f>
        <v>0</v>
      </c>
      <c r="BI78" s="6">
        <f>IF(Programa!D$69&gt;0,IF(TipoProgramaPersonalTecnico=1,ROUND(Programa!F$69*'a)Plantilla'!$C39,RedondeoPersonalTecnico),IF(TipoProgramaPersonalTecnico=2,ROUND(Programa!D$69*'a)Plantilla'!$C39,RedondeoPersonalTecnico),ROUND(Programa!D$69*Hjor*'a)Plantilla'!$C39,RedondeoPersonalTecnico))),0)</f>
        <v>0</v>
      </c>
      <c r="BJ78" s="6">
        <f>IF(Programa!D$70&gt;0,IF(TipoProgramaPersonalTecnico=1,ROUND(Programa!F$70*'a)Plantilla'!$C39,RedondeoPersonalTecnico),IF(TipoProgramaPersonalTecnico=2,ROUND(Programa!D$70*'a)Plantilla'!$C39,RedondeoPersonalTecnico),ROUND(Programa!D$70*Hjor*'a)Plantilla'!$C39,RedondeoPersonalTecnico))),0)</f>
        <v>0</v>
      </c>
      <c r="BK78" s="6">
        <f>IF(Programa!D$71&gt;0,IF(TipoProgramaPersonalTecnico=1,ROUND(Programa!F$71*'a)Plantilla'!$C39,RedondeoPersonalTecnico),IF(TipoProgramaPersonalTecnico=2,ROUND(Programa!D$71*'a)Plantilla'!$C39,RedondeoPersonalTecnico),ROUND(Programa!D$71*Hjor*'a)Plantilla'!$C39,RedondeoPersonalTecnico))),0)</f>
        <v>0</v>
      </c>
      <c r="BL78" s="78">
        <f>IF(Programa!D$72&gt;0,IF(TipoProgramaPersonalTecnico=1,ROUND(Programa!F$72*'a)Plantilla'!$C39,RedondeoPersonalTecnico),IF(TipoProgramaPersonalTecnico=2,ROUND(Programa!D$72*'a)Plantilla'!$C39,RedondeoPersonalTecnico),ROUND(Programa!D$72*Hjor*'a)Plantilla'!$C39,RedondeoPersonalTecnico))),0)</f>
        <v>0</v>
      </c>
    </row>
    <row r="79" spans="1:64" ht="8.1" customHeight="1">
      <c r="A79" s="133"/>
      <c r="B79" s="46"/>
      <c r="C79" s="31"/>
      <c r="D79" s="22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78"/>
      <c r="Q79" s="27"/>
      <c r="R79" s="6"/>
      <c r="S79" s="6"/>
      <c r="T79" s="6"/>
      <c r="U79" s="6"/>
      <c r="V79" s="6"/>
      <c r="W79" s="6"/>
      <c r="X79" s="6"/>
      <c r="Y79" s="6"/>
      <c r="Z79" s="6"/>
      <c r="AA79" s="6"/>
      <c r="AB79" s="78"/>
      <c r="AC79" s="27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78"/>
      <c r="AO79" s="27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78"/>
    </row>
    <row r="80" spans="1:64" ht="12.75" customHeight="1">
      <c r="A80" s="133"/>
      <c r="B80" s="46" t="str">
        <f>IF('a)Plantilla'!C40&gt;0,'a)Plantilla'!B40,"")</f>
        <v/>
      </c>
      <c r="C80" s="17" t="str">
        <f>IF('a)Plantilla'!C$40&gt;0,IF(TipoProgramaPersonalTecnico=1,"Personas",IF(TipoProgramaPersonalTecnico=2,"Jornal","horas-Hombre")),"")</f>
        <v/>
      </c>
      <c r="D80" s="226">
        <f>ROUND(SUM(E80:BL80),RedondeoPersonalTecnico)</f>
        <v>0</v>
      </c>
      <c r="E80" s="6">
        <f>IF(Programa!D$13&gt;0,IF(TipoProgramaPersonalTecnico=1,ROUND(Programa!F$13*'a)Plantilla'!$C40,RedondeoPersonalTecnico),IF(TipoProgramaPersonalTecnico=2,ROUND(Programa!D$13*'a)Plantilla'!$C40,RedondeoPersonalTecnico),ROUND(Programa!D$13*Hjor*'a)Plantilla'!$C40,RedondeoPersonalTecnico))),0)</f>
        <v>0</v>
      </c>
      <c r="F80" s="6">
        <f>IF(Programa!D$14&gt;0,IF(TipoProgramaPersonalTecnico=1,ROUND(Programa!F$14*'a)Plantilla'!$C40,RedondeoPersonalTecnico),IF(TipoProgramaPersonalTecnico=2,ROUND(Programa!D$14*'a)Plantilla'!$C40,RedondeoPersonalTecnico),ROUND(Programa!D$14*Hjor*'a)Plantilla'!$C40,RedondeoPersonalTecnico))),0)</f>
        <v>0</v>
      </c>
      <c r="G80" s="6">
        <f>IF(Programa!D$15&gt;0,IF(TipoProgramaPersonalTecnico=1,ROUND(Programa!F$15*'a)Plantilla'!$C40,RedondeoPersonalTecnico),IF(TipoProgramaPersonalTecnico=2,ROUND(Programa!D$15*'a)Plantilla'!$C40,RedondeoPersonalTecnico),ROUND(Programa!D$15*Hjor*'a)Plantilla'!$C40,RedondeoPersonalTecnico))),0)</f>
        <v>0</v>
      </c>
      <c r="H80" s="6">
        <f>IF(Programa!D$16&gt;0,IF(TipoProgramaPersonalTecnico=1,ROUND(Programa!F$16*'a)Plantilla'!$C40,RedondeoPersonalTecnico),IF(TipoProgramaPersonalTecnico=2,ROUND(Programa!D$16*'a)Plantilla'!$C40,RedondeoPersonalTecnico),ROUND(Programa!D$16*Hjor*'a)Plantilla'!$C40,RedondeoPersonalTecnico))),0)</f>
        <v>0</v>
      </c>
      <c r="I80" s="6">
        <f>IF(Programa!D$17&gt;0,IF(TipoProgramaPersonalTecnico=1,ROUND(Programa!F$17*'a)Plantilla'!$C40,RedondeoPersonalTecnico),IF(TipoProgramaPersonalTecnico=2,ROUND(Programa!D$17*'a)Plantilla'!$C40,RedondeoPersonalTecnico),ROUND(Programa!D$17*Hjor*'a)Plantilla'!$C40,RedondeoPersonalTecnico))),0)</f>
        <v>0</v>
      </c>
      <c r="J80" s="6">
        <f>IF(Programa!D$18&gt;0,IF(TipoProgramaPersonalTecnico=1,ROUND(Programa!F$18*'a)Plantilla'!$C40,RedondeoPersonalTecnico),IF(TipoProgramaPersonalTecnico=2,ROUND(Programa!D$18*'a)Plantilla'!$C40,RedondeoPersonalTecnico),ROUND(Programa!D$18*Hjor*'a)Plantilla'!$C40,RedondeoPersonalTecnico))),0)</f>
        <v>0</v>
      </c>
      <c r="K80" s="6">
        <f>IF(Programa!D$19&gt;0,IF(TipoProgramaPersonalTecnico=1,ROUND(Programa!F$19*'a)Plantilla'!$C40,RedondeoPersonalTecnico),IF(TipoProgramaPersonalTecnico=2,ROUND(Programa!D$19*'a)Plantilla'!$C40,RedondeoPersonalTecnico),ROUND(Programa!D$19*Hjor*'a)Plantilla'!$C40,RedondeoPersonalTecnico))),0)</f>
        <v>0</v>
      </c>
      <c r="L80" s="6">
        <f>IF(Programa!D$20&gt;0,IF(TipoProgramaPersonalTecnico=1,ROUND(Programa!F$20*'a)Plantilla'!$C40,RedondeoPersonalTecnico),IF(TipoProgramaPersonalTecnico=2,ROUND(Programa!D$20*'a)Plantilla'!$C40,RedondeoPersonalTecnico),ROUND(Programa!D$20*Hjor*'a)Plantilla'!$C40,RedondeoPersonalTecnico))),0)</f>
        <v>0</v>
      </c>
      <c r="M80" s="6">
        <f>IF(Programa!D$21&gt;0,IF(TipoProgramaPersonalTecnico=1,ROUND(Programa!F$21*'a)Plantilla'!$C40,RedondeoPersonalTecnico),IF(TipoProgramaPersonalTecnico=2,ROUND(Programa!D$21*'a)Plantilla'!$C40,RedondeoPersonalTecnico),ROUND(Programa!D$21*Hjor*'a)Plantilla'!$C40,RedondeoPersonalTecnico))),0)</f>
        <v>0</v>
      </c>
      <c r="N80" s="6">
        <f>IF(Programa!D$22&gt;0,IF(TipoProgramaPersonalTecnico=1,ROUND(Programa!F$22*'a)Plantilla'!$C40,RedondeoPersonalTecnico),IF(TipoProgramaPersonalTecnico=2,ROUND(Programa!D$22*'a)Plantilla'!$C40,RedondeoPersonalTecnico),ROUND(Programa!D$22*Hjor*'a)Plantilla'!$C40,RedondeoPersonalTecnico))),0)</f>
        <v>0</v>
      </c>
      <c r="O80" s="6">
        <f>IF(Programa!D$23&gt;0,IF(TipoProgramaPersonalTecnico=1,ROUND(Programa!F$23*'a)Plantilla'!$C40,RedondeoPersonalTecnico),IF(TipoProgramaPersonalTecnico=2,ROUND(Programa!D$23*'a)Plantilla'!$C40,RedondeoPersonalTecnico),ROUND(Programa!D$23*Hjor*'a)Plantilla'!$C40,RedondeoPersonalTecnico))),0)</f>
        <v>0</v>
      </c>
      <c r="P80" s="78">
        <f>IF(Programa!D$24&gt;0,IF(TipoProgramaPersonalTecnico=1,ROUND(Programa!F$24*'a)Plantilla'!$C40,RedondeoPersonalTecnico),IF(TipoProgramaPersonalTecnico=2,ROUND(Programa!D$24*'a)Plantilla'!$C40,RedondeoPersonalTecnico),ROUND(Programa!D$24*Hjor*'a)Plantilla'!$C40,RedondeoPersonalTecnico))),0)</f>
        <v>0</v>
      </c>
      <c r="Q80" s="27">
        <f>IF(Programa!D$25&gt;0,IF(TipoProgramaPersonalTecnico=1,ROUND(Programa!F$25*'a)Plantilla'!$C40,RedondeoPersonalTecnico),IF(TipoProgramaPersonalTecnico=2,ROUND(Programa!D$25*'a)Plantilla'!$C40,RedondeoPersonalTecnico),ROUND(Programa!D$25*Hjor*'a)Plantilla'!$C40,RedondeoPersonalTecnico))),0)</f>
        <v>0</v>
      </c>
      <c r="R80" s="6">
        <f>IF(Programa!D$26&gt;0,IF(TipoProgramaPersonalTecnico=1,ROUND(Programa!F$26*'a)Plantilla'!$C40,RedondeoPersonalTecnico),IF(TipoProgramaPersonalTecnico=2,ROUND(Programa!D$26*'a)Plantilla'!$C40,RedondeoPersonalTecnico),ROUND(Programa!D$26*Hjor*'a)Plantilla'!$C40,RedondeoPersonalTecnico))),0)</f>
        <v>0</v>
      </c>
      <c r="S80" s="6">
        <f>IF(Programa!D$27&gt;0,IF(TipoProgramaPersonalTecnico=1,ROUND(Programa!F$27*'a)Plantilla'!$C40,RedondeoPersonalTecnico),IF(TipoProgramaPersonalTecnico=2,ROUND(Programa!D$27*'a)Plantilla'!$C40,RedondeoPersonalTecnico),ROUND(Programa!D$27*Hjor*'a)Plantilla'!$C40,RedondeoPersonalTecnico))),0)</f>
        <v>0</v>
      </c>
      <c r="T80" s="6">
        <f>IF(Programa!D$28&gt;0,IF(TipoProgramaPersonalTecnico=1,ROUND(Programa!F$28*'a)Plantilla'!$C40,RedondeoPersonalTecnico),IF(TipoProgramaPersonalTecnico=2,ROUND(Programa!D$28*'a)Plantilla'!$C40,RedondeoPersonalTecnico),ROUND(Programa!D$28*Hjor*'a)Plantilla'!$C40,RedondeoPersonalTecnico))),0)</f>
        <v>0</v>
      </c>
      <c r="U80" s="6">
        <f>IF(Programa!D$29&gt;0,IF(TipoProgramaPersonalTecnico=1,ROUND(Programa!F$29*'a)Plantilla'!$C40,RedondeoPersonalTecnico),IF(TipoProgramaPersonalTecnico=2,ROUND(Programa!D$29*'a)Plantilla'!$C40,RedondeoPersonalTecnico),ROUND(Programa!D$29*Hjor*'a)Plantilla'!$C40,RedondeoPersonalTecnico))),0)</f>
        <v>0</v>
      </c>
      <c r="V80" s="6">
        <f>IF(Programa!D$30&gt;0,IF(TipoProgramaPersonalTecnico=1,ROUND(Programa!F$30*'a)Plantilla'!$C40,RedondeoPersonalTecnico),IF(TipoProgramaPersonalTecnico=2,ROUND(Programa!D$30*'a)Plantilla'!$C40,RedondeoPersonalTecnico),ROUND(Programa!D$30*Hjor*'a)Plantilla'!$C40,RedondeoPersonalTecnico))),0)</f>
        <v>0</v>
      </c>
      <c r="W80" s="6">
        <f>IF(Programa!D$31&gt;0,IF(TipoProgramaPersonalTecnico=1,ROUND(Programa!F$31*'a)Plantilla'!$C40,RedondeoPersonalTecnico),IF(TipoProgramaPersonalTecnico=2,ROUND(Programa!D$31*'a)Plantilla'!$C40,RedondeoPersonalTecnico),ROUND(Programa!D$31*Hjor*'a)Plantilla'!$C40,RedondeoPersonalTecnico))),0)</f>
        <v>0</v>
      </c>
      <c r="X80" s="6">
        <f>IF(Programa!D$32&gt;0,IF(TipoProgramaPersonalTecnico=1,ROUND(Programa!F$32*'a)Plantilla'!$C40,RedondeoPersonalTecnico),IF(TipoProgramaPersonalTecnico=2,ROUND(Programa!D$32*'a)Plantilla'!$C40,RedondeoPersonalTecnico),ROUND(Programa!D$32*Hjor*'a)Plantilla'!$C40,RedondeoPersonalTecnico))),0)</f>
        <v>0</v>
      </c>
      <c r="Y80" s="6">
        <f>IF(Programa!D$33&gt;0,IF(TipoProgramaPersonalTecnico=1,ROUND(Programa!F$33*'a)Plantilla'!$C40,RedondeoPersonalTecnico),IF(TipoProgramaPersonalTecnico=2,ROUND(Programa!D$33*'a)Plantilla'!$C40,RedondeoPersonalTecnico),ROUND(Programa!D$33*Hjor*'a)Plantilla'!$C40,RedondeoPersonalTecnico))),0)</f>
        <v>0</v>
      </c>
      <c r="Z80" s="6">
        <f>IF(Programa!D$34&gt;0,IF(TipoProgramaPersonalTecnico=1,ROUND(Programa!F$34*'a)Plantilla'!$C40,RedondeoPersonalTecnico),IF(TipoProgramaPersonalTecnico=2,ROUND(Programa!D$34*'a)Plantilla'!$C40,RedondeoPersonalTecnico),ROUND(Programa!D$34*Hjor*'a)Plantilla'!$C40,RedondeoPersonalTecnico))),0)</f>
        <v>0</v>
      </c>
      <c r="AA80" s="6">
        <f>IF(Programa!D$35&gt;0,IF(TipoProgramaPersonalTecnico=1,ROUND(Programa!F$35*'a)Plantilla'!$C40,RedondeoPersonalTecnico),IF(TipoProgramaPersonalTecnico=2,ROUND(Programa!D$35*'a)Plantilla'!$C40,RedondeoPersonalTecnico),ROUND(Programa!D$35*Hjor*'a)Plantilla'!$C40,RedondeoPersonalTecnico))),0)</f>
        <v>0</v>
      </c>
      <c r="AB80" s="78">
        <f>IF(Programa!D$36&gt;0,IF(TipoProgramaPersonalTecnico=1,ROUND(Programa!F$36*'a)Plantilla'!$C40,RedondeoPersonalTecnico),IF(TipoProgramaPersonalTecnico=2,ROUND(Programa!D$36*'a)Plantilla'!$C40,RedondeoPersonalTecnico),ROUND(Programa!D$36*Hjor*'a)Plantilla'!$C40,RedondeoPersonalTecnico))),0)</f>
        <v>0</v>
      </c>
      <c r="AC80" s="27">
        <f>IF(Programa!D$37&gt;0,IF(TipoProgramaPersonalTecnico=1,ROUND(Programa!F$37*'a)Plantilla'!$C40,RedondeoPersonalTecnico),IF(TipoProgramaPersonalTecnico=2,ROUND(Programa!D$37*'a)Plantilla'!$C40,RedondeoPersonalTecnico),ROUND(Programa!D$37*Hjor*'a)Plantilla'!$C40,RedondeoPersonalTecnico))),0)</f>
        <v>0</v>
      </c>
      <c r="AD80" s="6">
        <f>IF(Programa!D$38&gt;0,IF(TipoProgramaPersonalTecnico=1,ROUND(Programa!F$38*'a)Plantilla'!$C40,RedondeoPersonalTecnico),IF(TipoProgramaPersonalTecnico=2,ROUND(Programa!D$38*'a)Plantilla'!$C40,RedondeoPersonalTecnico),ROUND(Programa!D$38*Hjor*'a)Plantilla'!$C40,RedondeoPersonalTecnico))),0)</f>
        <v>0</v>
      </c>
      <c r="AE80" s="6">
        <f>IF(Programa!D$39&gt;0,IF(TipoProgramaPersonalTecnico=1,ROUND(Programa!F$39*'a)Plantilla'!$C40,RedondeoPersonalTecnico),IF(TipoProgramaPersonalTecnico=2,ROUND(Programa!D$39*'a)Plantilla'!$C40,RedondeoPersonalTecnico),ROUND(Programa!D$39*Hjor*'a)Plantilla'!$C40,RedondeoPersonalTecnico))),0)</f>
        <v>0</v>
      </c>
      <c r="AF80" s="6">
        <f>IF(Programa!D$40&gt;0,IF(TipoProgramaPersonalTecnico=1,ROUND(Programa!F$40*'a)Plantilla'!$C40,RedondeoPersonalTecnico),IF(TipoProgramaPersonalTecnico=2,ROUND(Programa!D$40*'a)Plantilla'!$C40,RedondeoPersonalTecnico),ROUND(Programa!D$40*Hjor*'a)Plantilla'!$C40,RedondeoPersonalTecnico))),0)</f>
        <v>0</v>
      </c>
      <c r="AG80" s="6">
        <f>IF(Programa!D$41&gt;0,IF(TipoProgramaPersonalTecnico=1,ROUND(Programa!F$41*'a)Plantilla'!$C40,RedondeoPersonalTecnico),IF(TipoProgramaPersonalTecnico=2,ROUND(Programa!D$41*'a)Plantilla'!$C40,RedondeoPersonalTecnico),ROUND(Programa!D$41*Hjor*'a)Plantilla'!$C40,RedondeoPersonalTecnico))),0)</f>
        <v>0</v>
      </c>
      <c r="AH80" s="6">
        <f>IF(Programa!D$42&gt;0,IF(TipoProgramaPersonalTecnico=1,ROUND(Programa!F$42*'a)Plantilla'!$C40,RedondeoPersonalTecnico),IF(TipoProgramaPersonalTecnico=2,ROUND(Programa!D$42*'a)Plantilla'!$C40,RedondeoPersonalTecnico),ROUND(Programa!D$42*Hjor*'a)Plantilla'!$C40,RedondeoPersonalTecnico))),0)</f>
        <v>0</v>
      </c>
      <c r="AI80" s="6">
        <f>IF(Programa!D$43&gt;0,IF(TipoProgramaPersonalTecnico=1,ROUND(Programa!F$43*'a)Plantilla'!$C40,RedondeoPersonalTecnico),IF(TipoProgramaPersonalTecnico=2,ROUND(Programa!D$43*'a)Plantilla'!$C40,RedondeoPersonalTecnico),ROUND(Programa!D$43*Hjor*'a)Plantilla'!$C40,RedondeoPersonalTecnico))),0)</f>
        <v>0</v>
      </c>
      <c r="AJ80" s="6">
        <f>IF(Programa!D$44&gt;0,IF(TipoProgramaPersonalTecnico=1,ROUND(Programa!F$44*'a)Plantilla'!$C40,RedondeoPersonalTecnico),IF(TipoProgramaPersonalTecnico=2,ROUND(Programa!D$44*'a)Plantilla'!$C40,RedondeoPersonalTecnico),ROUND(Programa!D$44*Hjor*'a)Plantilla'!$C40,RedondeoPersonalTecnico))),0)</f>
        <v>0</v>
      </c>
      <c r="AK80" s="6">
        <f>IF(Programa!D$45&gt;0,IF(TipoProgramaPersonalTecnico=1,ROUND(Programa!F$45*'a)Plantilla'!$C40,RedondeoPersonalTecnico),IF(TipoProgramaPersonalTecnico=2,ROUND(Programa!D$45*'a)Plantilla'!$C40,RedondeoPersonalTecnico),ROUND(Programa!D$45*Hjor*'a)Plantilla'!$C40,RedondeoPersonalTecnico))),0)</f>
        <v>0</v>
      </c>
      <c r="AL80" s="6">
        <f>IF(Programa!D$46&gt;0,IF(TipoProgramaPersonalTecnico=1,ROUND(Programa!F$46*'a)Plantilla'!$C40,RedondeoPersonalTecnico),IF(TipoProgramaPersonalTecnico=2,ROUND(Programa!D$46*'a)Plantilla'!$C40,RedondeoPersonalTecnico),ROUND(Programa!D$46*Hjor*'a)Plantilla'!$C40,RedondeoPersonalTecnico))),0)</f>
        <v>0</v>
      </c>
      <c r="AM80" s="6">
        <f>IF(Programa!D$47&gt;0,IF(TipoProgramaPersonalTecnico=1,ROUND(Programa!F$47*'a)Plantilla'!$C40,RedondeoPersonalTecnico),IF(TipoProgramaPersonalTecnico=2,ROUND(Programa!D$47*'a)Plantilla'!$C40,RedondeoPersonalTecnico),ROUND(Programa!D$47*Hjor*'a)Plantilla'!$C40,RedondeoPersonalTecnico))),0)</f>
        <v>0</v>
      </c>
      <c r="AN80" s="78">
        <f>IF(Programa!D$48&gt;0,IF(TipoProgramaPersonalTecnico=1,ROUND(Programa!F$48*'a)Plantilla'!$C40,RedondeoPersonalTecnico),IF(TipoProgramaPersonalTecnico=2,ROUND(Programa!D$48*'a)Plantilla'!$C40,RedondeoPersonalTecnico),ROUND(Programa!D$48*Hjor*'a)Plantilla'!$C40,RedondeoPersonalTecnico))),0)</f>
        <v>0</v>
      </c>
      <c r="AO80" s="27">
        <f>IF(Programa!D$49&gt;0,IF(TipoProgramaPersonalTecnico=1,ROUND(Programa!F$49*'a)Plantilla'!$C40,RedondeoPersonalTecnico),IF(TipoProgramaPersonalTecnico=2,ROUND(Programa!D$49*'a)Plantilla'!$C40,RedondeoPersonalTecnico),ROUND(Programa!D$49*Hjor*'a)Plantilla'!$C40,RedondeoPersonalTecnico))),0)</f>
        <v>0</v>
      </c>
      <c r="AP80" s="6">
        <f>IF(Programa!D$50&gt;0,IF(TipoProgramaPersonalTecnico=1,ROUND(Programa!F$50*'a)Plantilla'!$C40,RedondeoPersonalTecnico),IF(TipoProgramaPersonalTecnico=2,ROUND(Programa!D$50*'a)Plantilla'!$C40,RedondeoPersonalTecnico),ROUND(Programa!D$50*Hjor*'a)Plantilla'!$C40,RedondeoPersonalTecnico))),0)</f>
        <v>0</v>
      </c>
      <c r="AQ80" s="6">
        <f>IF(Programa!D$51&gt;0,IF(TipoProgramaPersonalTecnico=1,ROUND(Programa!F$51*'a)Plantilla'!$C40,RedondeoPersonalTecnico),IF(TipoProgramaPersonalTecnico=2,ROUND(Programa!D$51*'a)Plantilla'!$C40,RedondeoPersonalTecnico),ROUND(Programa!D$51*Hjor*'a)Plantilla'!$C40,RedondeoPersonalTecnico))),0)</f>
        <v>0</v>
      </c>
      <c r="AR80" s="6">
        <f>IF(Programa!D$52&gt;0,IF(TipoProgramaPersonalTecnico=1,ROUND(Programa!F$52*'a)Plantilla'!$C40,RedondeoPersonalTecnico),IF(TipoProgramaPersonalTecnico=2,ROUND(Programa!D$52*'a)Plantilla'!$C40,RedondeoPersonalTecnico),ROUND(Programa!D$52*Hjor*'a)Plantilla'!$C40,RedondeoPersonalTecnico))),0)</f>
        <v>0</v>
      </c>
      <c r="AS80" s="6">
        <f>IF(Programa!D$53&gt;0,IF(TipoProgramaPersonalTecnico=1,ROUND(Programa!F$53*'a)Plantilla'!$C40,RedondeoPersonalTecnico),IF(TipoProgramaPersonalTecnico=2,ROUND(Programa!D$53*'a)Plantilla'!$C40,RedondeoPersonalTecnico),ROUND(Programa!D$53*Hjor*'a)Plantilla'!$C40,RedondeoPersonalTecnico))),0)</f>
        <v>0</v>
      </c>
      <c r="AT80" s="6">
        <f>IF(Programa!D$54&gt;0,IF(TipoProgramaPersonalTecnico=1,ROUND(Programa!F$54*'a)Plantilla'!$C40,RedondeoPersonalTecnico),IF(TipoProgramaPersonalTecnico=2,ROUND(Programa!D$54*'a)Plantilla'!$C40,RedondeoPersonalTecnico),ROUND(Programa!D$54*Hjor*'a)Plantilla'!$C40,RedondeoPersonalTecnico))),0)</f>
        <v>0</v>
      </c>
      <c r="AU80" s="6">
        <f>IF(Programa!D$55&gt;0,IF(TipoProgramaPersonalTecnico=1,ROUND(Programa!F$55*'a)Plantilla'!$C40,RedondeoPersonalTecnico),IF(TipoProgramaPersonalTecnico=2,ROUND(Programa!D$55*'a)Plantilla'!$C40,RedondeoPersonalTecnico),ROUND(Programa!D$55*Hjor*'a)Plantilla'!$C40,RedondeoPersonalTecnico))),0)</f>
        <v>0</v>
      </c>
      <c r="AV80" s="6">
        <f>IF(Programa!D$56&gt;0,IF(TipoProgramaPersonalTecnico=1,ROUND(Programa!F$56*'a)Plantilla'!$C40,RedondeoPersonalTecnico),IF(TipoProgramaPersonalTecnico=2,ROUND(Programa!D$56*'a)Plantilla'!$C40,RedondeoPersonalTecnico),ROUND(Programa!D$56*Hjor*'a)Plantilla'!$C40,RedondeoPersonalTecnico))),0)</f>
        <v>0</v>
      </c>
      <c r="AW80" s="6">
        <f>IF(Programa!D$57&gt;0,IF(TipoProgramaPersonalTecnico=1,ROUND(Programa!F$57*'a)Plantilla'!$C40,RedondeoPersonalTecnico),IF(TipoProgramaPersonalTecnico=2,ROUND(Programa!D$57*'a)Plantilla'!$C40,RedondeoPersonalTecnico),ROUND(Programa!D$57*Hjor*'a)Plantilla'!$C40,RedondeoPersonalTecnico))),0)</f>
        <v>0</v>
      </c>
      <c r="AX80" s="6">
        <f>IF(Programa!D$58&gt;0,IF(TipoProgramaPersonalTecnico=1,ROUND(Programa!F$58*'a)Plantilla'!$C40,RedondeoPersonalTecnico),IF(TipoProgramaPersonalTecnico=2,ROUND(Programa!D$58*'a)Plantilla'!$C40,RedondeoPersonalTecnico),ROUND(Programa!D$58*Hjor*'a)Plantilla'!$C40,RedondeoPersonalTecnico))),0)</f>
        <v>0</v>
      </c>
      <c r="AY80" s="6">
        <f>IF(Programa!D$59&gt;0,IF(TipoProgramaPersonalTecnico=1,ROUND(Programa!F$59*'a)Plantilla'!$C40,RedondeoPersonalTecnico),IF(TipoProgramaPersonalTecnico=2,ROUND(Programa!D$59*'a)Plantilla'!$C40,RedondeoPersonalTecnico),ROUND(Programa!D$59*Hjor*'a)Plantilla'!$C40,RedondeoPersonalTecnico))),0)</f>
        <v>0</v>
      </c>
      <c r="AZ80" s="6">
        <f>IF(Programa!D$60&gt;0,IF(TipoProgramaPersonalTecnico=1,ROUND(Programa!F$60*'a)Plantilla'!$C40,RedondeoPersonalTecnico),IF(TipoProgramaPersonalTecnico=2,ROUND(Programa!D$60*'a)Plantilla'!$C40,RedondeoPersonalTecnico),ROUND(Programa!D$60*Hjor*'a)Plantilla'!$C40,RedondeoPersonalTecnico))),0)</f>
        <v>0</v>
      </c>
      <c r="BA80" s="6">
        <f>IF(Programa!D$61&gt;0,IF(TipoProgramaPersonalTecnico=1,ROUND(Programa!F$61*'a)Plantilla'!$C40,RedondeoPersonalTecnico),IF(TipoProgramaPersonalTecnico=2,ROUND(Programa!D$61*'a)Plantilla'!$C40,RedondeoPersonalTecnico),ROUND(Programa!D$61*Hjor*'a)Plantilla'!$C40,RedondeoPersonalTecnico))),0)</f>
        <v>0</v>
      </c>
      <c r="BB80" s="6">
        <f>IF(Programa!D$62&gt;0,IF(TipoProgramaPersonalTecnico=1,ROUND(Programa!F$62*'a)Plantilla'!$C40,RedondeoPersonalTecnico),IF(TipoProgramaPersonalTecnico=2,ROUND(Programa!D$62*'a)Plantilla'!$C40,RedondeoPersonalTecnico),ROUND(Programa!D$62*Hjor*'a)Plantilla'!$C40,RedondeoPersonalTecnico))),0)</f>
        <v>0</v>
      </c>
      <c r="BC80" s="6">
        <f>IF(Programa!D$63&gt;0,IF(TipoProgramaPersonalTecnico=1,ROUND(Programa!F$63*'a)Plantilla'!$C40,RedondeoPersonalTecnico),IF(TipoProgramaPersonalTecnico=2,ROUND(Programa!D$63*'a)Plantilla'!$C40,RedondeoPersonalTecnico),ROUND(Programa!D$63*Hjor*'a)Plantilla'!$C40,RedondeoPersonalTecnico))),0)</f>
        <v>0</v>
      </c>
      <c r="BD80" s="6">
        <f>IF(Programa!D$64&gt;0,IF(TipoProgramaPersonalTecnico=1,ROUND(Programa!F$64*'a)Plantilla'!$C40,RedondeoPersonalTecnico),IF(TipoProgramaPersonalTecnico=2,ROUND(Programa!D$64*'a)Plantilla'!$C40,RedondeoPersonalTecnico),ROUND(Programa!D$64*Hjor*'a)Plantilla'!$C40,RedondeoPersonalTecnico))),0)</f>
        <v>0</v>
      </c>
      <c r="BE80" s="6">
        <f>IF(Programa!D$65&gt;0,IF(TipoProgramaPersonalTecnico=1,ROUND(Programa!F$65*'a)Plantilla'!$C40,RedondeoPersonalTecnico),IF(TipoProgramaPersonalTecnico=2,ROUND(Programa!D$65*'a)Plantilla'!$C40,RedondeoPersonalTecnico),ROUND(Programa!D$65*Hjor*'a)Plantilla'!$C40,RedondeoPersonalTecnico))),0)</f>
        <v>0</v>
      </c>
      <c r="BF80" s="6">
        <f>IF(Programa!D$66&gt;0,IF(TipoProgramaPersonalTecnico=1,ROUND(Programa!F$66*'a)Plantilla'!$C40,RedondeoPersonalTecnico),IF(TipoProgramaPersonalTecnico=2,ROUND(Programa!D$66*'a)Plantilla'!$C40,RedondeoPersonalTecnico),ROUND(Programa!D$66*Hjor*'a)Plantilla'!$C40,RedondeoPersonalTecnico))),0)</f>
        <v>0</v>
      </c>
      <c r="BG80" s="6">
        <f>IF(Programa!D$67&gt;0,IF(TipoProgramaPersonalTecnico=1,ROUND(Programa!F$67*'a)Plantilla'!$C40,RedondeoPersonalTecnico),IF(TipoProgramaPersonalTecnico=2,ROUND(Programa!D$67*'a)Plantilla'!$C40,RedondeoPersonalTecnico),ROUND(Programa!D$67*Hjor*'a)Plantilla'!$C40,RedondeoPersonalTecnico))),0)</f>
        <v>0</v>
      </c>
      <c r="BH80" s="6">
        <f>IF(Programa!D$68&gt;0,IF(TipoProgramaPersonalTecnico=1,ROUND(Programa!F$68*'a)Plantilla'!$C40,RedondeoPersonalTecnico),IF(TipoProgramaPersonalTecnico=2,ROUND(Programa!D$68*'a)Plantilla'!$C40,RedondeoPersonalTecnico),ROUND(Programa!D$68*Hjor*'a)Plantilla'!$C40,RedondeoPersonalTecnico))),0)</f>
        <v>0</v>
      </c>
      <c r="BI80" s="6">
        <f>IF(Programa!D$69&gt;0,IF(TipoProgramaPersonalTecnico=1,ROUND(Programa!F$69*'a)Plantilla'!$C40,RedondeoPersonalTecnico),IF(TipoProgramaPersonalTecnico=2,ROUND(Programa!D$69*'a)Plantilla'!$C40,RedondeoPersonalTecnico),ROUND(Programa!D$69*Hjor*'a)Plantilla'!$C40,RedondeoPersonalTecnico))),0)</f>
        <v>0</v>
      </c>
      <c r="BJ80" s="6">
        <f>IF(Programa!D$70&gt;0,IF(TipoProgramaPersonalTecnico=1,ROUND(Programa!F$70*'a)Plantilla'!$C40,RedondeoPersonalTecnico),IF(TipoProgramaPersonalTecnico=2,ROUND(Programa!D$70*'a)Plantilla'!$C40,RedondeoPersonalTecnico),ROUND(Programa!D$70*Hjor*'a)Plantilla'!$C40,RedondeoPersonalTecnico))),0)</f>
        <v>0</v>
      </c>
      <c r="BK80" s="6">
        <f>IF(Programa!D$71&gt;0,IF(TipoProgramaPersonalTecnico=1,ROUND(Programa!F$71*'a)Plantilla'!$C40,RedondeoPersonalTecnico),IF(TipoProgramaPersonalTecnico=2,ROUND(Programa!D$71*'a)Plantilla'!$C40,RedondeoPersonalTecnico),ROUND(Programa!D$71*Hjor*'a)Plantilla'!$C40,RedondeoPersonalTecnico))),0)</f>
        <v>0</v>
      </c>
      <c r="BL80" s="78">
        <f>IF(Programa!D$72&gt;0,IF(TipoProgramaPersonalTecnico=1,ROUND(Programa!F$72*'a)Plantilla'!$C40,RedondeoPersonalTecnico),IF(TipoProgramaPersonalTecnico=2,ROUND(Programa!D$72*'a)Plantilla'!$C40,RedondeoPersonalTecnico),ROUND(Programa!D$72*Hjor*'a)Plantilla'!$C40,RedondeoPersonalTecnico))),0)</f>
        <v>0</v>
      </c>
    </row>
    <row r="81" spans="1:64" ht="8.1" customHeight="1">
      <c r="A81" s="133"/>
      <c r="B81" s="46"/>
      <c r="C81" s="31"/>
      <c r="D81" s="22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8"/>
      <c r="Q81" s="27"/>
      <c r="R81" s="6"/>
      <c r="S81" s="6"/>
      <c r="T81" s="6"/>
      <c r="U81" s="6"/>
      <c r="V81" s="6"/>
      <c r="W81" s="6"/>
      <c r="X81" s="6"/>
      <c r="Y81" s="6"/>
      <c r="Z81" s="6"/>
      <c r="AA81" s="6"/>
      <c r="AB81" s="78"/>
      <c r="AC81" s="27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78"/>
      <c r="AO81" s="27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78"/>
    </row>
    <row r="82" spans="1:64" ht="12.75" customHeight="1">
      <c r="A82" s="133"/>
      <c r="B82" s="46" t="str">
        <f>IF('a)Plantilla'!C41&gt;0,'a)Plantilla'!B41,"")</f>
        <v/>
      </c>
      <c r="C82" s="17" t="str">
        <f>IF('a)Plantilla'!C$41&gt;0,IF(TipoProgramaPersonalTecnico=1,"Personas",IF(TipoProgramaPersonalTecnico=2,"Jornal","horas-Hombre")),"")</f>
        <v/>
      </c>
      <c r="D82" s="226">
        <f>ROUND(SUM(E82:BL82),RedondeoPersonalTecnico)</f>
        <v>0</v>
      </c>
      <c r="E82" s="6">
        <f>IF(Programa!D$13&gt;0,IF(TipoProgramaPersonalTecnico=1,ROUND(Programa!F$13*'a)Plantilla'!$C41,RedondeoPersonalTecnico),IF(TipoProgramaPersonalTecnico=2,ROUND(Programa!D$13*'a)Plantilla'!$C41,RedondeoPersonalTecnico),ROUND(Programa!D$13*Hjor*'a)Plantilla'!$C41,RedondeoPersonalTecnico))),0)</f>
        <v>0</v>
      </c>
      <c r="F82" s="6">
        <f>IF(Programa!D$14&gt;0,IF(TipoProgramaPersonalTecnico=1,ROUND(Programa!F$14*'a)Plantilla'!$C41,RedondeoPersonalTecnico),IF(TipoProgramaPersonalTecnico=2,ROUND(Programa!D$14*'a)Plantilla'!$C41,RedondeoPersonalTecnico),ROUND(Programa!D$14*Hjor*'a)Plantilla'!$C41,RedondeoPersonalTecnico))),0)</f>
        <v>0</v>
      </c>
      <c r="G82" s="6">
        <f>IF(Programa!D$15&gt;0,IF(TipoProgramaPersonalTecnico=1,ROUND(Programa!F$15*'a)Plantilla'!$C41,RedondeoPersonalTecnico),IF(TipoProgramaPersonalTecnico=2,ROUND(Programa!D$15*'a)Plantilla'!$C41,RedondeoPersonalTecnico),ROUND(Programa!D$15*Hjor*'a)Plantilla'!$C41,RedondeoPersonalTecnico))),0)</f>
        <v>0</v>
      </c>
      <c r="H82" s="6">
        <f>IF(Programa!D$16&gt;0,IF(TipoProgramaPersonalTecnico=1,ROUND(Programa!F$16*'a)Plantilla'!$C41,RedondeoPersonalTecnico),IF(TipoProgramaPersonalTecnico=2,ROUND(Programa!D$16*'a)Plantilla'!$C41,RedondeoPersonalTecnico),ROUND(Programa!D$16*Hjor*'a)Plantilla'!$C41,RedondeoPersonalTecnico))),0)</f>
        <v>0</v>
      </c>
      <c r="I82" s="6">
        <f>IF(Programa!D$17&gt;0,IF(TipoProgramaPersonalTecnico=1,ROUND(Programa!F$17*'a)Plantilla'!$C41,RedondeoPersonalTecnico),IF(TipoProgramaPersonalTecnico=2,ROUND(Programa!D$17*'a)Plantilla'!$C41,RedondeoPersonalTecnico),ROUND(Programa!D$17*Hjor*'a)Plantilla'!$C41,RedondeoPersonalTecnico))),0)</f>
        <v>0</v>
      </c>
      <c r="J82" s="6">
        <f>IF(Programa!D$18&gt;0,IF(TipoProgramaPersonalTecnico=1,ROUND(Programa!F$18*'a)Plantilla'!$C41,RedondeoPersonalTecnico),IF(TipoProgramaPersonalTecnico=2,ROUND(Programa!D$18*'a)Plantilla'!$C41,RedondeoPersonalTecnico),ROUND(Programa!D$18*Hjor*'a)Plantilla'!$C41,RedondeoPersonalTecnico))),0)</f>
        <v>0</v>
      </c>
      <c r="K82" s="6">
        <f>IF(Programa!D$19&gt;0,IF(TipoProgramaPersonalTecnico=1,ROUND(Programa!F$19*'a)Plantilla'!$C41,RedondeoPersonalTecnico),IF(TipoProgramaPersonalTecnico=2,ROUND(Programa!D$19*'a)Plantilla'!$C41,RedondeoPersonalTecnico),ROUND(Programa!D$19*Hjor*'a)Plantilla'!$C41,RedondeoPersonalTecnico))),0)</f>
        <v>0</v>
      </c>
      <c r="L82" s="6">
        <f>IF(Programa!D$20&gt;0,IF(TipoProgramaPersonalTecnico=1,ROUND(Programa!F$20*'a)Plantilla'!$C41,RedondeoPersonalTecnico),IF(TipoProgramaPersonalTecnico=2,ROUND(Programa!D$20*'a)Plantilla'!$C41,RedondeoPersonalTecnico),ROUND(Programa!D$20*Hjor*'a)Plantilla'!$C41,RedondeoPersonalTecnico))),0)</f>
        <v>0</v>
      </c>
      <c r="M82" s="6">
        <f>IF(Programa!D$21&gt;0,IF(TipoProgramaPersonalTecnico=1,ROUND(Programa!F$21*'a)Plantilla'!$C41,RedondeoPersonalTecnico),IF(TipoProgramaPersonalTecnico=2,ROUND(Programa!D$21*'a)Plantilla'!$C41,RedondeoPersonalTecnico),ROUND(Programa!D$21*Hjor*'a)Plantilla'!$C41,RedondeoPersonalTecnico))),0)</f>
        <v>0</v>
      </c>
      <c r="N82" s="6">
        <f>IF(Programa!D$22&gt;0,IF(TipoProgramaPersonalTecnico=1,ROUND(Programa!F$22*'a)Plantilla'!$C41,RedondeoPersonalTecnico),IF(TipoProgramaPersonalTecnico=2,ROUND(Programa!D$22*'a)Plantilla'!$C41,RedondeoPersonalTecnico),ROUND(Programa!D$22*Hjor*'a)Plantilla'!$C41,RedondeoPersonalTecnico))),0)</f>
        <v>0</v>
      </c>
      <c r="O82" s="6">
        <f>IF(Programa!D$23&gt;0,IF(TipoProgramaPersonalTecnico=1,ROUND(Programa!F$23*'a)Plantilla'!$C41,RedondeoPersonalTecnico),IF(TipoProgramaPersonalTecnico=2,ROUND(Programa!D$23*'a)Plantilla'!$C41,RedondeoPersonalTecnico),ROUND(Programa!D$23*Hjor*'a)Plantilla'!$C41,RedondeoPersonalTecnico))),0)</f>
        <v>0</v>
      </c>
      <c r="P82" s="78">
        <f>IF(Programa!D$24&gt;0,IF(TipoProgramaPersonalTecnico=1,ROUND(Programa!F$24*'a)Plantilla'!$C41,RedondeoPersonalTecnico),IF(TipoProgramaPersonalTecnico=2,ROUND(Programa!D$24*'a)Plantilla'!$C41,RedondeoPersonalTecnico),ROUND(Programa!D$24*Hjor*'a)Plantilla'!$C41,RedondeoPersonalTecnico))),0)</f>
        <v>0</v>
      </c>
      <c r="Q82" s="27">
        <f>IF(Programa!D$25&gt;0,IF(TipoProgramaPersonalTecnico=1,ROUND(Programa!F$25*'a)Plantilla'!$C41,RedondeoPersonalTecnico),IF(TipoProgramaPersonalTecnico=2,ROUND(Programa!D$25*'a)Plantilla'!$C41,RedondeoPersonalTecnico),ROUND(Programa!D$25*Hjor*'a)Plantilla'!$C41,RedondeoPersonalTecnico))),0)</f>
        <v>0</v>
      </c>
      <c r="R82" s="6">
        <f>IF(Programa!D$26&gt;0,IF(TipoProgramaPersonalTecnico=1,ROUND(Programa!F$26*'a)Plantilla'!$C41,RedondeoPersonalTecnico),IF(TipoProgramaPersonalTecnico=2,ROUND(Programa!D$26*'a)Plantilla'!$C41,RedondeoPersonalTecnico),ROUND(Programa!D$26*Hjor*'a)Plantilla'!$C41,RedondeoPersonalTecnico))),0)</f>
        <v>0</v>
      </c>
      <c r="S82" s="6">
        <f>IF(Programa!D$27&gt;0,IF(TipoProgramaPersonalTecnico=1,ROUND(Programa!F$27*'a)Plantilla'!$C41,RedondeoPersonalTecnico),IF(TipoProgramaPersonalTecnico=2,ROUND(Programa!D$27*'a)Plantilla'!$C41,RedondeoPersonalTecnico),ROUND(Programa!D$27*Hjor*'a)Plantilla'!$C41,RedondeoPersonalTecnico))),0)</f>
        <v>0</v>
      </c>
      <c r="T82" s="6">
        <f>IF(Programa!D$28&gt;0,IF(TipoProgramaPersonalTecnico=1,ROUND(Programa!F$28*'a)Plantilla'!$C41,RedondeoPersonalTecnico),IF(TipoProgramaPersonalTecnico=2,ROUND(Programa!D$28*'a)Plantilla'!$C41,RedondeoPersonalTecnico),ROUND(Programa!D$28*Hjor*'a)Plantilla'!$C41,RedondeoPersonalTecnico))),0)</f>
        <v>0</v>
      </c>
      <c r="U82" s="6">
        <f>IF(Programa!D$29&gt;0,IF(TipoProgramaPersonalTecnico=1,ROUND(Programa!F$29*'a)Plantilla'!$C41,RedondeoPersonalTecnico),IF(TipoProgramaPersonalTecnico=2,ROUND(Programa!D$29*'a)Plantilla'!$C41,RedondeoPersonalTecnico),ROUND(Programa!D$29*Hjor*'a)Plantilla'!$C41,RedondeoPersonalTecnico))),0)</f>
        <v>0</v>
      </c>
      <c r="V82" s="6">
        <f>IF(Programa!D$30&gt;0,IF(TipoProgramaPersonalTecnico=1,ROUND(Programa!F$30*'a)Plantilla'!$C41,RedondeoPersonalTecnico),IF(TipoProgramaPersonalTecnico=2,ROUND(Programa!D$30*'a)Plantilla'!$C41,RedondeoPersonalTecnico),ROUND(Programa!D$30*Hjor*'a)Plantilla'!$C41,RedondeoPersonalTecnico))),0)</f>
        <v>0</v>
      </c>
      <c r="W82" s="6">
        <f>IF(Programa!D$31&gt;0,IF(TipoProgramaPersonalTecnico=1,ROUND(Programa!F$31*'a)Plantilla'!$C41,RedondeoPersonalTecnico),IF(TipoProgramaPersonalTecnico=2,ROUND(Programa!D$31*'a)Plantilla'!$C41,RedondeoPersonalTecnico),ROUND(Programa!D$31*Hjor*'a)Plantilla'!$C41,RedondeoPersonalTecnico))),0)</f>
        <v>0</v>
      </c>
      <c r="X82" s="6">
        <f>IF(Programa!D$32&gt;0,IF(TipoProgramaPersonalTecnico=1,ROUND(Programa!F$32*'a)Plantilla'!$C41,RedondeoPersonalTecnico),IF(TipoProgramaPersonalTecnico=2,ROUND(Programa!D$32*'a)Plantilla'!$C41,RedondeoPersonalTecnico),ROUND(Programa!D$32*Hjor*'a)Plantilla'!$C41,RedondeoPersonalTecnico))),0)</f>
        <v>0</v>
      </c>
      <c r="Y82" s="6">
        <f>IF(Programa!D$33&gt;0,IF(TipoProgramaPersonalTecnico=1,ROUND(Programa!F$33*'a)Plantilla'!$C41,RedondeoPersonalTecnico),IF(TipoProgramaPersonalTecnico=2,ROUND(Programa!D$33*'a)Plantilla'!$C41,RedondeoPersonalTecnico),ROUND(Programa!D$33*Hjor*'a)Plantilla'!$C41,RedondeoPersonalTecnico))),0)</f>
        <v>0</v>
      </c>
      <c r="Z82" s="6">
        <f>IF(Programa!D$34&gt;0,IF(TipoProgramaPersonalTecnico=1,ROUND(Programa!F$34*'a)Plantilla'!$C41,RedondeoPersonalTecnico),IF(TipoProgramaPersonalTecnico=2,ROUND(Programa!D$34*'a)Plantilla'!$C41,RedondeoPersonalTecnico),ROUND(Programa!D$34*Hjor*'a)Plantilla'!$C41,RedondeoPersonalTecnico))),0)</f>
        <v>0</v>
      </c>
      <c r="AA82" s="6">
        <f>IF(Programa!D$35&gt;0,IF(TipoProgramaPersonalTecnico=1,ROUND(Programa!F$35*'a)Plantilla'!$C41,RedondeoPersonalTecnico),IF(TipoProgramaPersonalTecnico=2,ROUND(Programa!D$35*'a)Plantilla'!$C41,RedondeoPersonalTecnico),ROUND(Programa!D$35*Hjor*'a)Plantilla'!$C41,RedondeoPersonalTecnico))),0)</f>
        <v>0</v>
      </c>
      <c r="AB82" s="78">
        <f>IF(Programa!D$36&gt;0,IF(TipoProgramaPersonalTecnico=1,ROUND(Programa!F$36*'a)Plantilla'!$C41,RedondeoPersonalTecnico),IF(TipoProgramaPersonalTecnico=2,ROUND(Programa!D$36*'a)Plantilla'!$C41,RedondeoPersonalTecnico),ROUND(Programa!D$36*Hjor*'a)Plantilla'!$C41,RedondeoPersonalTecnico))),0)</f>
        <v>0</v>
      </c>
      <c r="AC82" s="27">
        <f>IF(Programa!D$37&gt;0,IF(TipoProgramaPersonalTecnico=1,ROUND(Programa!F$37*'a)Plantilla'!$C41,RedondeoPersonalTecnico),IF(TipoProgramaPersonalTecnico=2,ROUND(Programa!D$37*'a)Plantilla'!$C41,RedondeoPersonalTecnico),ROUND(Programa!D$37*Hjor*'a)Plantilla'!$C41,RedondeoPersonalTecnico))),0)</f>
        <v>0</v>
      </c>
      <c r="AD82" s="6">
        <f>IF(Programa!D$38&gt;0,IF(TipoProgramaPersonalTecnico=1,ROUND(Programa!F$38*'a)Plantilla'!$C41,RedondeoPersonalTecnico),IF(TipoProgramaPersonalTecnico=2,ROUND(Programa!D$38*'a)Plantilla'!$C41,RedondeoPersonalTecnico),ROUND(Programa!D$38*Hjor*'a)Plantilla'!$C41,RedondeoPersonalTecnico))),0)</f>
        <v>0</v>
      </c>
      <c r="AE82" s="6">
        <f>IF(Programa!D$39&gt;0,IF(TipoProgramaPersonalTecnico=1,ROUND(Programa!F$39*'a)Plantilla'!$C41,RedondeoPersonalTecnico),IF(TipoProgramaPersonalTecnico=2,ROUND(Programa!D$39*'a)Plantilla'!$C41,RedondeoPersonalTecnico),ROUND(Programa!D$39*Hjor*'a)Plantilla'!$C41,RedondeoPersonalTecnico))),0)</f>
        <v>0</v>
      </c>
      <c r="AF82" s="6">
        <f>IF(Programa!D$40&gt;0,IF(TipoProgramaPersonalTecnico=1,ROUND(Programa!F$40*'a)Plantilla'!$C41,RedondeoPersonalTecnico),IF(TipoProgramaPersonalTecnico=2,ROUND(Programa!D$40*'a)Plantilla'!$C41,RedondeoPersonalTecnico),ROUND(Programa!D$40*Hjor*'a)Plantilla'!$C41,RedondeoPersonalTecnico))),0)</f>
        <v>0</v>
      </c>
      <c r="AG82" s="6">
        <f>IF(Programa!D$41&gt;0,IF(TipoProgramaPersonalTecnico=1,ROUND(Programa!F$41*'a)Plantilla'!$C41,RedondeoPersonalTecnico),IF(TipoProgramaPersonalTecnico=2,ROUND(Programa!D$41*'a)Plantilla'!$C41,RedondeoPersonalTecnico),ROUND(Programa!D$41*Hjor*'a)Plantilla'!$C41,RedondeoPersonalTecnico))),0)</f>
        <v>0</v>
      </c>
      <c r="AH82" s="6">
        <f>IF(Programa!D$42&gt;0,IF(TipoProgramaPersonalTecnico=1,ROUND(Programa!F$42*'a)Plantilla'!$C41,RedondeoPersonalTecnico),IF(TipoProgramaPersonalTecnico=2,ROUND(Programa!D$42*'a)Plantilla'!$C41,RedondeoPersonalTecnico),ROUND(Programa!D$42*Hjor*'a)Plantilla'!$C41,RedondeoPersonalTecnico))),0)</f>
        <v>0</v>
      </c>
      <c r="AI82" s="6">
        <f>IF(Programa!D$43&gt;0,IF(TipoProgramaPersonalTecnico=1,ROUND(Programa!F$43*'a)Plantilla'!$C41,RedondeoPersonalTecnico),IF(TipoProgramaPersonalTecnico=2,ROUND(Programa!D$43*'a)Plantilla'!$C41,RedondeoPersonalTecnico),ROUND(Programa!D$43*Hjor*'a)Plantilla'!$C41,RedondeoPersonalTecnico))),0)</f>
        <v>0</v>
      </c>
      <c r="AJ82" s="6">
        <f>IF(Programa!D$44&gt;0,IF(TipoProgramaPersonalTecnico=1,ROUND(Programa!F$44*'a)Plantilla'!$C41,RedondeoPersonalTecnico),IF(TipoProgramaPersonalTecnico=2,ROUND(Programa!D$44*'a)Plantilla'!$C41,RedondeoPersonalTecnico),ROUND(Programa!D$44*Hjor*'a)Plantilla'!$C41,RedondeoPersonalTecnico))),0)</f>
        <v>0</v>
      </c>
      <c r="AK82" s="6">
        <f>IF(Programa!D$45&gt;0,IF(TipoProgramaPersonalTecnico=1,ROUND(Programa!F$45*'a)Plantilla'!$C41,RedondeoPersonalTecnico),IF(TipoProgramaPersonalTecnico=2,ROUND(Programa!D$45*'a)Plantilla'!$C41,RedondeoPersonalTecnico),ROUND(Programa!D$45*Hjor*'a)Plantilla'!$C41,RedondeoPersonalTecnico))),0)</f>
        <v>0</v>
      </c>
      <c r="AL82" s="6">
        <f>IF(Programa!D$46&gt;0,IF(TipoProgramaPersonalTecnico=1,ROUND(Programa!F$46*'a)Plantilla'!$C41,RedondeoPersonalTecnico),IF(TipoProgramaPersonalTecnico=2,ROUND(Programa!D$46*'a)Plantilla'!$C41,RedondeoPersonalTecnico),ROUND(Programa!D$46*Hjor*'a)Plantilla'!$C41,RedondeoPersonalTecnico))),0)</f>
        <v>0</v>
      </c>
      <c r="AM82" s="6">
        <f>IF(Programa!D$47&gt;0,IF(TipoProgramaPersonalTecnico=1,ROUND(Programa!F$47*'a)Plantilla'!$C41,RedondeoPersonalTecnico),IF(TipoProgramaPersonalTecnico=2,ROUND(Programa!D$47*'a)Plantilla'!$C41,RedondeoPersonalTecnico),ROUND(Programa!D$47*Hjor*'a)Plantilla'!$C41,RedondeoPersonalTecnico))),0)</f>
        <v>0</v>
      </c>
      <c r="AN82" s="78">
        <f>IF(Programa!D$48&gt;0,IF(TipoProgramaPersonalTecnico=1,ROUND(Programa!F$48*'a)Plantilla'!$C41,RedondeoPersonalTecnico),IF(TipoProgramaPersonalTecnico=2,ROUND(Programa!D$48*'a)Plantilla'!$C41,RedondeoPersonalTecnico),ROUND(Programa!D$48*Hjor*'a)Plantilla'!$C41,RedondeoPersonalTecnico))),0)</f>
        <v>0</v>
      </c>
      <c r="AO82" s="27">
        <f>IF(Programa!D$49&gt;0,IF(TipoProgramaPersonalTecnico=1,ROUND(Programa!F$49*'a)Plantilla'!$C41,RedondeoPersonalTecnico),IF(TipoProgramaPersonalTecnico=2,ROUND(Programa!D$49*'a)Plantilla'!$C41,RedondeoPersonalTecnico),ROUND(Programa!D$49*Hjor*'a)Plantilla'!$C41,RedondeoPersonalTecnico))),0)</f>
        <v>0</v>
      </c>
      <c r="AP82" s="6">
        <f>IF(Programa!D$50&gt;0,IF(TipoProgramaPersonalTecnico=1,ROUND(Programa!F$50*'a)Plantilla'!$C41,RedondeoPersonalTecnico),IF(TipoProgramaPersonalTecnico=2,ROUND(Programa!D$50*'a)Plantilla'!$C41,RedondeoPersonalTecnico),ROUND(Programa!D$50*Hjor*'a)Plantilla'!$C41,RedondeoPersonalTecnico))),0)</f>
        <v>0</v>
      </c>
      <c r="AQ82" s="6">
        <f>IF(Programa!D$51&gt;0,IF(TipoProgramaPersonalTecnico=1,ROUND(Programa!F$51*'a)Plantilla'!$C41,RedondeoPersonalTecnico),IF(TipoProgramaPersonalTecnico=2,ROUND(Programa!D$51*'a)Plantilla'!$C41,RedondeoPersonalTecnico),ROUND(Programa!D$51*Hjor*'a)Plantilla'!$C41,RedondeoPersonalTecnico))),0)</f>
        <v>0</v>
      </c>
      <c r="AR82" s="6">
        <f>IF(Programa!D$52&gt;0,IF(TipoProgramaPersonalTecnico=1,ROUND(Programa!F$52*'a)Plantilla'!$C41,RedondeoPersonalTecnico),IF(TipoProgramaPersonalTecnico=2,ROUND(Programa!D$52*'a)Plantilla'!$C41,RedondeoPersonalTecnico),ROUND(Programa!D$52*Hjor*'a)Plantilla'!$C41,RedondeoPersonalTecnico))),0)</f>
        <v>0</v>
      </c>
      <c r="AS82" s="6">
        <f>IF(Programa!D$53&gt;0,IF(TipoProgramaPersonalTecnico=1,ROUND(Programa!F$53*'a)Plantilla'!$C41,RedondeoPersonalTecnico),IF(TipoProgramaPersonalTecnico=2,ROUND(Programa!D$53*'a)Plantilla'!$C41,RedondeoPersonalTecnico),ROUND(Programa!D$53*Hjor*'a)Plantilla'!$C41,RedondeoPersonalTecnico))),0)</f>
        <v>0</v>
      </c>
      <c r="AT82" s="6">
        <f>IF(Programa!D$54&gt;0,IF(TipoProgramaPersonalTecnico=1,ROUND(Programa!F$54*'a)Plantilla'!$C41,RedondeoPersonalTecnico),IF(TipoProgramaPersonalTecnico=2,ROUND(Programa!D$54*'a)Plantilla'!$C41,RedondeoPersonalTecnico),ROUND(Programa!D$54*Hjor*'a)Plantilla'!$C41,RedondeoPersonalTecnico))),0)</f>
        <v>0</v>
      </c>
      <c r="AU82" s="6">
        <f>IF(Programa!D$55&gt;0,IF(TipoProgramaPersonalTecnico=1,ROUND(Programa!F$55*'a)Plantilla'!$C41,RedondeoPersonalTecnico),IF(TipoProgramaPersonalTecnico=2,ROUND(Programa!D$55*'a)Plantilla'!$C41,RedondeoPersonalTecnico),ROUND(Programa!D$55*Hjor*'a)Plantilla'!$C41,RedondeoPersonalTecnico))),0)</f>
        <v>0</v>
      </c>
      <c r="AV82" s="6">
        <f>IF(Programa!D$56&gt;0,IF(TipoProgramaPersonalTecnico=1,ROUND(Programa!F$56*'a)Plantilla'!$C41,RedondeoPersonalTecnico),IF(TipoProgramaPersonalTecnico=2,ROUND(Programa!D$56*'a)Plantilla'!$C41,RedondeoPersonalTecnico),ROUND(Programa!D$56*Hjor*'a)Plantilla'!$C41,RedondeoPersonalTecnico))),0)</f>
        <v>0</v>
      </c>
      <c r="AW82" s="6">
        <f>IF(Programa!D$57&gt;0,IF(TipoProgramaPersonalTecnico=1,ROUND(Programa!F$57*'a)Plantilla'!$C41,RedondeoPersonalTecnico),IF(TipoProgramaPersonalTecnico=2,ROUND(Programa!D$57*'a)Plantilla'!$C41,RedondeoPersonalTecnico),ROUND(Programa!D$57*Hjor*'a)Plantilla'!$C41,RedondeoPersonalTecnico))),0)</f>
        <v>0</v>
      </c>
      <c r="AX82" s="6">
        <f>IF(Programa!D$58&gt;0,IF(TipoProgramaPersonalTecnico=1,ROUND(Programa!F$58*'a)Plantilla'!$C41,RedondeoPersonalTecnico),IF(TipoProgramaPersonalTecnico=2,ROUND(Programa!D$58*'a)Plantilla'!$C41,RedondeoPersonalTecnico),ROUND(Programa!D$58*Hjor*'a)Plantilla'!$C41,RedondeoPersonalTecnico))),0)</f>
        <v>0</v>
      </c>
      <c r="AY82" s="6">
        <f>IF(Programa!D$59&gt;0,IF(TipoProgramaPersonalTecnico=1,ROUND(Programa!F$59*'a)Plantilla'!$C41,RedondeoPersonalTecnico),IF(TipoProgramaPersonalTecnico=2,ROUND(Programa!D$59*'a)Plantilla'!$C41,RedondeoPersonalTecnico),ROUND(Programa!D$59*Hjor*'a)Plantilla'!$C41,RedondeoPersonalTecnico))),0)</f>
        <v>0</v>
      </c>
      <c r="AZ82" s="6">
        <f>IF(Programa!D$60&gt;0,IF(TipoProgramaPersonalTecnico=1,ROUND(Programa!F$60*'a)Plantilla'!$C41,RedondeoPersonalTecnico),IF(TipoProgramaPersonalTecnico=2,ROUND(Programa!D$60*'a)Plantilla'!$C41,RedondeoPersonalTecnico),ROUND(Programa!D$60*Hjor*'a)Plantilla'!$C41,RedondeoPersonalTecnico))),0)</f>
        <v>0</v>
      </c>
      <c r="BA82" s="6">
        <f>IF(Programa!D$61&gt;0,IF(TipoProgramaPersonalTecnico=1,ROUND(Programa!F$61*'a)Plantilla'!$C41,RedondeoPersonalTecnico),IF(TipoProgramaPersonalTecnico=2,ROUND(Programa!D$61*'a)Plantilla'!$C41,RedondeoPersonalTecnico),ROUND(Programa!D$61*Hjor*'a)Plantilla'!$C41,RedondeoPersonalTecnico))),0)</f>
        <v>0</v>
      </c>
      <c r="BB82" s="6">
        <f>IF(Programa!D$62&gt;0,IF(TipoProgramaPersonalTecnico=1,ROUND(Programa!F$62*'a)Plantilla'!$C41,RedondeoPersonalTecnico),IF(TipoProgramaPersonalTecnico=2,ROUND(Programa!D$62*'a)Plantilla'!$C41,RedondeoPersonalTecnico),ROUND(Programa!D$62*Hjor*'a)Plantilla'!$C41,RedondeoPersonalTecnico))),0)</f>
        <v>0</v>
      </c>
      <c r="BC82" s="6">
        <f>IF(Programa!D$63&gt;0,IF(TipoProgramaPersonalTecnico=1,ROUND(Programa!F$63*'a)Plantilla'!$C41,RedondeoPersonalTecnico),IF(TipoProgramaPersonalTecnico=2,ROUND(Programa!D$63*'a)Plantilla'!$C41,RedondeoPersonalTecnico),ROUND(Programa!D$63*Hjor*'a)Plantilla'!$C41,RedondeoPersonalTecnico))),0)</f>
        <v>0</v>
      </c>
      <c r="BD82" s="6">
        <f>IF(Programa!D$64&gt;0,IF(TipoProgramaPersonalTecnico=1,ROUND(Programa!F$64*'a)Plantilla'!$C41,RedondeoPersonalTecnico),IF(TipoProgramaPersonalTecnico=2,ROUND(Programa!D$64*'a)Plantilla'!$C41,RedondeoPersonalTecnico),ROUND(Programa!D$64*Hjor*'a)Plantilla'!$C41,RedondeoPersonalTecnico))),0)</f>
        <v>0</v>
      </c>
      <c r="BE82" s="6">
        <f>IF(Programa!D$65&gt;0,IF(TipoProgramaPersonalTecnico=1,ROUND(Programa!F$65*'a)Plantilla'!$C41,RedondeoPersonalTecnico),IF(TipoProgramaPersonalTecnico=2,ROUND(Programa!D$65*'a)Plantilla'!$C41,RedondeoPersonalTecnico),ROUND(Programa!D$65*Hjor*'a)Plantilla'!$C41,RedondeoPersonalTecnico))),0)</f>
        <v>0</v>
      </c>
      <c r="BF82" s="6">
        <f>IF(Programa!D$66&gt;0,IF(TipoProgramaPersonalTecnico=1,ROUND(Programa!F$66*'a)Plantilla'!$C41,RedondeoPersonalTecnico),IF(TipoProgramaPersonalTecnico=2,ROUND(Programa!D$66*'a)Plantilla'!$C41,RedondeoPersonalTecnico),ROUND(Programa!D$66*Hjor*'a)Plantilla'!$C41,RedondeoPersonalTecnico))),0)</f>
        <v>0</v>
      </c>
      <c r="BG82" s="6">
        <f>IF(Programa!D$67&gt;0,IF(TipoProgramaPersonalTecnico=1,ROUND(Programa!F$67*'a)Plantilla'!$C41,RedondeoPersonalTecnico),IF(TipoProgramaPersonalTecnico=2,ROUND(Programa!D$67*'a)Plantilla'!$C41,RedondeoPersonalTecnico),ROUND(Programa!D$67*Hjor*'a)Plantilla'!$C41,RedondeoPersonalTecnico))),0)</f>
        <v>0</v>
      </c>
      <c r="BH82" s="6">
        <f>IF(Programa!D$68&gt;0,IF(TipoProgramaPersonalTecnico=1,ROUND(Programa!F$68*'a)Plantilla'!$C41,RedondeoPersonalTecnico),IF(TipoProgramaPersonalTecnico=2,ROUND(Programa!D$68*'a)Plantilla'!$C41,RedondeoPersonalTecnico),ROUND(Programa!D$68*Hjor*'a)Plantilla'!$C41,RedondeoPersonalTecnico))),0)</f>
        <v>0</v>
      </c>
      <c r="BI82" s="6">
        <f>IF(Programa!D$69&gt;0,IF(TipoProgramaPersonalTecnico=1,ROUND(Programa!F$69*'a)Plantilla'!$C41,RedondeoPersonalTecnico),IF(TipoProgramaPersonalTecnico=2,ROUND(Programa!D$69*'a)Plantilla'!$C41,RedondeoPersonalTecnico),ROUND(Programa!D$69*Hjor*'a)Plantilla'!$C41,RedondeoPersonalTecnico))),0)</f>
        <v>0</v>
      </c>
      <c r="BJ82" s="6">
        <f>IF(Programa!D$70&gt;0,IF(TipoProgramaPersonalTecnico=1,ROUND(Programa!F$70*'a)Plantilla'!$C41,RedondeoPersonalTecnico),IF(TipoProgramaPersonalTecnico=2,ROUND(Programa!D$70*'a)Plantilla'!$C41,RedondeoPersonalTecnico),ROUND(Programa!D$70*Hjor*'a)Plantilla'!$C41,RedondeoPersonalTecnico))),0)</f>
        <v>0</v>
      </c>
      <c r="BK82" s="6">
        <f>IF(Programa!D$71&gt;0,IF(TipoProgramaPersonalTecnico=1,ROUND(Programa!F$71*'a)Plantilla'!$C41,RedondeoPersonalTecnico),IF(TipoProgramaPersonalTecnico=2,ROUND(Programa!D$71*'a)Plantilla'!$C41,RedondeoPersonalTecnico),ROUND(Programa!D$71*Hjor*'a)Plantilla'!$C41,RedondeoPersonalTecnico))),0)</f>
        <v>0</v>
      </c>
      <c r="BL82" s="78">
        <f>IF(Programa!D$72&gt;0,IF(TipoProgramaPersonalTecnico=1,ROUND(Programa!F$72*'a)Plantilla'!$C41,RedondeoPersonalTecnico),IF(TipoProgramaPersonalTecnico=2,ROUND(Programa!D$72*'a)Plantilla'!$C41,RedondeoPersonalTecnico),ROUND(Programa!D$72*Hjor*'a)Plantilla'!$C41,RedondeoPersonalTecnico))),0)</f>
        <v>0</v>
      </c>
    </row>
    <row r="83" spans="1:64" ht="8.1" customHeight="1">
      <c r="A83" s="133"/>
      <c r="B83" s="46"/>
      <c r="C83" s="31"/>
      <c r="D83" s="22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78"/>
      <c r="Q83" s="27"/>
      <c r="R83" s="6"/>
      <c r="S83" s="6"/>
      <c r="T83" s="6"/>
      <c r="U83" s="6"/>
      <c r="V83" s="6"/>
      <c r="W83" s="6"/>
      <c r="X83" s="6"/>
      <c r="Y83" s="6"/>
      <c r="Z83" s="6"/>
      <c r="AA83" s="6"/>
      <c r="AB83" s="78"/>
      <c r="AC83" s="27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78"/>
      <c r="AO83" s="27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78"/>
    </row>
    <row r="84" spans="1:64" ht="12.75" customHeight="1">
      <c r="A84" s="133"/>
      <c r="B84" s="46" t="str">
        <f>IF('a)Plantilla'!C42&gt;0,'a)Plantilla'!B42,"")</f>
        <v/>
      </c>
      <c r="C84" s="17" t="str">
        <f>IF('a)Plantilla'!C$42&gt;0,IF(TipoProgramaPersonalTecnico=1,"Personas",IF(TipoProgramaPersonalTecnico=2,"Jornal","horas-Hombre")),"")</f>
        <v/>
      </c>
      <c r="D84" s="226">
        <f>ROUND(SUM(E84:BL84),RedondeoPersonalTecnico)</f>
        <v>0</v>
      </c>
      <c r="E84" s="6">
        <f>IF(Programa!D$13&gt;0,IF(TipoProgramaPersonalTecnico=1,ROUND(Programa!F$13*'a)Plantilla'!$C42,RedondeoPersonalTecnico),IF(TipoProgramaPersonalTecnico=2,ROUND(Programa!D$13*'a)Plantilla'!$C42,RedondeoPersonalTecnico),ROUND(Programa!D$13*Hjor*'a)Plantilla'!$C42,RedondeoPersonalTecnico))),0)</f>
        <v>0</v>
      </c>
      <c r="F84" s="6">
        <f>IF(Programa!D$14&gt;0,IF(TipoProgramaPersonalTecnico=1,ROUND(Programa!F$14*'a)Plantilla'!$C42,RedondeoPersonalTecnico),IF(TipoProgramaPersonalTecnico=2,ROUND(Programa!D$14*'a)Plantilla'!$C42,RedondeoPersonalTecnico),ROUND(Programa!D$14*Hjor*'a)Plantilla'!$C42,RedondeoPersonalTecnico))),0)</f>
        <v>0</v>
      </c>
      <c r="G84" s="6">
        <f>IF(Programa!D$15&gt;0,IF(TipoProgramaPersonalTecnico=1,ROUND(Programa!F$15*'a)Plantilla'!$C42,RedondeoPersonalTecnico),IF(TipoProgramaPersonalTecnico=2,ROUND(Programa!D$15*'a)Plantilla'!$C42,RedondeoPersonalTecnico),ROUND(Programa!D$15*Hjor*'a)Plantilla'!$C42,RedondeoPersonalTecnico))),0)</f>
        <v>0</v>
      </c>
      <c r="H84" s="6">
        <f>IF(Programa!D$16&gt;0,IF(TipoProgramaPersonalTecnico=1,ROUND(Programa!F$16*'a)Plantilla'!$C42,RedondeoPersonalTecnico),IF(TipoProgramaPersonalTecnico=2,ROUND(Programa!D$16*'a)Plantilla'!$C42,RedondeoPersonalTecnico),ROUND(Programa!D$16*Hjor*'a)Plantilla'!$C42,RedondeoPersonalTecnico))),0)</f>
        <v>0</v>
      </c>
      <c r="I84" s="6">
        <f>IF(Programa!D$17&gt;0,IF(TipoProgramaPersonalTecnico=1,ROUND(Programa!F$17*'a)Plantilla'!$C42,RedondeoPersonalTecnico),IF(TipoProgramaPersonalTecnico=2,ROUND(Programa!D$17*'a)Plantilla'!$C42,RedondeoPersonalTecnico),ROUND(Programa!D$17*Hjor*'a)Plantilla'!$C42,RedondeoPersonalTecnico))),0)</f>
        <v>0</v>
      </c>
      <c r="J84" s="6">
        <f>IF(Programa!D$18&gt;0,IF(TipoProgramaPersonalTecnico=1,ROUND(Programa!F$18*'a)Plantilla'!$C42,RedondeoPersonalTecnico),IF(TipoProgramaPersonalTecnico=2,ROUND(Programa!D$18*'a)Plantilla'!$C42,RedondeoPersonalTecnico),ROUND(Programa!D$18*Hjor*'a)Plantilla'!$C42,RedondeoPersonalTecnico))),0)</f>
        <v>0</v>
      </c>
      <c r="K84" s="6">
        <f>IF(Programa!D$19&gt;0,IF(TipoProgramaPersonalTecnico=1,ROUND(Programa!F$19*'a)Plantilla'!$C42,RedondeoPersonalTecnico),IF(TipoProgramaPersonalTecnico=2,ROUND(Programa!D$19*'a)Plantilla'!$C42,RedondeoPersonalTecnico),ROUND(Programa!D$19*Hjor*'a)Plantilla'!$C42,RedondeoPersonalTecnico))),0)</f>
        <v>0</v>
      </c>
      <c r="L84" s="6">
        <f>IF(Programa!D$20&gt;0,IF(TipoProgramaPersonalTecnico=1,ROUND(Programa!F$20*'a)Plantilla'!$C42,RedondeoPersonalTecnico),IF(TipoProgramaPersonalTecnico=2,ROUND(Programa!D$20*'a)Plantilla'!$C42,RedondeoPersonalTecnico),ROUND(Programa!D$20*Hjor*'a)Plantilla'!$C42,RedondeoPersonalTecnico))),0)</f>
        <v>0</v>
      </c>
      <c r="M84" s="6">
        <f>IF(Programa!D$21&gt;0,IF(TipoProgramaPersonalTecnico=1,ROUND(Programa!F$21*'a)Plantilla'!$C42,RedondeoPersonalTecnico),IF(TipoProgramaPersonalTecnico=2,ROUND(Programa!D$21*'a)Plantilla'!$C42,RedondeoPersonalTecnico),ROUND(Programa!D$21*Hjor*'a)Plantilla'!$C42,RedondeoPersonalTecnico))),0)</f>
        <v>0</v>
      </c>
      <c r="N84" s="6">
        <f>IF(Programa!D$22&gt;0,IF(TipoProgramaPersonalTecnico=1,ROUND(Programa!F$22*'a)Plantilla'!$C42,RedondeoPersonalTecnico),IF(TipoProgramaPersonalTecnico=2,ROUND(Programa!D$22*'a)Plantilla'!$C42,RedondeoPersonalTecnico),ROUND(Programa!D$22*Hjor*'a)Plantilla'!$C42,RedondeoPersonalTecnico))),0)</f>
        <v>0</v>
      </c>
      <c r="O84" s="6">
        <f>IF(Programa!D$23&gt;0,IF(TipoProgramaPersonalTecnico=1,ROUND(Programa!F$23*'a)Plantilla'!$C42,RedondeoPersonalTecnico),IF(TipoProgramaPersonalTecnico=2,ROUND(Programa!D$23*'a)Plantilla'!$C42,RedondeoPersonalTecnico),ROUND(Programa!D$23*Hjor*'a)Plantilla'!$C42,RedondeoPersonalTecnico))),0)</f>
        <v>0</v>
      </c>
      <c r="P84" s="78">
        <f>IF(Programa!D$24&gt;0,IF(TipoProgramaPersonalTecnico=1,ROUND(Programa!F$24*'a)Plantilla'!$C42,RedondeoPersonalTecnico),IF(TipoProgramaPersonalTecnico=2,ROUND(Programa!D$24*'a)Plantilla'!$C42,RedondeoPersonalTecnico),ROUND(Programa!D$24*Hjor*'a)Plantilla'!$C42,RedondeoPersonalTecnico))),0)</f>
        <v>0</v>
      </c>
      <c r="Q84" s="27">
        <f>IF(Programa!D$25&gt;0,IF(TipoProgramaPersonalTecnico=1,ROUND(Programa!F$25*'a)Plantilla'!$C42,RedondeoPersonalTecnico),IF(TipoProgramaPersonalTecnico=2,ROUND(Programa!D$25*'a)Plantilla'!$C42,RedondeoPersonalTecnico),ROUND(Programa!D$25*Hjor*'a)Plantilla'!$C42,RedondeoPersonalTecnico))),0)</f>
        <v>0</v>
      </c>
      <c r="R84" s="6">
        <f>IF(Programa!D$26&gt;0,IF(TipoProgramaPersonalTecnico=1,ROUND(Programa!F$26*'a)Plantilla'!$C42,RedondeoPersonalTecnico),IF(TipoProgramaPersonalTecnico=2,ROUND(Programa!D$26*'a)Plantilla'!$C42,RedondeoPersonalTecnico),ROUND(Programa!D$26*Hjor*'a)Plantilla'!$C42,RedondeoPersonalTecnico))),0)</f>
        <v>0</v>
      </c>
      <c r="S84" s="6">
        <f>IF(Programa!D$27&gt;0,IF(TipoProgramaPersonalTecnico=1,ROUND(Programa!F$27*'a)Plantilla'!$C42,RedondeoPersonalTecnico),IF(TipoProgramaPersonalTecnico=2,ROUND(Programa!D$27*'a)Plantilla'!$C42,RedondeoPersonalTecnico),ROUND(Programa!D$27*Hjor*'a)Plantilla'!$C42,RedondeoPersonalTecnico))),0)</f>
        <v>0</v>
      </c>
      <c r="T84" s="6">
        <f>IF(Programa!D$28&gt;0,IF(TipoProgramaPersonalTecnico=1,ROUND(Programa!F$28*'a)Plantilla'!$C42,RedondeoPersonalTecnico),IF(TipoProgramaPersonalTecnico=2,ROUND(Programa!D$28*'a)Plantilla'!$C42,RedondeoPersonalTecnico),ROUND(Programa!D$28*Hjor*'a)Plantilla'!$C42,RedondeoPersonalTecnico))),0)</f>
        <v>0</v>
      </c>
      <c r="U84" s="6">
        <f>IF(Programa!D$29&gt;0,IF(TipoProgramaPersonalTecnico=1,ROUND(Programa!F$29*'a)Plantilla'!$C42,RedondeoPersonalTecnico),IF(TipoProgramaPersonalTecnico=2,ROUND(Programa!D$29*'a)Plantilla'!$C42,RedondeoPersonalTecnico),ROUND(Programa!D$29*Hjor*'a)Plantilla'!$C42,RedondeoPersonalTecnico))),0)</f>
        <v>0</v>
      </c>
      <c r="V84" s="6">
        <f>IF(Programa!D$30&gt;0,IF(TipoProgramaPersonalTecnico=1,ROUND(Programa!F$30*'a)Plantilla'!$C42,RedondeoPersonalTecnico),IF(TipoProgramaPersonalTecnico=2,ROUND(Programa!D$30*'a)Plantilla'!$C42,RedondeoPersonalTecnico),ROUND(Programa!D$30*Hjor*'a)Plantilla'!$C42,RedondeoPersonalTecnico))),0)</f>
        <v>0</v>
      </c>
      <c r="W84" s="6">
        <f>IF(Programa!D$31&gt;0,IF(TipoProgramaPersonalTecnico=1,ROUND(Programa!F$31*'a)Plantilla'!$C42,RedondeoPersonalTecnico),IF(TipoProgramaPersonalTecnico=2,ROUND(Programa!D$31*'a)Plantilla'!$C42,RedondeoPersonalTecnico),ROUND(Programa!D$31*Hjor*'a)Plantilla'!$C42,RedondeoPersonalTecnico))),0)</f>
        <v>0</v>
      </c>
      <c r="X84" s="6">
        <f>IF(Programa!D$32&gt;0,IF(TipoProgramaPersonalTecnico=1,ROUND(Programa!F$32*'a)Plantilla'!$C42,RedondeoPersonalTecnico),IF(TipoProgramaPersonalTecnico=2,ROUND(Programa!D$32*'a)Plantilla'!$C42,RedondeoPersonalTecnico),ROUND(Programa!D$32*Hjor*'a)Plantilla'!$C42,RedondeoPersonalTecnico))),0)</f>
        <v>0</v>
      </c>
      <c r="Y84" s="6">
        <f>IF(Programa!D$33&gt;0,IF(TipoProgramaPersonalTecnico=1,ROUND(Programa!F$33*'a)Plantilla'!$C42,RedondeoPersonalTecnico),IF(TipoProgramaPersonalTecnico=2,ROUND(Programa!D$33*'a)Plantilla'!$C42,RedondeoPersonalTecnico),ROUND(Programa!D$33*Hjor*'a)Plantilla'!$C42,RedondeoPersonalTecnico))),0)</f>
        <v>0</v>
      </c>
      <c r="Z84" s="6">
        <f>IF(Programa!D$34&gt;0,IF(TipoProgramaPersonalTecnico=1,ROUND(Programa!F$34*'a)Plantilla'!$C42,RedondeoPersonalTecnico),IF(TipoProgramaPersonalTecnico=2,ROUND(Programa!D$34*'a)Plantilla'!$C42,RedondeoPersonalTecnico),ROUND(Programa!D$34*Hjor*'a)Plantilla'!$C42,RedondeoPersonalTecnico))),0)</f>
        <v>0</v>
      </c>
      <c r="AA84" s="6">
        <f>IF(Programa!D$35&gt;0,IF(TipoProgramaPersonalTecnico=1,ROUND(Programa!F$35*'a)Plantilla'!$C42,RedondeoPersonalTecnico),IF(TipoProgramaPersonalTecnico=2,ROUND(Programa!D$35*'a)Plantilla'!$C42,RedondeoPersonalTecnico),ROUND(Programa!D$35*Hjor*'a)Plantilla'!$C42,RedondeoPersonalTecnico))),0)</f>
        <v>0</v>
      </c>
      <c r="AB84" s="78">
        <f>IF(Programa!D$36&gt;0,IF(TipoProgramaPersonalTecnico=1,ROUND(Programa!F$36*'a)Plantilla'!$C42,RedondeoPersonalTecnico),IF(TipoProgramaPersonalTecnico=2,ROUND(Programa!D$36*'a)Plantilla'!$C42,RedondeoPersonalTecnico),ROUND(Programa!D$36*Hjor*'a)Plantilla'!$C42,RedondeoPersonalTecnico))),0)</f>
        <v>0</v>
      </c>
      <c r="AC84" s="27">
        <f>IF(Programa!D$37&gt;0,IF(TipoProgramaPersonalTecnico=1,ROUND(Programa!F$37*'a)Plantilla'!$C42,RedondeoPersonalTecnico),IF(TipoProgramaPersonalTecnico=2,ROUND(Programa!D$37*'a)Plantilla'!$C42,RedondeoPersonalTecnico),ROUND(Programa!D$37*Hjor*'a)Plantilla'!$C42,RedondeoPersonalTecnico))),0)</f>
        <v>0</v>
      </c>
      <c r="AD84" s="6">
        <f>IF(Programa!D$38&gt;0,IF(TipoProgramaPersonalTecnico=1,ROUND(Programa!F$38*'a)Plantilla'!$C42,RedondeoPersonalTecnico),IF(TipoProgramaPersonalTecnico=2,ROUND(Programa!D$38*'a)Plantilla'!$C42,RedondeoPersonalTecnico),ROUND(Programa!D$38*Hjor*'a)Plantilla'!$C42,RedondeoPersonalTecnico))),0)</f>
        <v>0</v>
      </c>
      <c r="AE84" s="6">
        <f>IF(Programa!D$39&gt;0,IF(TipoProgramaPersonalTecnico=1,ROUND(Programa!F$39*'a)Plantilla'!$C42,RedondeoPersonalTecnico),IF(TipoProgramaPersonalTecnico=2,ROUND(Programa!D$39*'a)Plantilla'!$C42,RedondeoPersonalTecnico),ROUND(Programa!D$39*Hjor*'a)Plantilla'!$C42,RedondeoPersonalTecnico))),0)</f>
        <v>0</v>
      </c>
      <c r="AF84" s="6">
        <f>IF(Programa!D$40&gt;0,IF(TipoProgramaPersonalTecnico=1,ROUND(Programa!F$40*'a)Plantilla'!$C42,RedondeoPersonalTecnico),IF(TipoProgramaPersonalTecnico=2,ROUND(Programa!D$40*'a)Plantilla'!$C42,RedondeoPersonalTecnico),ROUND(Programa!D$40*Hjor*'a)Plantilla'!$C42,RedondeoPersonalTecnico))),0)</f>
        <v>0</v>
      </c>
      <c r="AG84" s="6">
        <f>IF(Programa!D$41&gt;0,IF(TipoProgramaPersonalTecnico=1,ROUND(Programa!F$41*'a)Plantilla'!$C42,RedondeoPersonalTecnico),IF(TipoProgramaPersonalTecnico=2,ROUND(Programa!D$41*'a)Plantilla'!$C42,RedondeoPersonalTecnico),ROUND(Programa!D$41*Hjor*'a)Plantilla'!$C42,RedondeoPersonalTecnico))),0)</f>
        <v>0</v>
      </c>
      <c r="AH84" s="6">
        <f>IF(Programa!D$42&gt;0,IF(TipoProgramaPersonalTecnico=1,ROUND(Programa!F$42*'a)Plantilla'!$C42,RedondeoPersonalTecnico),IF(TipoProgramaPersonalTecnico=2,ROUND(Programa!D$42*'a)Plantilla'!$C42,RedondeoPersonalTecnico),ROUND(Programa!D$42*Hjor*'a)Plantilla'!$C42,RedondeoPersonalTecnico))),0)</f>
        <v>0</v>
      </c>
      <c r="AI84" s="6">
        <f>IF(Programa!D$43&gt;0,IF(TipoProgramaPersonalTecnico=1,ROUND(Programa!F$43*'a)Plantilla'!$C42,RedondeoPersonalTecnico),IF(TipoProgramaPersonalTecnico=2,ROUND(Programa!D$43*'a)Plantilla'!$C42,RedondeoPersonalTecnico),ROUND(Programa!D$43*Hjor*'a)Plantilla'!$C42,RedondeoPersonalTecnico))),0)</f>
        <v>0</v>
      </c>
      <c r="AJ84" s="6">
        <f>IF(Programa!D$44&gt;0,IF(TipoProgramaPersonalTecnico=1,ROUND(Programa!F$44*'a)Plantilla'!$C42,RedondeoPersonalTecnico),IF(TipoProgramaPersonalTecnico=2,ROUND(Programa!D$44*'a)Plantilla'!$C42,RedondeoPersonalTecnico),ROUND(Programa!D$44*Hjor*'a)Plantilla'!$C42,RedondeoPersonalTecnico))),0)</f>
        <v>0</v>
      </c>
      <c r="AK84" s="6">
        <f>IF(Programa!D$45&gt;0,IF(TipoProgramaPersonalTecnico=1,ROUND(Programa!F$45*'a)Plantilla'!$C42,RedondeoPersonalTecnico),IF(TipoProgramaPersonalTecnico=2,ROUND(Programa!D$45*'a)Plantilla'!$C42,RedondeoPersonalTecnico),ROUND(Programa!D$45*Hjor*'a)Plantilla'!$C42,RedondeoPersonalTecnico))),0)</f>
        <v>0</v>
      </c>
      <c r="AL84" s="6">
        <f>IF(Programa!D$46&gt;0,IF(TipoProgramaPersonalTecnico=1,ROUND(Programa!F$46*'a)Plantilla'!$C42,RedondeoPersonalTecnico),IF(TipoProgramaPersonalTecnico=2,ROUND(Programa!D$46*'a)Plantilla'!$C42,RedondeoPersonalTecnico),ROUND(Programa!D$46*Hjor*'a)Plantilla'!$C42,RedondeoPersonalTecnico))),0)</f>
        <v>0</v>
      </c>
      <c r="AM84" s="6">
        <f>IF(Programa!D$47&gt;0,IF(TipoProgramaPersonalTecnico=1,ROUND(Programa!F$47*'a)Plantilla'!$C42,RedondeoPersonalTecnico),IF(TipoProgramaPersonalTecnico=2,ROUND(Programa!D$47*'a)Plantilla'!$C42,RedondeoPersonalTecnico),ROUND(Programa!D$47*Hjor*'a)Plantilla'!$C42,RedondeoPersonalTecnico))),0)</f>
        <v>0</v>
      </c>
      <c r="AN84" s="78">
        <f>IF(Programa!D$48&gt;0,IF(TipoProgramaPersonalTecnico=1,ROUND(Programa!F$48*'a)Plantilla'!$C42,RedondeoPersonalTecnico),IF(TipoProgramaPersonalTecnico=2,ROUND(Programa!D$48*'a)Plantilla'!$C42,RedondeoPersonalTecnico),ROUND(Programa!D$48*Hjor*'a)Plantilla'!$C42,RedondeoPersonalTecnico))),0)</f>
        <v>0</v>
      </c>
      <c r="AO84" s="27">
        <f>IF(Programa!D$49&gt;0,IF(TipoProgramaPersonalTecnico=1,ROUND(Programa!F$49*'a)Plantilla'!$C42,RedondeoPersonalTecnico),IF(TipoProgramaPersonalTecnico=2,ROUND(Programa!D$49*'a)Plantilla'!$C42,RedondeoPersonalTecnico),ROUND(Programa!D$49*Hjor*'a)Plantilla'!$C42,RedondeoPersonalTecnico))),0)</f>
        <v>0</v>
      </c>
      <c r="AP84" s="6">
        <f>IF(Programa!D$50&gt;0,IF(TipoProgramaPersonalTecnico=1,ROUND(Programa!F$50*'a)Plantilla'!$C42,RedondeoPersonalTecnico),IF(TipoProgramaPersonalTecnico=2,ROUND(Programa!D$50*'a)Plantilla'!$C42,RedondeoPersonalTecnico),ROUND(Programa!D$50*Hjor*'a)Plantilla'!$C42,RedondeoPersonalTecnico))),0)</f>
        <v>0</v>
      </c>
      <c r="AQ84" s="6">
        <f>IF(Programa!D$51&gt;0,IF(TipoProgramaPersonalTecnico=1,ROUND(Programa!F$51*'a)Plantilla'!$C42,RedondeoPersonalTecnico),IF(TipoProgramaPersonalTecnico=2,ROUND(Programa!D$51*'a)Plantilla'!$C42,RedondeoPersonalTecnico),ROUND(Programa!D$51*Hjor*'a)Plantilla'!$C42,RedondeoPersonalTecnico))),0)</f>
        <v>0</v>
      </c>
      <c r="AR84" s="6">
        <f>IF(Programa!D$52&gt;0,IF(TipoProgramaPersonalTecnico=1,ROUND(Programa!F$52*'a)Plantilla'!$C42,RedondeoPersonalTecnico),IF(TipoProgramaPersonalTecnico=2,ROUND(Programa!D$52*'a)Plantilla'!$C42,RedondeoPersonalTecnico),ROUND(Programa!D$52*Hjor*'a)Plantilla'!$C42,RedondeoPersonalTecnico))),0)</f>
        <v>0</v>
      </c>
      <c r="AS84" s="6">
        <f>IF(Programa!D$53&gt;0,IF(TipoProgramaPersonalTecnico=1,ROUND(Programa!F$53*'a)Plantilla'!$C42,RedondeoPersonalTecnico),IF(TipoProgramaPersonalTecnico=2,ROUND(Programa!D$53*'a)Plantilla'!$C42,RedondeoPersonalTecnico),ROUND(Programa!D$53*Hjor*'a)Plantilla'!$C42,RedondeoPersonalTecnico))),0)</f>
        <v>0</v>
      </c>
      <c r="AT84" s="6">
        <f>IF(Programa!D$54&gt;0,IF(TipoProgramaPersonalTecnico=1,ROUND(Programa!F$54*'a)Plantilla'!$C42,RedondeoPersonalTecnico),IF(TipoProgramaPersonalTecnico=2,ROUND(Programa!D$54*'a)Plantilla'!$C42,RedondeoPersonalTecnico),ROUND(Programa!D$54*Hjor*'a)Plantilla'!$C42,RedondeoPersonalTecnico))),0)</f>
        <v>0</v>
      </c>
      <c r="AU84" s="6">
        <f>IF(Programa!D$55&gt;0,IF(TipoProgramaPersonalTecnico=1,ROUND(Programa!F$55*'a)Plantilla'!$C42,RedondeoPersonalTecnico),IF(TipoProgramaPersonalTecnico=2,ROUND(Programa!D$55*'a)Plantilla'!$C42,RedondeoPersonalTecnico),ROUND(Programa!D$55*Hjor*'a)Plantilla'!$C42,RedondeoPersonalTecnico))),0)</f>
        <v>0</v>
      </c>
      <c r="AV84" s="6">
        <f>IF(Programa!D$56&gt;0,IF(TipoProgramaPersonalTecnico=1,ROUND(Programa!F$56*'a)Plantilla'!$C42,RedondeoPersonalTecnico),IF(TipoProgramaPersonalTecnico=2,ROUND(Programa!D$56*'a)Plantilla'!$C42,RedondeoPersonalTecnico),ROUND(Programa!D$56*Hjor*'a)Plantilla'!$C42,RedondeoPersonalTecnico))),0)</f>
        <v>0</v>
      </c>
      <c r="AW84" s="6">
        <f>IF(Programa!D$57&gt;0,IF(TipoProgramaPersonalTecnico=1,ROUND(Programa!F$57*'a)Plantilla'!$C42,RedondeoPersonalTecnico),IF(TipoProgramaPersonalTecnico=2,ROUND(Programa!D$57*'a)Plantilla'!$C42,RedondeoPersonalTecnico),ROUND(Programa!D$57*Hjor*'a)Plantilla'!$C42,RedondeoPersonalTecnico))),0)</f>
        <v>0</v>
      </c>
      <c r="AX84" s="6">
        <f>IF(Programa!D$58&gt;0,IF(TipoProgramaPersonalTecnico=1,ROUND(Programa!F$58*'a)Plantilla'!$C42,RedondeoPersonalTecnico),IF(TipoProgramaPersonalTecnico=2,ROUND(Programa!D$58*'a)Plantilla'!$C42,RedondeoPersonalTecnico),ROUND(Programa!D$58*Hjor*'a)Plantilla'!$C42,RedondeoPersonalTecnico))),0)</f>
        <v>0</v>
      </c>
      <c r="AY84" s="6">
        <f>IF(Programa!D$59&gt;0,IF(TipoProgramaPersonalTecnico=1,ROUND(Programa!F$59*'a)Plantilla'!$C42,RedondeoPersonalTecnico),IF(TipoProgramaPersonalTecnico=2,ROUND(Programa!D$59*'a)Plantilla'!$C42,RedondeoPersonalTecnico),ROUND(Programa!D$59*Hjor*'a)Plantilla'!$C42,RedondeoPersonalTecnico))),0)</f>
        <v>0</v>
      </c>
      <c r="AZ84" s="6">
        <f>IF(Programa!D$60&gt;0,IF(TipoProgramaPersonalTecnico=1,ROUND(Programa!F$60*'a)Plantilla'!$C42,RedondeoPersonalTecnico),IF(TipoProgramaPersonalTecnico=2,ROUND(Programa!D$60*'a)Plantilla'!$C42,RedondeoPersonalTecnico),ROUND(Programa!D$60*Hjor*'a)Plantilla'!$C42,RedondeoPersonalTecnico))),0)</f>
        <v>0</v>
      </c>
      <c r="BA84" s="6">
        <f>IF(Programa!D$61&gt;0,IF(TipoProgramaPersonalTecnico=1,ROUND(Programa!F$61*'a)Plantilla'!$C42,RedondeoPersonalTecnico),IF(TipoProgramaPersonalTecnico=2,ROUND(Programa!D$61*'a)Plantilla'!$C42,RedondeoPersonalTecnico),ROUND(Programa!D$61*Hjor*'a)Plantilla'!$C42,RedondeoPersonalTecnico))),0)</f>
        <v>0</v>
      </c>
      <c r="BB84" s="6">
        <f>IF(Programa!D$62&gt;0,IF(TipoProgramaPersonalTecnico=1,ROUND(Programa!F$62*'a)Plantilla'!$C42,RedondeoPersonalTecnico),IF(TipoProgramaPersonalTecnico=2,ROUND(Programa!D$62*'a)Plantilla'!$C42,RedondeoPersonalTecnico),ROUND(Programa!D$62*Hjor*'a)Plantilla'!$C42,RedondeoPersonalTecnico))),0)</f>
        <v>0</v>
      </c>
      <c r="BC84" s="6">
        <f>IF(Programa!D$63&gt;0,IF(TipoProgramaPersonalTecnico=1,ROUND(Programa!F$63*'a)Plantilla'!$C42,RedondeoPersonalTecnico),IF(TipoProgramaPersonalTecnico=2,ROUND(Programa!D$63*'a)Plantilla'!$C42,RedondeoPersonalTecnico),ROUND(Programa!D$63*Hjor*'a)Plantilla'!$C42,RedondeoPersonalTecnico))),0)</f>
        <v>0</v>
      </c>
      <c r="BD84" s="6">
        <f>IF(Programa!D$64&gt;0,IF(TipoProgramaPersonalTecnico=1,ROUND(Programa!F$64*'a)Plantilla'!$C42,RedondeoPersonalTecnico),IF(TipoProgramaPersonalTecnico=2,ROUND(Programa!D$64*'a)Plantilla'!$C42,RedondeoPersonalTecnico),ROUND(Programa!D$64*Hjor*'a)Plantilla'!$C42,RedondeoPersonalTecnico))),0)</f>
        <v>0</v>
      </c>
      <c r="BE84" s="6">
        <f>IF(Programa!D$65&gt;0,IF(TipoProgramaPersonalTecnico=1,ROUND(Programa!F$65*'a)Plantilla'!$C42,RedondeoPersonalTecnico),IF(TipoProgramaPersonalTecnico=2,ROUND(Programa!D$65*'a)Plantilla'!$C42,RedondeoPersonalTecnico),ROUND(Programa!D$65*Hjor*'a)Plantilla'!$C42,RedondeoPersonalTecnico))),0)</f>
        <v>0</v>
      </c>
      <c r="BF84" s="6">
        <f>IF(Programa!D$66&gt;0,IF(TipoProgramaPersonalTecnico=1,ROUND(Programa!F$66*'a)Plantilla'!$C42,RedondeoPersonalTecnico),IF(TipoProgramaPersonalTecnico=2,ROUND(Programa!D$66*'a)Plantilla'!$C42,RedondeoPersonalTecnico),ROUND(Programa!D$66*Hjor*'a)Plantilla'!$C42,RedondeoPersonalTecnico))),0)</f>
        <v>0</v>
      </c>
      <c r="BG84" s="6">
        <f>IF(Programa!D$67&gt;0,IF(TipoProgramaPersonalTecnico=1,ROUND(Programa!F$67*'a)Plantilla'!$C42,RedondeoPersonalTecnico),IF(TipoProgramaPersonalTecnico=2,ROUND(Programa!D$67*'a)Plantilla'!$C42,RedondeoPersonalTecnico),ROUND(Programa!D$67*Hjor*'a)Plantilla'!$C42,RedondeoPersonalTecnico))),0)</f>
        <v>0</v>
      </c>
      <c r="BH84" s="6">
        <f>IF(Programa!D$68&gt;0,IF(TipoProgramaPersonalTecnico=1,ROUND(Programa!F$68*'a)Plantilla'!$C42,RedondeoPersonalTecnico),IF(TipoProgramaPersonalTecnico=2,ROUND(Programa!D$68*'a)Plantilla'!$C42,RedondeoPersonalTecnico),ROUND(Programa!D$68*Hjor*'a)Plantilla'!$C42,RedondeoPersonalTecnico))),0)</f>
        <v>0</v>
      </c>
      <c r="BI84" s="6">
        <f>IF(Programa!D$69&gt;0,IF(TipoProgramaPersonalTecnico=1,ROUND(Programa!F$69*'a)Plantilla'!$C42,RedondeoPersonalTecnico),IF(TipoProgramaPersonalTecnico=2,ROUND(Programa!D$69*'a)Plantilla'!$C42,RedondeoPersonalTecnico),ROUND(Programa!D$69*Hjor*'a)Plantilla'!$C42,RedondeoPersonalTecnico))),0)</f>
        <v>0</v>
      </c>
      <c r="BJ84" s="6">
        <f>IF(Programa!D$70&gt;0,IF(TipoProgramaPersonalTecnico=1,ROUND(Programa!F$70*'a)Plantilla'!$C42,RedondeoPersonalTecnico),IF(TipoProgramaPersonalTecnico=2,ROUND(Programa!D$70*'a)Plantilla'!$C42,RedondeoPersonalTecnico),ROUND(Programa!D$70*Hjor*'a)Plantilla'!$C42,RedondeoPersonalTecnico))),0)</f>
        <v>0</v>
      </c>
      <c r="BK84" s="6">
        <f>IF(Programa!D$71&gt;0,IF(TipoProgramaPersonalTecnico=1,ROUND(Programa!F$71*'a)Plantilla'!$C42,RedondeoPersonalTecnico),IF(TipoProgramaPersonalTecnico=2,ROUND(Programa!D$71*'a)Plantilla'!$C42,RedondeoPersonalTecnico),ROUND(Programa!D$71*Hjor*'a)Plantilla'!$C42,RedondeoPersonalTecnico))),0)</f>
        <v>0</v>
      </c>
      <c r="BL84" s="78">
        <f>IF(Programa!D$72&gt;0,IF(TipoProgramaPersonalTecnico=1,ROUND(Programa!F$72*'a)Plantilla'!$C42,RedondeoPersonalTecnico),IF(TipoProgramaPersonalTecnico=2,ROUND(Programa!D$72*'a)Plantilla'!$C42,RedondeoPersonalTecnico),ROUND(Programa!D$72*Hjor*'a)Plantilla'!$C42,RedondeoPersonalTecnico))),0)</f>
        <v>0</v>
      </c>
    </row>
    <row r="85" spans="1:64" ht="8.1" customHeight="1">
      <c r="A85" s="133"/>
      <c r="B85" s="46"/>
      <c r="C85" s="31"/>
      <c r="D85" s="22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8"/>
      <c r="Q85" s="27"/>
      <c r="R85" s="6"/>
      <c r="S85" s="6"/>
      <c r="T85" s="6"/>
      <c r="U85" s="6"/>
      <c r="V85" s="6"/>
      <c r="W85" s="6"/>
      <c r="X85" s="6"/>
      <c r="Y85" s="6"/>
      <c r="Z85" s="6"/>
      <c r="AA85" s="6"/>
      <c r="AB85" s="78"/>
      <c r="AC85" s="27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78"/>
      <c r="AO85" s="27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78"/>
    </row>
    <row r="86" spans="1:64" ht="12.75" customHeight="1">
      <c r="A86" s="133"/>
      <c r="B86" s="46" t="str">
        <f>IF('a)Plantilla'!C43&gt;0,'a)Plantilla'!B43,"")</f>
        <v/>
      </c>
      <c r="C86" s="17" t="str">
        <f>IF('a)Plantilla'!C$43&gt;0,IF(TipoProgramaPersonalTecnico=1,"Personas",IF(TipoProgramaPersonalTecnico=2,"Jornal","horas-Hombre")),"")</f>
        <v/>
      </c>
      <c r="D86" s="226">
        <f>ROUND(SUM(E86:BL86),RedondeoPersonalTecnico)</f>
        <v>0</v>
      </c>
      <c r="E86" s="6">
        <f>IF(Programa!D$13&gt;0,IF(TipoProgramaPersonalTecnico=1,ROUND(Programa!F$13*'a)Plantilla'!$C43,RedondeoPersonalTecnico),IF(TipoProgramaPersonalTecnico=2,ROUND(Programa!D$13*'a)Plantilla'!$C43,RedondeoPersonalTecnico),ROUND(Programa!D$13*Hjor*'a)Plantilla'!$C43,RedondeoPersonalTecnico))),0)</f>
        <v>0</v>
      </c>
      <c r="F86" s="6">
        <f>IF(Programa!D$14&gt;0,IF(TipoProgramaPersonalTecnico=1,ROUND(Programa!F$14*'a)Plantilla'!$C43,RedondeoPersonalTecnico),IF(TipoProgramaPersonalTecnico=2,ROUND(Programa!D$14*'a)Plantilla'!$C43,RedondeoPersonalTecnico),ROUND(Programa!D$14*Hjor*'a)Plantilla'!$C43,RedondeoPersonalTecnico))),0)</f>
        <v>0</v>
      </c>
      <c r="G86" s="6">
        <f>IF(Programa!D$15&gt;0,IF(TipoProgramaPersonalTecnico=1,ROUND(Programa!F$15*'a)Plantilla'!$C43,RedondeoPersonalTecnico),IF(TipoProgramaPersonalTecnico=2,ROUND(Programa!D$15*'a)Plantilla'!$C43,RedondeoPersonalTecnico),ROUND(Programa!D$15*Hjor*'a)Plantilla'!$C43,RedondeoPersonalTecnico))),0)</f>
        <v>0</v>
      </c>
      <c r="H86" s="6">
        <f>IF(Programa!D$16&gt;0,IF(TipoProgramaPersonalTecnico=1,ROUND(Programa!F$16*'a)Plantilla'!$C43,RedondeoPersonalTecnico),IF(TipoProgramaPersonalTecnico=2,ROUND(Programa!D$16*'a)Plantilla'!$C43,RedondeoPersonalTecnico),ROUND(Programa!D$16*Hjor*'a)Plantilla'!$C43,RedondeoPersonalTecnico))),0)</f>
        <v>0</v>
      </c>
      <c r="I86" s="6">
        <f>IF(Programa!D$17&gt;0,IF(TipoProgramaPersonalTecnico=1,ROUND(Programa!F$17*'a)Plantilla'!$C43,RedondeoPersonalTecnico),IF(TipoProgramaPersonalTecnico=2,ROUND(Programa!D$17*'a)Plantilla'!$C43,RedondeoPersonalTecnico),ROUND(Programa!D$17*Hjor*'a)Plantilla'!$C43,RedondeoPersonalTecnico))),0)</f>
        <v>0</v>
      </c>
      <c r="J86" s="6">
        <f>IF(Programa!D$18&gt;0,IF(TipoProgramaPersonalTecnico=1,ROUND(Programa!F$18*'a)Plantilla'!$C43,RedondeoPersonalTecnico),IF(TipoProgramaPersonalTecnico=2,ROUND(Programa!D$18*'a)Plantilla'!$C43,RedondeoPersonalTecnico),ROUND(Programa!D$18*Hjor*'a)Plantilla'!$C43,RedondeoPersonalTecnico))),0)</f>
        <v>0</v>
      </c>
      <c r="K86" s="6">
        <f>IF(Programa!D$19&gt;0,IF(TipoProgramaPersonalTecnico=1,ROUND(Programa!F$19*'a)Plantilla'!$C43,RedondeoPersonalTecnico),IF(TipoProgramaPersonalTecnico=2,ROUND(Programa!D$19*'a)Plantilla'!$C43,RedondeoPersonalTecnico),ROUND(Programa!D$19*Hjor*'a)Plantilla'!$C43,RedondeoPersonalTecnico))),0)</f>
        <v>0</v>
      </c>
      <c r="L86" s="6">
        <f>IF(Programa!D$20&gt;0,IF(TipoProgramaPersonalTecnico=1,ROUND(Programa!F$20*'a)Plantilla'!$C43,RedondeoPersonalTecnico),IF(TipoProgramaPersonalTecnico=2,ROUND(Programa!D$20*'a)Plantilla'!$C43,RedondeoPersonalTecnico),ROUND(Programa!D$20*Hjor*'a)Plantilla'!$C43,RedondeoPersonalTecnico))),0)</f>
        <v>0</v>
      </c>
      <c r="M86" s="6">
        <f>IF(Programa!D$21&gt;0,IF(TipoProgramaPersonalTecnico=1,ROUND(Programa!F$21*'a)Plantilla'!$C43,RedondeoPersonalTecnico),IF(TipoProgramaPersonalTecnico=2,ROUND(Programa!D$21*'a)Plantilla'!$C43,RedondeoPersonalTecnico),ROUND(Programa!D$21*Hjor*'a)Plantilla'!$C43,RedondeoPersonalTecnico))),0)</f>
        <v>0</v>
      </c>
      <c r="N86" s="6">
        <f>IF(Programa!D$22&gt;0,IF(TipoProgramaPersonalTecnico=1,ROUND(Programa!F$22*'a)Plantilla'!$C43,RedondeoPersonalTecnico),IF(TipoProgramaPersonalTecnico=2,ROUND(Programa!D$22*'a)Plantilla'!$C43,RedondeoPersonalTecnico),ROUND(Programa!D$22*Hjor*'a)Plantilla'!$C43,RedondeoPersonalTecnico))),0)</f>
        <v>0</v>
      </c>
      <c r="O86" s="6">
        <f>IF(Programa!D$23&gt;0,IF(TipoProgramaPersonalTecnico=1,ROUND(Programa!F$23*'a)Plantilla'!$C43,RedondeoPersonalTecnico),IF(TipoProgramaPersonalTecnico=2,ROUND(Programa!D$23*'a)Plantilla'!$C43,RedondeoPersonalTecnico),ROUND(Programa!D$23*Hjor*'a)Plantilla'!$C43,RedondeoPersonalTecnico))),0)</f>
        <v>0</v>
      </c>
      <c r="P86" s="78">
        <f>IF(Programa!D$24&gt;0,IF(TipoProgramaPersonalTecnico=1,ROUND(Programa!F$24*'a)Plantilla'!$C43,RedondeoPersonalTecnico),IF(TipoProgramaPersonalTecnico=2,ROUND(Programa!D$24*'a)Plantilla'!$C43,RedondeoPersonalTecnico),ROUND(Programa!D$24*Hjor*'a)Plantilla'!$C43,RedondeoPersonalTecnico))),0)</f>
        <v>0</v>
      </c>
      <c r="Q86" s="27">
        <f>IF(Programa!D$25&gt;0,IF(TipoProgramaPersonalTecnico=1,ROUND(Programa!F$25*'a)Plantilla'!$C43,RedondeoPersonalTecnico),IF(TipoProgramaPersonalTecnico=2,ROUND(Programa!D$25*'a)Plantilla'!$C43,RedondeoPersonalTecnico),ROUND(Programa!D$25*Hjor*'a)Plantilla'!$C43,RedondeoPersonalTecnico))),0)</f>
        <v>0</v>
      </c>
      <c r="R86" s="6">
        <f>IF(Programa!D$26&gt;0,IF(TipoProgramaPersonalTecnico=1,ROUND(Programa!F$26*'a)Plantilla'!$C43,RedondeoPersonalTecnico),IF(TipoProgramaPersonalTecnico=2,ROUND(Programa!D$26*'a)Plantilla'!$C43,RedondeoPersonalTecnico),ROUND(Programa!D$26*Hjor*'a)Plantilla'!$C43,RedondeoPersonalTecnico))),0)</f>
        <v>0</v>
      </c>
      <c r="S86" s="6">
        <f>IF(Programa!D$27&gt;0,IF(TipoProgramaPersonalTecnico=1,ROUND(Programa!F$27*'a)Plantilla'!$C43,RedondeoPersonalTecnico),IF(TipoProgramaPersonalTecnico=2,ROUND(Programa!D$27*'a)Plantilla'!$C43,RedondeoPersonalTecnico),ROUND(Programa!D$27*Hjor*'a)Plantilla'!$C43,RedondeoPersonalTecnico))),0)</f>
        <v>0</v>
      </c>
      <c r="T86" s="6">
        <f>IF(Programa!D$28&gt;0,IF(TipoProgramaPersonalTecnico=1,ROUND(Programa!F$28*'a)Plantilla'!$C43,RedondeoPersonalTecnico),IF(TipoProgramaPersonalTecnico=2,ROUND(Programa!D$28*'a)Plantilla'!$C43,RedondeoPersonalTecnico),ROUND(Programa!D$28*Hjor*'a)Plantilla'!$C43,RedondeoPersonalTecnico))),0)</f>
        <v>0</v>
      </c>
      <c r="U86" s="6">
        <f>IF(Programa!D$29&gt;0,IF(TipoProgramaPersonalTecnico=1,ROUND(Programa!F$29*'a)Plantilla'!$C43,RedondeoPersonalTecnico),IF(TipoProgramaPersonalTecnico=2,ROUND(Programa!D$29*'a)Plantilla'!$C43,RedondeoPersonalTecnico),ROUND(Programa!D$29*Hjor*'a)Plantilla'!$C43,RedondeoPersonalTecnico))),0)</f>
        <v>0</v>
      </c>
      <c r="V86" s="6">
        <f>IF(Programa!D$30&gt;0,IF(TipoProgramaPersonalTecnico=1,ROUND(Programa!F$30*'a)Plantilla'!$C43,RedondeoPersonalTecnico),IF(TipoProgramaPersonalTecnico=2,ROUND(Programa!D$30*'a)Plantilla'!$C43,RedondeoPersonalTecnico),ROUND(Programa!D$30*Hjor*'a)Plantilla'!$C43,RedondeoPersonalTecnico))),0)</f>
        <v>0</v>
      </c>
      <c r="W86" s="6">
        <f>IF(Programa!D$31&gt;0,IF(TipoProgramaPersonalTecnico=1,ROUND(Programa!F$31*'a)Plantilla'!$C43,RedondeoPersonalTecnico),IF(TipoProgramaPersonalTecnico=2,ROUND(Programa!D$31*'a)Plantilla'!$C43,RedondeoPersonalTecnico),ROUND(Programa!D$31*Hjor*'a)Plantilla'!$C43,RedondeoPersonalTecnico))),0)</f>
        <v>0</v>
      </c>
      <c r="X86" s="6">
        <f>IF(Programa!D$32&gt;0,IF(TipoProgramaPersonalTecnico=1,ROUND(Programa!F$32*'a)Plantilla'!$C43,RedondeoPersonalTecnico),IF(TipoProgramaPersonalTecnico=2,ROUND(Programa!D$32*'a)Plantilla'!$C43,RedondeoPersonalTecnico),ROUND(Programa!D$32*Hjor*'a)Plantilla'!$C43,RedondeoPersonalTecnico))),0)</f>
        <v>0</v>
      </c>
      <c r="Y86" s="6">
        <f>IF(Programa!D$33&gt;0,IF(TipoProgramaPersonalTecnico=1,ROUND(Programa!F$33*'a)Plantilla'!$C43,RedondeoPersonalTecnico),IF(TipoProgramaPersonalTecnico=2,ROUND(Programa!D$33*'a)Plantilla'!$C43,RedondeoPersonalTecnico),ROUND(Programa!D$33*Hjor*'a)Plantilla'!$C43,RedondeoPersonalTecnico))),0)</f>
        <v>0</v>
      </c>
      <c r="Z86" s="6">
        <f>IF(Programa!D$34&gt;0,IF(TipoProgramaPersonalTecnico=1,ROUND(Programa!F$34*'a)Plantilla'!$C43,RedondeoPersonalTecnico),IF(TipoProgramaPersonalTecnico=2,ROUND(Programa!D$34*'a)Plantilla'!$C43,RedondeoPersonalTecnico),ROUND(Programa!D$34*Hjor*'a)Plantilla'!$C43,RedondeoPersonalTecnico))),0)</f>
        <v>0</v>
      </c>
      <c r="AA86" s="6">
        <f>IF(Programa!D$35&gt;0,IF(TipoProgramaPersonalTecnico=1,ROUND(Programa!F$35*'a)Plantilla'!$C43,RedondeoPersonalTecnico),IF(TipoProgramaPersonalTecnico=2,ROUND(Programa!D$35*'a)Plantilla'!$C43,RedondeoPersonalTecnico),ROUND(Programa!D$35*Hjor*'a)Plantilla'!$C43,RedondeoPersonalTecnico))),0)</f>
        <v>0</v>
      </c>
      <c r="AB86" s="78">
        <f>IF(Programa!D$36&gt;0,IF(TipoProgramaPersonalTecnico=1,ROUND(Programa!F$36*'a)Plantilla'!$C43,RedondeoPersonalTecnico),IF(TipoProgramaPersonalTecnico=2,ROUND(Programa!D$36*'a)Plantilla'!$C43,RedondeoPersonalTecnico),ROUND(Programa!D$36*Hjor*'a)Plantilla'!$C43,RedondeoPersonalTecnico))),0)</f>
        <v>0</v>
      </c>
      <c r="AC86" s="27">
        <f>IF(Programa!D$37&gt;0,IF(TipoProgramaPersonalTecnico=1,ROUND(Programa!F$37*'a)Plantilla'!$C43,RedondeoPersonalTecnico),IF(TipoProgramaPersonalTecnico=2,ROUND(Programa!D$37*'a)Plantilla'!$C43,RedondeoPersonalTecnico),ROUND(Programa!D$37*Hjor*'a)Plantilla'!$C43,RedondeoPersonalTecnico))),0)</f>
        <v>0</v>
      </c>
      <c r="AD86" s="6">
        <f>IF(Programa!D$38&gt;0,IF(TipoProgramaPersonalTecnico=1,ROUND(Programa!F$38*'a)Plantilla'!$C43,RedondeoPersonalTecnico),IF(TipoProgramaPersonalTecnico=2,ROUND(Programa!D$38*'a)Plantilla'!$C43,RedondeoPersonalTecnico),ROUND(Programa!D$38*Hjor*'a)Plantilla'!$C43,RedondeoPersonalTecnico))),0)</f>
        <v>0</v>
      </c>
      <c r="AE86" s="6">
        <f>IF(Programa!D$39&gt;0,IF(TipoProgramaPersonalTecnico=1,ROUND(Programa!F$39*'a)Plantilla'!$C43,RedondeoPersonalTecnico),IF(TipoProgramaPersonalTecnico=2,ROUND(Programa!D$39*'a)Plantilla'!$C43,RedondeoPersonalTecnico),ROUND(Programa!D$39*Hjor*'a)Plantilla'!$C43,RedondeoPersonalTecnico))),0)</f>
        <v>0</v>
      </c>
      <c r="AF86" s="6">
        <f>IF(Programa!D$40&gt;0,IF(TipoProgramaPersonalTecnico=1,ROUND(Programa!F$40*'a)Plantilla'!$C43,RedondeoPersonalTecnico),IF(TipoProgramaPersonalTecnico=2,ROUND(Programa!D$40*'a)Plantilla'!$C43,RedondeoPersonalTecnico),ROUND(Programa!D$40*Hjor*'a)Plantilla'!$C43,RedondeoPersonalTecnico))),0)</f>
        <v>0</v>
      </c>
      <c r="AG86" s="6">
        <f>IF(Programa!D$41&gt;0,IF(TipoProgramaPersonalTecnico=1,ROUND(Programa!F$41*'a)Plantilla'!$C43,RedondeoPersonalTecnico),IF(TipoProgramaPersonalTecnico=2,ROUND(Programa!D$41*'a)Plantilla'!$C43,RedondeoPersonalTecnico),ROUND(Programa!D$41*Hjor*'a)Plantilla'!$C43,RedondeoPersonalTecnico))),0)</f>
        <v>0</v>
      </c>
      <c r="AH86" s="6">
        <f>IF(Programa!D$42&gt;0,IF(TipoProgramaPersonalTecnico=1,ROUND(Programa!F$42*'a)Plantilla'!$C43,RedondeoPersonalTecnico),IF(TipoProgramaPersonalTecnico=2,ROUND(Programa!D$42*'a)Plantilla'!$C43,RedondeoPersonalTecnico),ROUND(Programa!D$42*Hjor*'a)Plantilla'!$C43,RedondeoPersonalTecnico))),0)</f>
        <v>0</v>
      </c>
      <c r="AI86" s="6">
        <f>IF(Programa!D$43&gt;0,IF(TipoProgramaPersonalTecnico=1,ROUND(Programa!F$43*'a)Plantilla'!$C43,RedondeoPersonalTecnico),IF(TipoProgramaPersonalTecnico=2,ROUND(Programa!D$43*'a)Plantilla'!$C43,RedondeoPersonalTecnico),ROUND(Programa!D$43*Hjor*'a)Plantilla'!$C43,RedondeoPersonalTecnico))),0)</f>
        <v>0</v>
      </c>
      <c r="AJ86" s="6">
        <f>IF(Programa!D$44&gt;0,IF(TipoProgramaPersonalTecnico=1,ROUND(Programa!F$44*'a)Plantilla'!$C43,RedondeoPersonalTecnico),IF(TipoProgramaPersonalTecnico=2,ROUND(Programa!D$44*'a)Plantilla'!$C43,RedondeoPersonalTecnico),ROUND(Programa!D$44*Hjor*'a)Plantilla'!$C43,RedondeoPersonalTecnico))),0)</f>
        <v>0</v>
      </c>
      <c r="AK86" s="6">
        <f>IF(Programa!D$45&gt;0,IF(TipoProgramaPersonalTecnico=1,ROUND(Programa!F$45*'a)Plantilla'!$C43,RedondeoPersonalTecnico),IF(TipoProgramaPersonalTecnico=2,ROUND(Programa!D$45*'a)Plantilla'!$C43,RedondeoPersonalTecnico),ROUND(Programa!D$45*Hjor*'a)Plantilla'!$C43,RedondeoPersonalTecnico))),0)</f>
        <v>0</v>
      </c>
      <c r="AL86" s="6">
        <f>IF(Programa!D$46&gt;0,IF(TipoProgramaPersonalTecnico=1,ROUND(Programa!F$46*'a)Plantilla'!$C43,RedondeoPersonalTecnico),IF(TipoProgramaPersonalTecnico=2,ROUND(Programa!D$46*'a)Plantilla'!$C43,RedondeoPersonalTecnico),ROUND(Programa!D$46*Hjor*'a)Plantilla'!$C43,RedondeoPersonalTecnico))),0)</f>
        <v>0</v>
      </c>
      <c r="AM86" s="6">
        <f>IF(Programa!D$47&gt;0,IF(TipoProgramaPersonalTecnico=1,ROUND(Programa!F$47*'a)Plantilla'!$C43,RedondeoPersonalTecnico),IF(TipoProgramaPersonalTecnico=2,ROUND(Programa!D$47*'a)Plantilla'!$C43,RedondeoPersonalTecnico),ROUND(Programa!D$47*Hjor*'a)Plantilla'!$C43,RedondeoPersonalTecnico))),0)</f>
        <v>0</v>
      </c>
      <c r="AN86" s="78">
        <f>IF(Programa!D$48&gt;0,IF(TipoProgramaPersonalTecnico=1,ROUND(Programa!F$48*'a)Plantilla'!$C43,RedondeoPersonalTecnico),IF(TipoProgramaPersonalTecnico=2,ROUND(Programa!D$48*'a)Plantilla'!$C43,RedondeoPersonalTecnico),ROUND(Programa!D$48*Hjor*'a)Plantilla'!$C43,RedondeoPersonalTecnico))),0)</f>
        <v>0</v>
      </c>
      <c r="AO86" s="27">
        <f>IF(Programa!D$49&gt;0,IF(TipoProgramaPersonalTecnico=1,ROUND(Programa!F$49*'a)Plantilla'!$C43,RedondeoPersonalTecnico),IF(TipoProgramaPersonalTecnico=2,ROUND(Programa!D$49*'a)Plantilla'!$C43,RedondeoPersonalTecnico),ROUND(Programa!D$49*Hjor*'a)Plantilla'!$C43,RedondeoPersonalTecnico))),0)</f>
        <v>0</v>
      </c>
      <c r="AP86" s="6">
        <f>IF(Programa!D$50&gt;0,IF(TipoProgramaPersonalTecnico=1,ROUND(Programa!F$50*'a)Plantilla'!$C43,RedondeoPersonalTecnico),IF(TipoProgramaPersonalTecnico=2,ROUND(Programa!D$50*'a)Plantilla'!$C43,RedondeoPersonalTecnico),ROUND(Programa!D$50*Hjor*'a)Plantilla'!$C43,RedondeoPersonalTecnico))),0)</f>
        <v>0</v>
      </c>
      <c r="AQ86" s="6">
        <f>IF(Programa!D$51&gt;0,IF(TipoProgramaPersonalTecnico=1,ROUND(Programa!F$51*'a)Plantilla'!$C43,RedondeoPersonalTecnico),IF(TipoProgramaPersonalTecnico=2,ROUND(Programa!D$51*'a)Plantilla'!$C43,RedondeoPersonalTecnico),ROUND(Programa!D$51*Hjor*'a)Plantilla'!$C43,RedondeoPersonalTecnico))),0)</f>
        <v>0</v>
      </c>
      <c r="AR86" s="6">
        <f>IF(Programa!D$52&gt;0,IF(TipoProgramaPersonalTecnico=1,ROUND(Programa!F$52*'a)Plantilla'!$C43,RedondeoPersonalTecnico),IF(TipoProgramaPersonalTecnico=2,ROUND(Programa!D$52*'a)Plantilla'!$C43,RedondeoPersonalTecnico),ROUND(Programa!D$52*Hjor*'a)Plantilla'!$C43,RedondeoPersonalTecnico))),0)</f>
        <v>0</v>
      </c>
      <c r="AS86" s="6">
        <f>IF(Programa!D$53&gt;0,IF(TipoProgramaPersonalTecnico=1,ROUND(Programa!F$53*'a)Plantilla'!$C43,RedondeoPersonalTecnico),IF(TipoProgramaPersonalTecnico=2,ROUND(Programa!D$53*'a)Plantilla'!$C43,RedondeoPersonalTecnico),ROUND(Programa!D$53*Hjor*'a)Plantilla'!$C43,RedondeoPersonalTecnico))),0)</f>
        <v>0</v>
      </c>
      <c r="AT86" s="6">
        <f>IF(Programa!D$54&gt;0,IF(TipoProgramaPersonalTecnico=1,ROUND(Programa!F$54*'a)Plantilla'!$C43,RedondeoPersonalTecnico),IF(TipoProgramaPersonalTecnico=2,ROUND(Programa!D$54*'a)Plantilla'!$C43,RedondeoPersonalTecnico),ROUND(Programa!D$54*Hjor*'a)Plantilla'!$C43,RedondeoPersonalTecnico))),0)</f>
        <v>0</v>
      </c>
      <c r="AU86" s="6">
        <f>IF(Programa!D$55&gt;0,IF(TipoProgramaPersonalTecnico=1,ROUND(Programa!F$55*'a)Plantilla'!$C43,RedondeoPersonalTecnico),IF(TipoProgramaPersonalTecnico=2,ROUND(Programa!D$55*'a)Plantilla'!$C43,RedondeoPersonalTecnico),ROUND(Programa!D$55*Hjor*'a)Plantilla'!$C43,RedondeoPersonalTecnico))),0)</f>
        <v>0</v>
      </c>
      <c r="AV86" s="6">
        <f>IF(Programa!D$56&gt;0,IF(TipoProgramaPersonalTecnico=1,ROUND(Programa!F$56*'a)Plantilla'!$C43,RedondeoPersonalTecnico),IF(TipoProgramaPersonalTecnico=2,ROUND(Programa!D$56*'a)Plantilla'!$C43,RedondeoPersonalTecnico),ROUND(Programa!D$56*Hjor*'a)Plantilla'!$C43,RedondeoPersonalTecnico))),0)</f>
        <v>0</v>
      </c>
      <c r="AW86" s="6">
        <f>IF(Programa!D$57&gt;0,IF(TipoProgramaPersonalTecnico=1,ROUND(Programa!F$57*'a)Plantilla'!$C43,RedondeoPersonalTecnico),IF(TipoProgramaPersonalTecnico=2,ROUND(Programa!D$57*'a)Plantilla'!$C43,RedondeoPersonalTecnico),ROUND(Programa!D$57*Hjor*'a)Plantilla'!$C43,RedondeoPersonalTecnico))),0)</f>
        <v>0</v>
      </c>
      <c r="AX86" s="6">
        <f>IF(Programa!D$58&gt;0,IF(TipoProgramaPersonalTecnico=1,ROUND(Programa!F$58*'a)Plantilla'!$C43,RedondeoPersonalTecnico),IF(TipoProgramaPersonalTecnico=2,ROUND(Programa!D$58*'a)Plantilla'!$C43,RedondeoPersonalTecnico),ROUND(Programa!D$58*Hjor*'a)Plantilla'!$C43,RedondeoPersonalTecnico))),0)</f>
        <v>0</v>
      </c>
      <c r="AY86" s="6">
        <f>IF(Programa!D$59&gt;0,IF(TipoProgramaPersonalTecnico=1,ROUND(Programa!F$59*'a)Plantilla'!$C43,RedondeoPersonalTecnico),IF(TipoProgramaPersonalTecnico=2,ROUND(Programa!D$59*'a)Plantilla'!$C43,RedondeoPersonalTecnico),ROUND(Programa!D$59*Hjor*'a)Plantilla'!$C43,RedondeoPersonalTecnico))),0)</f>
        <v>0</v>
      </c>
      <c r="AZ86" s="6">
        <f>IF(Programa!D$60&gt;0,IF(TipoProgramaPersonalTecnico=1,ROUND(Programa!F$60*'a)Plantilla'!$C43,RedondeoPersonalTecnico),IF(TipoProgramaPersonalTecnico=2,ROUND(Programa!D$60*'a)Plantilla'!$C43,RedondeoPersonalTecnico),ROUND(Programa!D$60*Hjor*'a)Plantilla'!$C43,RedondeoPersonalTecnico))),0)</f>
        <v>0</v>
      </c>
      <c r="BA86" s="6">
        <f>IF(Programa!D$61&gt;0,IF(TipoProgramaPersonalTecnico=1,ROUND(Programa!F$61*'a)Plantilla'!$C43,RedondeoPersonalTecnico),IF(TipoProgramaPersonalTecnico=2,ROUND(Programa!D$61*'a)Plantilla'!$C43,RedondeoPersonalTecnico),ROUND(Programa!D$61*Hjor*'a)Plantilla'!$C43,RedondeoPersonalTecnico))),0)</f>
        <v>0</v>
      </c>
      <c r="BB86" s="6">
        <f>IF(Programa!D$62&gt;0,IF(TipoProgramaPersonalTecnico=1,ROUND(Programa!F$62*'a)Plantilla'!$C43,RedondeoPersonalTecnico),IF(TipoProgramaPersonalTecnico=2,ROUND(Programa!D$62*'a)Plantilla'!$C43,RedondeoPersonalTecnico),ROUND(Programa!D$62*Hjor*'a)Plantilla'!$C43,RedondeoPersonalTecnico))),0)</f>
        <v>0</v>
      </c>
      <c r="BC86" s="6">
        <f>IF(Programa!D$63&gt;0,IF(TipoProgramaPersonalTecnico=1,ROUND(Programa!F$63*'a)Plantilla'!$C43,RedondeoPersonalTecnico),IF(TipoProgramaPersonalTecnico=2,ROUND(Programa!D$63*'a)Plantilla'!$C43,RedondeoPersonalTecnico),ROUND(Programa!D$63*Hjor*'a)Plantilla'!$C43,RedondeoPersonalTecnico))),0)</f>
        <v>0</v>
      </c>
      <c r="BD86" s="6">
        <f>IF(Programa!D$64&gt;0,IF(TipoProgramaPersonalTecnico=1,ROUND(Programa!F$64*'a)Plantilla'!$C43,RedondeoPersonalTecnico),IF(TipoProgramaPersonalTecnico=2,ROUND(Programa!D$64*'a)Plantilla'!$C43,RedondeoPersonalTecnico),ROUND(Programa!D$64*Hjor*'a)Plantilla'!$C43,RedondeoPersonalTecnico))),0)</f>
        <v>0</v>
      </c>
      <c r="BE86" s="6">
        <f>IF(Programa!D$65&gt;0,IF(TipoProgramaPersonalTecnico=1,ROUND(Programa!F$65*'a)Plantilla'!$C43,RedondeoPersonalTecnico),IF(TipoProgramaPersonalTecnico=2,ROUND(Programa!D$65*'a)Plantilla'!$C43,RedondeoPersonalTecnico),ROUND(Programa!D$65*Hjor*'a)Plantilla'!$C43,RedondeoPersonalTecnico))),0)</f>
        <v>0</v>
      </c>
      <c r="BF86" s="6">
        <f>IF(Programa!D$66&gt;0,IF(TipoProgramaPersonalTecnico=1,ROUND(Programa!F$66*'a)Plantilla'!$C43,RedondeoPersonalTecnico),IF(TipoProgramaPersonalTecnico=2,ROUND(Programa!D$66*'a)Plantilla'!$C43,RedondeoPersonalTecnico),ROUND(Programa!D$66*Hjor*'a)Plantilla'!$C43,RedondeoPersonalTecnico))),0)</f>
        <v>0</v>
      </c>
      <c r="BG86" s="6">
        <f>IF(Programa!D$67&gt;0,IF(TipoProgramaPersonalTecnico=1,ROUND(Programa!F$67*'a)Plantilla'!$C43,RedondeoPersonalTecnico),IF(TipoProgramaPersonalTecnico=2,ROUND(Programa!D$67*'a)Plantilla'!$C43,RedondeoPersonalTecnico),ROUND(Programa!D$67*Hjor*'a)Plantilla'!$C43,RedondeoPersonalTecnico))),0)</f>
        <v>0</v>
      </c>
      <c r="BH86" s="6">
        <f>IF(Programa!D$68&gt;0,IF(TipoProgramaPersonalTecnico=1,ROUND(Programa!F$68*'a)Plantilla'!$C43,RedondeoPersonalTecnico),IF(TipoProgramaPersonalTecnico=2,ROUND(Programa!D$68*'a)Plantilla'!$C43,RedondeoPersonalTecnico),ROUND(Programa!D$68*Hjor*'a)Plantilla'!$C43,RedondeoPersonalTecnico))),0)</f>
        <v>0</v>
      </c>
      <c r="BI86" s="6">
        <f>IF(Programa!D$69&gt;0,IF(TipoProgramaPersonalTecnico=1,ROUND(Programa!F$69*'a)Plantilla'!$C43,RedondeoPersonalTecnico),IF(TipoProgramaPersonalTecnico=2,ROUND(Programa!D$69*'a)Plantilla'!$C43,RedondeoPersonalTecnico),ROUND(Programa!D$69*Hjor*'a)Plantilla'!$C43,RedondeoPersonalTecnico))),0)</f>
        <v>0</v>
      </c>
      <c r="BJ86" s="6">
        <f>IF(Programa!D$70&gt;0,IF(TipoProgramaPersonalTecnico=1,ROUND(Programa!F$70*'a)Plantilla'!$C43,RedondeoPersonalTecnico),IF(TipoProgramaPersonalTecnico=2,ROUND(Programa!D$70*'a)Plantilla'!$C43,RedondeoPersonalTecnico),ROUND(Programa!D$70*Hjor*'a)Plantilla'!$C43,RedondeoPersonalTecnico))),0)</f>
        <v>0</v>
      </c>
      <c r="BK86" s="6">
        <f>IF(Programa!D$71&gt;0,IF(TipoProgramaPersonalTecnico=1,ROUND(Programa!F$71*'a)Plantilla'!$C43,RedondeoPersonalTecnico),IF(TipoProgramaPersonalTecnico=2,ROUND(Programa!D$71*'a)Plantilla'!$C43,RedondeoPersonalTecnico),ROUND(Programa!D$71*Hjor*'a)Plantilla'!$C43,RedondeoPersonalTecnico))),0)</f>
        <v>0</v>
      </c>
      <c r="BL86" s="78">
        <f>IF(Programa!D$72&gt;0,IF(TipoProgramaPersonalTecnico=1,ROUND(Programa!F$72*'a)Plantilla'!$C43,RedondeoPersonalTecnico),IF(TipoProgramaPersonalTecnico=2,ROUND(Programa!D$72*'a)Plantilla'!$C43,RedondeoPersonalTecnico),ROUND(Programa!D$72*Hjor*'a)Plantilla'!$C43,RedondeoPersonalTecnico))),0)</f>
        <v>0</v>
      </c>
    </row>
    <row r="87" spans="1:64" ht="8.1" customHeight="1">
      <c r="A87" s="133"/>
      <c r="B87" s="46"/>
      <c r="C87" s="31"/>
      <c r="D87" s="22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8"/>
      <c r="Q87" s="27"/>
      <c r="R87" s="6"/>
      <c r="S87" s="6"/>
      <c r="T87" s="6"/>
      <c r="U87" s="6"/>
      <c r="V87" s="6"/>
      <c r="W87" s="6"/>
      <c r="X87" s="6"/>
      <c r="Y87" s="6"/>
      <c r="Z87" s="6"/>
      <c r="AA87" s="6"/>
      <c r="AB87" s="78"/>
      <c r="AC87" s="27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78"/>
      <c r="AO87" s="27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78"/>
    </row>
    <row r="88" spans="1:64" ht="12.75" customHeight="1">
      <c r="A88" s="133"/>
      <c r="B88" s="46" t="str">
        <f>IF('a)Plantilla'!C44&gt;0,'a)Plantilla'!B44,"")</f>
        <v/>
      </c>
      <c r="C88" s="17" t="str">
        <f>IF('a)Plantilla'!C$44&gt;0,IF(TipoProgramaPersonalTecnico=1,"Personas",IF(TipoProgramaPersonalTecnico=2,"Jornal","horas-Hombre")),"")</f>
        <v/>
      </c>
      <c r="D88" s="226">
        <f>ROUND(SUM(E88:BL88),RedondeoPersonalTecnico)</f>
        <v>0</v>
      </c>
      <c r="E88" s="6">
        <f>IF(Programa!D$13&gt;0,IF(TipoProgramaPersonalTecnico=1,ROUND(Programa!F$13*'a)Plantilla'!$C44,RedondeoPersonalTecnico),IF(TipoProgramaPersonalTecnico=2,ROUND(Programa!D$13*'a)Plantilla'!$C44,RedondeoPersonalTecnico),ROUND(Programa!D$13*Hjor*'a)Plantilla'!$C44,RedondeoPersonalTecnico))),0)</f>
        <v>0</v>
      </c>
      <c r="F88" s="6">
        <f>IF(Programa!D$14&gt;0,IF(TipoProgramaPersonalTecnico=1,ROUND(Programa!F$14*'a)Plantilla'!$C44,RedondeoPersonalTecnico),IF(TipoProgramaPersonalTecnico=2,ROUND(Programa!D$14*'a)Plantilla'!$C44,RedondeoPersonalTecnico),ROUND(Programa!D$14*Hjor*'a)Plantilla'!$C44,RedondeoPersonalTecnico))),0)</f>
        <v>0</v>
      </c>
      <c r="G88" s="6">
        <f>IF(Programa!D$15&gt;0,IF(TipoProgramaPersonalTecnico=1,ROUND(Programa!F$15*'a)Plantilla'!$C44,RedondeoPersonalTecnico),IF(TipoProgramaPersonalTecnico=2,ROUND(Programa!D$15*'a)Plantilla'!$C44,RedondeoPersonalTecnico),ROUND(Programa!D$15*Hjor*'a)Plantilla'!$C44,RedondeoPersonalTecnico))),0)</f>
        <v>0</v>
      </c>
      <c r="H88" s="6">
        <f>IF(Programa!D$16&gt;0,IF(TipoProgramaPersonalTecnico=1,ROUND(Programa!F$16*'a)Plantilla'!$C44,RedondeoPersonalTecnico),IF(TipoProgramaPersonalTecnico=2,ROUND(Programa!D$16*'a)Plantilla'!$C44,RedondeoPersonalTecnico),ROUND(Programa!D$16*Hjor*'a)Plantilla'!$C44,RedondeoPersonalTecnico))),0)</f>
        <v>0</v>
      </c>
      <c r="I88" s="6">
        <f>IF(Programa!D$17&gt;0,IF(TipoProgramaPersonalTecnico=1,ROUND(Programa!F$17*'a)Plantilla'!$C44,RedondeoPersonalTecnico),IF(TipoProgramaPersonalTecnico=2,ROUND(Programa!D$17*'a)Plantilla'!$C44,RedondeoPersonalTecnico),ROUND(Programa!D$17*Hjor*'a)Plantilla'!$C44,RedondeoPersonalTecnico))),0)</f>
        <v>0</v>
      </c>
      <c r="J88" s="6">
        <f>IF(Programa!D$18&gt;0,IF(TipoProgramaPersonalTecnico=1,ROUND(Programa!F$18*'a)Plantilla'!$C44,RedondeoPersonalTecnico),IF(TipoProgramaPersonalTecnico=2,ROUND(Programa!D$18*'a)Plantilla'!$C44,RedondeoPersonalTecnico),ROUND(Programa!D$18*Hjor*'a)Plantilla'!$C44,RedondeoPersonalTecnico))),0)</f>
        <v>0</v>
      </c>
      <c r="K88" s="6">
        <f>IF(Programa!D$19&gt;0,IF(TipoProgramaPersonalTecnico=1,ROUND(Programa!F$19*'a)Plantilla'!$C44,RedondeoPersonalTecnico),IF(TipoProgramaPersonalTecnico=2,ROUND(Programa!D$19*'a)Plantilla'!$C44,RedondeoPersonalTecnico),ROUND(Programa!D$19*Hjor*'a)Plantilla'!$C44,RedondeoPersonalTecnico))),0)</f>
        <v>0</v>
      </c>
      <c r="L88" s="6">
        <f>IF(Programa!D$20&gt;0,IF(TipoProgramaPersonalTecnico=1,ROUND(Programa!F$20*'a)Plantilla'!$C44,RedondeoPersonalTecnico),IF(TipoProgramaPersonalTecnico=2,ROUND(Programa!D$20*'a)Plantilla'!$C44,RedondeoPersonalTecnico),ROUND(Programa!D$20*Hjor*'a)Plantilla'!$C44,RedondeoPersonalTecnico))),0)</f>
        <v>0</v>
      </c>
      <c r="M88" s="6">
        <f>IF(Programa!D$21&gt;0,IF(TipoProgramaPersonalTecnico=1,ROUND(Programa!F$21*'a)Plantilla'!$C44,RedondeoPersonalTecnico),IF(TipoProgramaPersonalTecnico=2,ROUND(Programa!D$21*'a)Plantilla'!$C44,RedondeoPersonalTecnico),ROUND(Programa!D$21*Hjor*'a)Plantilla'!$C44,RedondeoPersonalTecnico))),0)</f>
        <v>0</v>
      </c>
      <c r="N88" s="6">
        <f>IF(Programa!D$22&gt;0,IF(TipoProgramaPersonalTecnico=1,ROUND(Programa!F$22*'a)Plantilla'!$C44,RedondeoPersonalTecnico),IF(TipoProgramaPersonalTecnico=2,ROUND(Programa!D$22*'a)Plantilla'!$C44,RedondeoPersonalTecnico),ROUND(Programa!D$22*Hjor*'a)Plantilla'!$C44,RedondeoPersonalTecnico))),0)</f>
        <v>0</v>
      </c>
      <c r="O88" s="6">
        <f>IF(Programa!D$23&gt;0,IF(TipoProgramaPersonalTecnico=1,ROUND(Programa!F$23*'a)Plantilla'!$C44,RedondeoPersonalTecnico),IF(TipoProgramaPersonalTecnico=2,ROUND(Programa!D$23*'a)Plantilla'!$C44,RedondeoPersonalTecnico),ROUND(Programa!D$23*Hjor*'a)Plantilla'!$C44,RedondeoPersonalTecnico))),0)</f>
        <v>0</v>
      </c>
      <c r="P88" s="78">
        <f>IF(Programa!D$24&gt;0,IF(TipoProgramaPersonalTecnico=1,ROUND(Programa!F$24*'a)Plantilla'!$C44,RedondeoPersonalTecnico),IF(TipoProgramaPersonalTecnico=2,ROUND(Programa!D$24*'a)Plantilla'!$C44,RedondeoPersonalTecnico),ROUND(Programa!D$24*Hjor*'a)Plantilla'!$C44,RedondeoPersonalTecnico))),0)</f>
        <v>0</v>
      </c>
      <c r="Q88" s="27">
        <f>IF(Programa!D$25&gt;0,IF(TipoProgramaPersonalTecnico=1,ROUND(Programa!F$25*'a)Plantilla'!$C44,RedondeoPersonalTecnico),IF(TipoProgramaPersonalTecnico=2,ROUND(Programa!D$25*'a)Plantilla'!$C44,RedondeoPersonalTecnico),ROUND(Programa!D$25*Hjor*'a)Plantilla'!$C44,RedondeoPersonalTecnico))),0)</f>
        <v>0</v>
      </c>
      <c r="R88" s="6">
        <f>IF(Programa!D$26&gt;0,IF(TipoProgramaPersonalTecnico=1,ROUND(Programa!F$26*'a)Plantilla'!$C44,RedondeoPersonalTecnico),IF(TipoProgramaPersonalTecnico=2,ROUND(Programa!D$26*'a)Plantilla'!$C44,RedondeoPersonalTecnico),ROUND(Programa!D$26*Hjor*'a)Plantilla'!$C44,RedondeoPersonalTecnico))),0)</f>
        <v>0</v>
      </c>
      <c r="S88" s="6">
        <f>IF(Programa!D$27&gt;0,IF(TipoProgramaPersonalTecnico=1,ROUND(Programa!F$27*'a)Plantilla'!$C44,RedondeoPersonalTecnico),IF(TipoProgramaPersonalTecnico=2,ROUND(Programa!D$27*'a)Plantilla'!$C44,RedondeoPersonalTecnico),ROUND(Programa!D$27*Hjor*'a)Plantilla'!$C44,RedondeoPersonalTecnico))),0)</f>
        <v>0</v>
      </c>
      <c r="T88" s="6">
        <f>IF(Programa!D$28&gt;0,IF(TipoProgramaPersonalTecnico=1,ROUND(Programa!F$28*'a)Plantilla'!$C44,RedondeoPersonalTecnico),IF(TipoProgramaPersonalTecnico=2,ROUND(Programa!D$28*'a)Plantilla'!$C44,RedondeoPersonalTecnico),ROUND(Programa!D$28*Hjor*'a)Plantilla'!$C44,RedondeoPersonalTecnico))),0)</f>
        <v>0</v>
      </c>
      <c r="U88" s="6">
        <f>IF(Programa!D$29&gt;0,IF(TipoProgramaPersonalTecnico=1,ROUND(Programa!F$29*'a)Plantilla'!$C44,RedondeoPersonalTecnico),IF(TipoProgramaPersonalTecnico=2,ROUND(Programa!D$29*'a)Plantilla'!$C44,RedondeoPersonalTecnico),ROUND(Programa!D$29*Hjor*'a)Plantilla'!$C44,RedondeoPersonalTecnico))),0)</f>
        <v>0</v>
      </c>
      <c r="V88" s="6">
        <f>IF(Programa!D$30&gt;0,IF(TipoProgramaPersonalTecnico=1,ROUND(Programa!F$30*'a)Plantilla'!$C44,RedondeoPersonalTecnico),IF(TipoProgramaPersonalTecnico=2,ROUND(Programa!D$30*'a)Plantilla'!$C44,RedondeoPersonalTecnico),ROUND(Programa!D$30*Hjor*'a)Plantilla'!$C44,RedondeoPersonalTecnico))),0)</f>
        <v>0</v>
      </c>
      <c r="W88" s="6">
        <f>IF(Programa!D$31&gt;0,IF(TipoProgramaPersonalTecnico=1,ROUND(Programa!F$31*'a)Plantilla'!$C44,RedondeoPersonalTecnico),IF(TipoProgramaPersonalTecnico=2,ROUND(Programa!D$31*'a)Plantilla'!$C44,RedondeoPersonalTecnico),ROUND(Programa!D$31*Hjor*'a)Plantilla'!$C44,RedondeoPersonalTecnico))),0)</f>
        <v>0</v>
      </c>
      <c r="X88" s="6">
        <f>IF(Programa!D$32&gt;0,IF(TipoProgramaPersonalTecnico=1,ROUND(Programa!F$32*'a)Plantilla'!$C44,RedondeoPersonalTecnico),IF(TipoProgramaPersonalTecnico=2,ROUND(Programa!D$32*'a)Plantilla'!$C44,RedondeoPersonalTecnico),ROUND(Programa!D$32*Hjor*'a)Plantilla'!$C44,RedondeoPersonalTecnico))),0)</f>
        <v>0</v>
      </c>
      <c r="Y88" s="6">
        <f>IF(Programa!D$33&gt;0,IF(TipoProgramaPersonalTecnico=1,ROUND(Programa!F$33*'a)Plantilla'!$C44,RedondeoPersonalTecnico),IF(TipoProgramaPersonalTecnico=2,ROUND(Programa!D$33*'a)Plantilla'!$C44,RedondeoPersonalTecnico),ROUND(Programa!D$33*Hjor*'a)Plantilla'!$C44,RedondeoPersonalTecnico))),0)</f>
        <v>0</v>
      </c>
      <c r="Z88" s="6">
        <f>IF(Programa!D$34&gt;0,IF(TipoProgramaPersonalTecnico=1,ROUND(Programa!F$34*'a)Plantilla'!$C44,RedondeoPersonalTecnico),IF(TipoProgramaPersonalTecnico=2,ROUND(Programa!D$34*'a)Plantilla'!$C44,RedondeoPersonalTecnico),ROUND(Programa!D$34*Hjor*'a)Plantilla'!$C44,RedondeoPersonalTecnico))),0)</f>
        <v>0</v>
      </c>
      <c r="AA88" s="6">
        <f>IF(Programa!D$35&gt;0,IF(TipoProgramaPersonalTecnico=1,ROUND(Programa!F$35*'a)Plantilla'!$C44,RedondeoPersonalTecnico),IF(TipoProgramaPersonalTecnico=2,ROUND(Programa!D$35*'a)Plantilla'!$C44,RedondeoPersonalTecnico),ROUND(Programa!D$35*Hjor*'a)Plantilla'!$C44,RedondeoPersonalTecnico))),0)</f>
        <v>0</v>
      </c>
      <c r="AB88" s="78">
        <f>IF(Programa!D$36&gt;0,IF(TipoProgramaPersonalTecnico=1,ROUND(Programa!F$36*'a)Plantilla'!$C44,RedondeoPersonalTecnico),IF(TipoProgramaPersonalTecnico=2,ROUND(Programa!D$36*'a)Plantilla'!$C44,RedondeoPersonalTecnico),ROUND(Programa!D$36*Hjor*'a)Plantilla'!$C44,RedondeoPersonalTecnico))),0)</f>
        <v>0</v>
      </c>
      <c r="AC88" s="27">
        <f>IF(Programa!D$37&gt;0,IF(TipoProgramaPersonalTecnico=1,ROUND(Programa!F$37*'a)Plantilla'!$C44,RedondeoPersonalTecnico),IF(TipoProgramaPersonalTecnico=2,ROUND(Programa!D$37*'a)Plantilla'!$C44,RedondeoPersonalTecnico),ROUND(Programa!D$37*Hjor*'a)Plantilla'!$C44,RedondeoPersonalTecnico))),0)</f>
        <v>0</v>
      </c>
      <c r="AD88" s="6">
        <f>IF(Programa!D$38&gt;0,IF(TipoProgramaPersonalTecnico=1,ROUND(Programa!F$38*'a)Plantilla'!$C44,RedondeoPersonalTecnico),IF(TipoProgramaPersonalTecnico=2,ROUND(Programa!D$38*'a)Plantilla'!$C44,RedondeoPersonalTecnico),ROUND(Programa!D$38*Hjor*'a)Plantilla'!$C44,RedondeoPersonalTecnico))),0)</f>
        <v>0</v>
      </c>
      <c r="AE88" s="6">
        <f>IF(Programa!D$39&gt;0,IF(TipoProgramaPersonalTecnico=1,ROUND(Programa!F$39*'a)Plantilla'!$C44,RedondeoPersonalTecnico),IF(TipoProgramaPersonalTecnico=2,ROUND(Programa!D$39*'a)Plantilla'!$C44,RedondeoPersonalTecnico),ROUND(Programa!D$39*Hjor*'a)Plantilla'!$C44,RedondeoPersonalTecnico))),0)</f>
        <v>0</v>
      </c>
      <c r="AF88" s="6">
        <f>IF(Programa!D$40&gt;0,IF(TipoProgramaPersonalTecnico=1,ROUND(Programa!F$40*'a)Plantilla'!$C44,RedondeoPersonalTecnico),IF(TipoProgramaPersonalTecnico=2,ROUND(Programa!D$40*'a)Plantilla'!$C44,RedondeoPersonalTecnico),ROUND(Programa!D$40*Hjor*'a)Plantilla'!$C44,RedondeoPersonalTecnico))),0)</f>
        <v>0</v>
      </c>
      <c r="AG88" s="6">
        <f>IF(Programa!D$41&gt;0,IF(TipoProgramaPersonalTecnico=1,ROUND(Programa!F$41*'a)Plantilla'!$C44,RedondeoPersonalTecnico),IF(TipoProgramaPersonalTecnico=2,ROUND(Programa!D$41*'a)Plantilla'!$C44,RedondeoPersonalTecnico),ROUND(Programa!D$41*Hjor*'a)Plantilla'!$C44,RedondeoPersonalTecnico))),0)</f>
        <v>0</v>
      </c>
      <c r="AH88" s="6">
        <f>IF(Programa!D$42&gt;0,IF(TipoProgramaPersonalTecnico=1,ROUND(Programa!F$42*'a)Plantilla'!$C44,RedondeoPersonalTecnico),IF(TipoProgramaPersonalTecnico=2,ROUND(Programa!D$42*'a)Plantilla'!$C44,RedondeoPersonalTecnico),ROUND(Programa!D$42*Hjor*'a)Plantilla'!$C44,RedondeoPersonalTecnico))),0)</f>
        <v>0</v>
      </c>
      <c r="AI88" s="6">
        <f>IF(Programa!D$43&gt;0,IF(TipoProgramaPersonalTecnico=1,ROUND(Programa!F$43*'a)Plantilla'!$C44,RedondeoPersonalTecnico),IF(TipoProgramaPersonalTecnico=2,ROUND(Programa!D$43*'a)Plantilla'!$C44,RedondeoPersonalTecnico),ROUND(Programa!D$43*Hjor*'a)Plantilla'!$C44,RedondeoPersonalTecnico))),0)</f>
        <v>0</v>
      </c>
      <c r="AJ88" s="6">
        <f>IF(Programa!D$44&gt;0,IF(TipoProgramaPersonalTecnico=1,ROUND(Programa!F$44*'a)Plantilla'!$C44,RedondeoPersonalTecnico),IF(TipoProgramaPersonalTecnico=2,ROUND(Programa!D$44*'a)Plantilla'!$C44,RedondeoPersonalTecnico),ROUND(Programa!D$44*Hjor*'a)Plantilla'!$C44,RedondeoPersonalTecnico))),0)</f>
        <v>0</v>
      </c>
      <c r="AK88" s="6">
        <f>IF(Programa!D$45&gt;0,IF(TipoProgramaPersonalTecnico=1,ROUND(Programa!F$45*'a)Plantilla'!$C44,RedondeoPersonalTecnico),IF(TipoProgramaPersonalTecnico=2,ROUND(Programa!D$45*'a)Plantilla'!$C44,RedondeoPersonalTecnico),ROUND(Programa!D$45*Hjor*'a)Plantilla'!$C44,RedondeoPersonalTecnico))),0)</f>
        <v>0</v>
      </c>
      <c r="AL88" s="6">
        <f>IF(Programa!D$46&gt;0,IF(TipoProgramaPersonalTecnico=1,ROUND(Programa!F$46*'a)Plantilla'!$C44,RedondeoPersonalTecnico),IF(TipoProgramaPersonalTecnico=2,ROUND(Programa!D$46*'a)Plantilla'!$C44,RedondeoPersonalTecnico),ROUND(Programa!D$46*Hjor*'a)Plantilla'!$C44,RedondeoPersonalTecnico))),0)</f>
        <v>0</v>
      </c>
      <c r="AM88" s="6">
        <f>IF(Programa!D$47&gt;0,IF(TipoProgramaPersonalTecnico=1,ROUND(Programa!F$47*'a)Plantilla'!$C44,RedondeoPersonalTecnico),IF(TipoProgramaPersonalTecnico=2,ROUND(Programa!D$47*'a)Plantilla'!$C44,RedondeoPersonalTecnico),ROUND(Programa!D$47*Hjor*'a)Plantilla'!$C44,RedondeoPersonalTecnico))),0)</f>
        <v>0</v>
      </c>
      <c r="AN88" s="78">
        <f>IF(Programa!D$48&gt;0,IF(TipoProgramaPersonalTecnico=1,ROUND(Programa!F$48*'a)Plantilla'!$C44,RedondeoPersonalTecnico),IF(TipoProgramaPersonalTecnico=2,ROUND(Programa!D$48*'a)Plantilla'!$C44,RedondeoPersonalTecnico),ROUND(Programa!D$48*Hjor*'a)Plantilla'!$C44,RedondeoPersonalTecnico))),0)</f>
        <v>0</v>
      </c>
      <c r="AO88" s="27">
        <f>IF(Programa!D$49&gt;0,IF(TipoProgramaPersonalTecnico=1,ROUND(Programa!F$49*'a)Plantilla'!$C44,RedondeoPersonalTecnico),IF(TipoProgramaPersonalTecnico=2,ROUND(Programa!D$49*'a)Plantilla'!$C44,RedondeoPersonalTecnico),ROUND(Programa!D$49*Hjor*'a)Plantilla'!$C44,RedondeoPersonalTecnico))),0)</f>
        <v>0</v>
      </c>
      <c r="AP88" s="6">
        <f>IF(Programa!D$50&gt;0,IF(TipoProgramaPersonalTecnico=1,ROUND(Programa!F$50*'a)Plantilla'!$C44,RedondeoPersonalTecnico),IF(TipoProgramaPersonalTecnico=2,ROUND(Programa!D$50*'a)Plantilla'!$C44,RedondeoPersonalTecnico),ROUND(Programa!D$50*Hjor*'a)Plantilla'!$C44,RedondeoPersonalTecnico))),0)</f>
        <v>0</v>
      </c>
      <c r="AQ88" s="6">
        <f>IF(Programa!D$51&gt;0,IF(TipoProgramaPersonalTecnico=1,ROUND(Programa!F$51*'a)Plantilla'!$C44,RedondeoPersonalTecnico),IF(TipoProgramaPersonalTecnico=2,ROUND(Programa!D$51*'a)Plantilla'!$C44,RedondeoPersonalTecnico),ROUND(Programa!D$51*Hjor*'a)Plantilla'!$C44,RedondeoPersonalTecnico))),0)</f>
        <v>0</v>
      </c>
      <c r="AR88" s="6">
        <f>IF(Programa!D$52&gt;0,IF(TipoProgramaPersonalTecnico=1,ROUND(Programa!F$52*'a)Plantilla'!$C44,RedondeoPersonalTecnico),IF(TipoProgramaPersonalTecnico=2,ROUND(Programa!D$52*'a)Plantilla'!$C44,RedondeoPersonalTecnico),ROUND(Programa!D$52*Hjor*'a)Plantilla'!$C44,RedondeoPersonalTecnico))),0)</f>
        <v>0</v>
      </c>
      <c r="AS88" s="6">
        <f>IF(Programa!D$53&gt;0,IF(TipoProgramaPersonalTecnico=1,ROUND(Programa!F$53*'a)Plantilla'!$C44,RedondeoPersonalTecnico),IF(TipoProgramaPersonalTecnico=2,ROUND(Programa!D$53*'a)Plantilla'!$C44,RedondeoPersonalTecnico),ROUND(Programa!D$53*Hjor*'a)Plantilla'!$C44,RedondeoPersonalTecnico))),0)</f>
        <v>0</v>
      </c>
      <c r="AT88" s="6">
        <f>IF(Programa!D$54&gt;0,IF(TipoProgramaPersonalTecnico=1,ROUND(Programa!F$54*'a)Plantilla'!$C44,RedondeoPersonalTecnico),IF(TipoProgramaPersonalTecnico=2,ROUND(Programa!D$54*'a)Plantilla'!$C44,RedondeoPersonalTecnico),ROUND(Programa!D$54*Hjor*'a)Plantilla'!$C44,RedondeoPersonalTecnico))),0)</f>
        <v>0</v>
      </c>
      <c r="AU88" s="6">
        <f>IF(Programa!D$55&gt;0,IF(TipoProgramaPersonalTecnico=1,ROUND(Programa!F$55*'a)Plantilla'!$C44,RedondeoPersonalTecnico),IF(TipoProgramaPersonalTecnico=2,ROUND(Programa!D$55*'a)Plantilla'!$C44,RedondeoPersonalTecnico),ROUND(Programa!D$55*Hjor*'a)Plantilla'!$C44,RedondeoPersonalTecnico))),0)</f>
        <v>0</v>
      </c>
      <c r="AV88" s="6">
        <f>IF(Programa!D$56&gt;0,IF(TipoProgramaPersonalTecnico=1,ROUND(Programa!F$56*'a)Plantilla'!$C44,RedondeoPersonalTecnico),IF(TipoProgramaPersonalTecnico=2,ROUND(Programa!D$56*'a)Plantilla'!$C44,RedondeoPersonalTecnico),ROUND(Programa!D$56*Hjor*'a)Plantilla'!$C44,RedondeoPersonalTecnico))),0)</f>
        <v>0</v>
      </c>
      <c r="AW88" s="6">
        <f>IF(Programa!D$57&gt;0,IF(TipoProgramaPersonalTecnico=1,ROUND(Programa!F$57*'a)Plantilla'!$C44,RedondeoPersonalTecnico),IF(TipoProgramaPersonalTecnico=2,ROUND(Programa!D$57*'a)Plantilla'!$C44,RedondeoPersonalTecnico),ROUND(Programa!D$57*Hjor*'a)Plantilla'!$C44,RedondeoPersonalTecnico))),0)</f>
        <v>0</v>
      </c>
      <c r="AX88" s="6">
        <f>IF(Programa!D$58&gt;0,IF(TipoProgramaPersonalTecnico=1,ROUND(Programa!F$58*'a)Plantilla'!$C44,RedondeoPersonalTecnico),IF(TipoProgramaPersonalTecnico=2,ROUND(Programa!D$58*'a)Plantilla'!$C44,RedondeoPersonalTecnico),ROUND(Programa!D$58*Hjor*'a)Plantilla'!$C44,RedondeoPersonalTecnico))),0)</f>
        <v>0</v>
      </c>
      <c r="AY88" s="6">
        <f>IF(Programa!D$59&gt;0,IF(TipoProgramaPersonalTecnico=1,ROUND(Programa!F$59*'a)Plantilla'!$C44,RedondeoPersonalTecnico),IF(TipoProgramaPersonalTecnico=2,ROUND(Programa!D$59*'a)Plantilla'!$C44,RedondeoPersonalTecnico),ROUND(Programa!D$59*Hjor*'a)Plantilla'!$C44,RedondeoPersonalTecnico))),0)</f>
        <v>0</v>
      </c>
      <c r="AZ88" s="6">
        <f>IF(Programa!D$60&gt;0,IF(TipoProgramaPersonalTecnico=1,ROUND(Programa!F$60*'a)Plantilla'!$C44,RedondeoPersonalTecnico),IF(TipoProgramaPersonalTecnico=2,ROUND(Programa!D$60*'a)Plantilla'!$C44,RedondeoPersonalTecnico),ROUND(Programa!D$60*Hjor*'a)Plantilla'!$C44,RedondeoPersonalTecnico))),0)</f>
        <v>0</v>
      </c>
      <c r="BA88" s="6">
        <f>IF(Programa!D$61&gt;0,IF(TipoProgramaPersonalTecnico=1,ROUND(Programa!F$61*'a)Plantilla'!$C44,RedondeoPersonalTecnico),IF(TipoProgramaPersonalTecnico=2,ROUND(Programa!D$61*'a)Plantilla'!$C44,RedondeoPersonalTecnico),ROUND(Programa!D$61*Hjor*'a)Plantilla'!$C44,RedondeoPersonalTecnico))),0)</f>
        <v>0</v>
      </c>
      <c r="BB88" s="6">
        <f>IF(Programa!D$62&gt;0,IF(TipoProgramaPersonalTecnico=1,ROUND(Programa!F$62*'a)Plantilla'!$C44,RedondeoPersonalTecnico),IF(TipoProgramaPersonalTecnico=2,ROUND(Programa!D$62*'a)Plantilla'!$C44,RedondeoPersonalTecnico),ROUND(Programa!D$62*Hjor*'a)Plantilla'!$C44,RedondeoPersonalTecnico))),0)</f>
        <v>0</v>
      </c>
      <c r="BC88" s="6">
        <f>IF(Programa!D$63&gt;0,IF(TipoProgramaPersonalTecnico=1,ROUND(Programa!F$63*'a)Plantilla'!$C44,RedondeoPersonalTecnico),IF(TipoProgramaPersonalTecnico=2,ROUND(Programa!D$63*'a)Plantilla'!$C44,RedondeoPersonalTecnico),ROUND(Programa!D$63*Hjor*'a)Plantilla'!$C44,RedondeoPersonalTecnico))),0)</f>
        <v>0</v>
      </c>
      <c r="BD88" s="6">
        <f>IF(Programa!D$64&gt;0,IF(TipoProgramaPersonalTecnico=1,ROUND(Programa!F$64*'a)Plantilla'!$C44,RedondeoPersonalTecnico),IF(TipoProgramaPersonalTecnico=2,ROUND(Programa!D$64*'a)Plantilla'!$C44,RedondeoPersonalTecnico),ROUND(Programa!D$64*Hjor*'a)Plantilla'!$C44,RedondeoPersonalTecnico))),0)</f>
        <v>0</v>
      </c>
      <c r="BE88" s="6">
        <f>IF(Programa!D$65&gt;0,IF(TipoProgramaPersonalTecnico=1,ROUND(Programa!F$65*'a)Plantilla'!$C44,RedondeoPersonalTecnico),IF(TipoProgramaPersonalTecnico=2,ROUND(Programa!D$65*'a)Plantilla'!$C44,RedondeoPersonalTecnico),ROUND(Programa!D$65*Hjor*'a)Plantilla'!$C44,RedondeoPersonalTecnico))),0)</f>
        <v>0</v>
      </c>
      <c r="BF88" s="6">
        <f>IF(Programa!D$66&gt;0,IF(TipoProgramaPersonalTecnico=1,ROUND(Programa!F$66*'a)Plantilla'!$C44,RedondeoPersonalTecnico),IF(TipoProgramaPersonalTecnico=2,ROUND(Programa!D$66*'a)Plantilla'!$C44,RedondeoPersonalTecnico),ROUND(Programa!D$66*Hjor*'a)Plantilla'!$C44,RedondeoPersonalTecnico))),0)</f>
        <v>0</v>
      </c>
      <c r="BG88" s="6">
        <f>IF(Programa!D$67&gt;0,IF(TipoProgramaPersonalTecnico=1,ROUND(Programa!F$67*'a)Plantilla'!$C44,RedondeoPersonalTecnico),IF(TipoProgramaPersonalTecnico=2,ROUND(Programa!D$67*'a)Plantilla'!$C44,RedondeoPersonalTecnico),ROUND(Programa!D$67*Hjor*'a)Plantilla'!$C44,RedondeoPersonalTecnico))),0)</f>
        <v>0</v>
      </c>
      <c r="BH88" s="6">
        <f>IF(Programa!D$68&gt;0,IF(TipoProgramaPersonalTecnico=1,ROUND(Programa!F$68*'a)Plantilla'!$C44,RedondeoPersonalTecnico),IF(TipoProgramaPersonalTecnico=2,ROUND(Programa!D$68*'a)Plantilla'!$C44,RedondeoPersonalTecnico),ROUND(Programa!D$68*Hjor*'a)Plantilla'!$C44,RedondeoPersonalTecnico))),0)</f>
        <v>0</v>
      </c>
      <c r="BI88" s="6">
        <f>IF(Programa!D$69&gt;0,IF(TipoProgramaPersonalTecnico=1,ROUND(Programa!F$69*'a)Plantilla'!$C44,RedondeoPersonalTecnico),IF(TipoProgramaPersonalTecnico=2,ROUND(Programa!D$69*'a)Plantilla'!$C44,RedondeoPersonalTecnico),ROUND(Programa!D$69*Hjor*'a)Plantilla'!$C44,RedondeoPersonalTecnico))),0)</f>
        <v>0</v>
      </c>
      <c r="BJ88" s="6">
        <f>IF(Programa!D$70&gt;0,IF(TipoProgramaPersonalTecnico=1,ROUND(Programa!F$70*'a)Plantilla'!$C44,RedondeoPersonalTecnico),IF(TipoProgramaPersonalTecnico=2,ROUND(Programa!D$70*'a)Plantilla'!$C44,RedondeoPersonalTecnico),ROUND(Programa!D$70*Hjor*'a)Plantilla'!$C44,RedondeoPersonalTecnico))),0)</f>
        <v>0</v>
      </c>
      <c r="BK88" s="6">
        <f>IF(Programa!D$71&gt;0,IF(TipoProgramaPersonalTecnico=1,ROUND(Programa!F$71*'a)Plantilla'!$C44,RedondeoPersonalTecnico),IF(TipoProgramaPersonalTecnico=2,ROUND(Programa!D$71*'a)Plantilla'!$C44,RedondeoPersonalTecnico),ROUND(Programa!D$71*Hjor*'a)Plantilla'!$C44,RedondeoPersonalTecnico))),0)</f>
        <v>0</v>
      </c>
      <c r="BL88" s="78">
        <f>IF(Programa!D$72&gt;0,IF(TipoProgramaPersonalTecnico=1,ROUND(Programa!F$72*'a)Plantilla'!$C44,RedondeoPersonalTecnico),IF(TipoProgramaPersonalTecnico=2,ROUND(Programa!D$72*'a)Plantilla'!$C44,RedondeoPersonalTecnico),ROUND(Programa!D$72*Hjor*'a)Plantilla'!$C44,RedondeoPersonalTecnico))),0)</f>
        <v>0</v>
      </c>
    </row>
    <row r="89" spans="1:64" ht="8.1" customHeight="1">
      <c r="A89" s="133"/>
      <c r="B89" s="46"/>
      <c r="C89" s="31"/>
      <c r="D89" s="22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8"/>
      <c r="Q89" s="27"/>
      <c r="R89" s="6"/>
      <c r="S89" s="6"/>
      <c r="T89" s="6"/>
      <c r="U89" s="6"/>
      <c r="V89" s="6"/>
      <c r="W89" s="6"/>
      <c r="X89" s="6"/>
      <c r="Y89" s="6"/>
      <c r="Z89" s="6"/>
      <c r="AA89" s="6"/>
      <c r="AB89" s="78"/>
      <c r="AC89" s="27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78"/>
      <c r="AO89" s="27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78"/>
    </row>
    <row r="90" spans="1:64" ht="12.75" customHeight="1">
      <c r="A90" s="133" t="s">
        <v>168</v>
      </c>
      <c r="B90" s="136" t="str">
        <f>IF('a)Plantilla'!C45&gt;0,'a)Plantilla'!B45,"")</f>
        <v/>
      </c>
      <c r="C90" s="17" t="str">
        <f>IF('a)Plantilla'!C$45&gt;0,IF(TipoProgramaPersonalTecnico=1,"Personas",IF(TipoProgramaPersonalTecnico=2,"Jornal","horas-Hombre")),"")</f>
        <v/>
      </c>
      <c r="D90" s="226">
        <f>ROUND(SUM(E90:BL90),RedondeoPersonalTecnico)</f>
        <v>0</v>
      </c>
      <c r="E90" s="6">
        <f>IF(Programa!D$13&gt;0,IF(TipoProgramaPersonalTecnico=1,ROUND(Programa!F$13*'a)Plantilla'!$C45,RedondeoPersonalTecnico),IF(TipoProgramaPersonalTecnico=2,ROUND(Programa!D$13*'a)Plantilla'!$C45,RedondeoPersonalTecnico),ROUND(Programa!D$13*Hjor*'a)Plantilla'!$C45,RedondeoPersonalTecnico))),0)</f>
        <v>0</v>
      </c>
      <c r="F90" s="6">
        <f>IF(Programa!D$14&gt;0,IF(TipoProgramaPersonalTecnico=1,ROUND(Programa!F$14*'a)Plantilla'!$C45,RedondeoPersonalTecnico),IF(TipoProgramaPersonalTecnico=2,ROUND(Programa!D$14*'a)Plantilla'!$C45,RedondeoPersonalTecnico),ROUND(Programa!D$14*Hjor*'a)Plantilla'!$C45,RedondeoPersonalTecnico))),0)</f>
        <v>0</v>
      </c>
      <c r="G90" s="6">
        <f>IF(Programa!D$15&gt;0,IF(TipoProgramaPersonalTecnico=1,ROUND(Programa!F$15*'a)Plantilla'!$C45,RedondeoPersonalTecnico),IF(TipoProgramaPersonalTecnico=2,ROUND(Programa!D$15*'a)Plantilla'!$C45,RedondeoPersonalTecnico),ROUND(Programa!D$15*Hjor*'a)Plantilla'!$C45,RedondeoPersonalTecnico))),0)</f>
        <v>0</v>
      </c>
      <c r="H90" s="6">
        <f>IF(Programa!D$16&gt;0,IF(TipoProgramaPersonalTecnico=1,ROUND(Programa!F$16*'a)Plantilla'!$C45,RedondeoPersonalTecnico),IF(TipoProgramaPersonalTecnico=2,ROUND(Programa!D$16*'a)Plantilla'!$C45,RedondeoPersonalTecnico),ROUND(Programa!D$16*Hjor*'a)Plantilla'!$C45,RedondeoPersonalTecnico))),0)</f>
        <v>0</v>
      </c>
      <c r="I90" s="6">
        <f>IF(Programa!D$17&gt;0,IF(TipoProgramaPersonalTecnico=1,ROUND(Programa!F$17*'a)Plantilla'!$C45,RedondeoPersonalTecnico),IF(TipoProgramaPersonalTecnico=2,ROUND(Programa!D$17*'a)Plantilla'!$C45,RedondeoPersonalTecnico),ROUND(Programa!D$17*Hjor*'a)Plantilla'!$C45,RedondeoPersonalTecnico))),0)</f>
        <v>0</v>
      </c>
      <c r="J90" s="6">
        <f>IF(Programa!D$18&gt;0,IF(TipoProgramaPersonalTecnico=1,ROUND(Programa!F$18*'a)Plantilla'!$C45,RedondeoPersonalTecnico),IF(TipoProgramaPersonalTecnico=2,ROUND(Programa!D$18*'a)Plantilla'!$C45,RedondeoPersonalTecnico),ROUND(Programa!D$18*Hjor*'a)Plantilla'!$C45,RedondeoPersonalTecnico))),0)</f>
        <v>0</v>
      </c>
      <c r="K90" s="6">
        <f>IF(Programa!D$19&gt;0,IF(TipoProgramaPersonalTecnico=1,ROUND(Programa!F$19*'a)Plantilla'!$C45,RedondeoPersonalTecnico),IF(TipoProgramaPersonalTecnico=2,ROUND(Programa!D$19*'a)Plantilla'!$C45,RedondeoPersonalTecnico),ROUND(Programa!D$19*Hjor*'a)Plantilla'!$C45,RedondeoPersonalTecnico))),0)</f>
        <v>0</v>
      </c>
      <c r="L90" s="6">
        <f>IF(Programa!D$20&gt;0,IF(TipoProgramaPersonalTecnico=1,ROUND(Programa!F$20*'a)Plantilla'!$C45,RedondeoPersonalTecnico),IF(TipoProgramaPersonalTecnico=2,ROUND(Programa!D$20*'a)Plantilla'!$C45,RedondeoPersonalTecnico),ROUND(Programa!D$20*Hjor*'a)Plantilla'!$C45,RedondeoPersonalTecnico))),0)</f>
        <v>0</v>
      </c>
      <c r="M90" s="6">
        <f>IF(Programa!D$21&gt;0,IF(TipoProgramaPersonalTecnico=1,ROUND(Programa!F$21*'a)Plantilla'!$C45,RedondeoPersonalTecnico),IF(TipoProgramaPersonalTecnico=2,ROUND(Programa!D$21*'a)Plantilla'!$C45,RedondeoPersonalTecnico),ROUND(Programa!D$21*Hjor*'a)Plantilla'!$C45,RedondeoPersonalTecnico))),0)</f>
        <v>0</v>
      </c>
      <c r="N90" s="6">
        <f>IF(Programa!D$22&gt;0,IF(TipoProgramaPersonalTecnico=1,ROUND(Programa!F$22*'a)Plantilla'!$C45,RedondeoPersonalTecnico),IF(TipoProgramaPersonalTecnico=2,ROUND(Programa!D$22*'a)Plantilla'!$C45,RedondeoPersonalTecnico),ROUND(Programa!D$22*Hjor*'a)Plantilla'!$C45,RedondeoPersonalTecnico))),0)</f>
        <v>0</v>
      </c>
      <c r="O90" s="6">
        <f>IF(Programa!D$23&gt;0,IF(TipoProgramaPersonalTecnico=1,ROUND(Programa!F$23*'a)Plantilla'!$C45,RedondeoPersonalTecnico),IF(TipoProgramaPersonalTecnico=2,ROUND(Programa!D$23*'a)Plantilla'!$C45,RedondeoPersonalTecnico),ROUND(Programa!D$23*Hjor*'a)Plantilla'!$C45,RedondeoPersonalTecnico))),0)</f>
        <v>0</v>
      </c>
      <c r="P90" s="78">
        <f>IF(Programa!D$24&gt;0,IF(TipoProgramaPersonalTecnico=1,ROUND(Programa!F$24*'a)Plantilla'!$C45,RedondeoPersonalTecnico),IF(TipoProgramaPersonalTecnico=2,ROUND(Programa!D$24*'a)Plantilla'!$C45,RedondeoPersonalTecnico),ROUND(Programa!D$24*Hjor*'a)Plantilla'!$C45,RedondeoPersonalTecnico))),0)</f>
        <v>0</v>
      </c>
      <c r="Q90" s="27">
        <f>IF(Programa!D$25&gt;0,IF(TipoProgramaPersonalTecnico=1,ROUND(Programa!F$25*'a)Plantilla'!$C45,RedondeoPersonalTecnico),IF(TipoProgramaPersonalTecnico=2,ROUND(Programa!D$25*'a)Plantilla'!$C45,RedondeoPersonalTecnico),ROUND(Programa!D$25*Hjor*'a)Plantilla'!$C45,RedondeoPersonalTecnico))),0)</f>
        <v>0</v>
      </c>
      <c r="R90" s="6">
        <f>IF(Programa!D$26&gt;0,IF(TipoProgramaPersonalTecnico=1,ROUND(Programa!F$26*'a)Plantilla'!$C45,RedondeoPersonalTecnico),IF(TipoProgramaPersonalTecnico=2,ROUND(Programa!D$26*'a)Plantilla'!$C45,RedondeoPersonalTecnico),ROUND(Programa!D$26*Hjor*'a)Plantilla'!$C45,RedondeoPersonalTecnico))),0)</f>
        <v>0</v>
      </c>
      <c r="S90" s="6">
        <f>IF(Programa!D$27&gt;0,IF(TipoProgramaPersonalTecnico=1,ROUND(Programa!F$27*'a)Plantilla'!$C45,RedondeoPersonalTecnico),IF(TipoProgramaPersonalTecnico=2,ROUND(Programa!D$27*'a)Plantilla'!$C45,RedondeoPersonalTecnico),ROUND(Programa!D$27*Hjor*'a)Plantilla'!$C45,RedondeoPersonalTecnico))),0)</f>
        <v>0</v>
      </c>
      <c r="T90" s="6">
        <f>IF(Programa!D$28&gt;0,IF(TipoProgramaPersonalTecnico=1,ROUND(Programa!F$28*'a)Plantilla'!$C45,RedondeoPersonalTecnico),IF(TipoProgramaPersonalTecnico=2,ROUND(Programa!D$28*'a)Plantilla'!$C45,RedondeoPersonalTecnico),ROUND(Programa!D$28*Hjor*'a)Plantilla'!$C45,RedondeoPersonalTecnico))),0)</f>
        <v>0</v>
      </c>
      <c r="U90" s="6">
        <f>IF(Programa!D$29&gt;0,IF(TipoProgramaPersonalTecnico=1,ROUND(Programa!F$29*'a)Plantilla'!$C45,RedondeoPersonalTecnico),IF(TipoProgramaPersonalTecnico=2,ROUND(Programa!D$29*'a)Plantilla'!$C45,RedondeoPersonalTecnico),ROUND(Programa!D$29*Hjor*'a)Plantilla'!$C45,RedondeoPersonalTecnico))),0)</f>
        <v>0</v>
      </c>
      <c r="V90" s="6">
        <f>IF(Programa!D$30&gt;0,IF(TipoProgramaPersonalTecnico=1,ROUND(Programa!F$30*'a)Plantilla'!$C45,RedondeoPersonalTecnico),IF(TipoProgramaPersonalTecnico=2,ROUND(Programa!D$30*'a)Plantilla'!$C45,RedondeoPersonalTecnico),ROUND(Programa!D$30*Hjor*'a)Plantilla'!$C45,RedondeoPersonalTecnico))),0)</f>
        <v>0</v>
      </c>
      <c r="W90" s="6">
        <f>IF(Programa!D$31&gt;0,IF(TipoProgramaPersonalTecnico=1,ROUND(Programa!F$31*'a)Plantilla'!$C45,RedondeoPersonalTecnico),IF(TipoProgramaPersonalTecnico=2,ROUND(Programa!D$31*'a)Plantilla'!$C45,RedondeoPersonalTecnico),ROUND(Programa!D$31*Hjor*'a)Plantilla'!$C45,RedondeoPersonalTecnico))),0)</f>
        <v>0</v>
      </c>
      <c r="X90" s="6">
        <f>IF(Programa!D$32&gt;0,IF(TipoProgramaPersonalTecnico=1,ROUND(Programa!F$32*'a)Plantilla'!$C45,RedondeoPersonalTecnico),IF(TipoProgramaPersonalTecnico=2,ROUND(Programa!D$32*'a)Plantilla'!$C45,RedondeoPersonalTecnico),ROUND(Programa!D$32*Hjor*'a)Plantilla'!$C45,RedondeoPersonalTecnico))),0)</f>
        <v>0</v>
      </c>
      <c r="Y90" s="6">
        <f>IF(Programa!D$33&gt;0,IF(TipoProgramaPersonalTecnico=1,ROUND(Programa!F$33*'a)Plantilla'!$C45,RedondeoPersonalTecnico),IF(TipoProgramaPersonalTecnico=2,ROUND(Programa!D$33*'a)Plantilla'!$C45,RedondeoPersonalTecnico),ROUND(Programa!D$33*Hjor*'a)Plantilla'!$C45,RedondeoPersonalTecnico))),0)</f>
        <v>0</v>
      </c>
      <c r="Z90" s="6">
        <f>IF(Programa!D$34&gt;0,IF(TipoProgramaPersonalTecnico=1,ROUND(Programa!F$34*'a)Plantilla'!$C45,RedondeoPersonalTecnico),IF(TipoProgramaPersonalTecnico=2,ROUND(Programa!D$34*'a)Plantilla'!$C45,RedondeoPersonalTecnico),ROUND(Programa!D$34*Hjor*'a)Plantilla'!$C45,RedondeoPersonalTecnico))),0)</f>
        <v>0</v>
      </c>
      <c r="AA90" s="6">
        <f>IF(Programa!D$35&gt;0,IF(TipoProgramaPersonalTecnico=1,ROUND(Programa!F$35*'a)Plantilla'!$C45,RedondeoPersonalTecnico),IF(TipoProgramaPersonalTecnico=2,ROUND(Programa!D$35*'a)Plantilla'!$C45,RedondeoPersonalTecnico),ROUND(Programa!D$35*Hjor*'a)Plantilla'!$C45,RedondeoPersonalTecnico))),0)</f>
        <v>0</v>
      </c>
      <c r="AB90" s="78">
        <f>IF(Programa!D$36&gt;0,IF(TipoProgramaPersonalTecnico=1,ROUND(Programa!F$36*'a)Plantilla'!$C45,RedondeoPersonalTecnico),IF(TipoProgramaPersonalTecnico=2,ROUND(Programa!D$36*'a)Plantilla'!$C45,RedondeoPersonalTecnico),ROUND(Programa!D$36*Hjor*'a)Plantilla'!$C45,RedondeoPersonalTecnico))),0)</f>
        <v>0</v>
      </c>
      <c r="AC90" s="27">
        <f>IF(Programa!D$37&gt;0,IF(TipoProgramaPersonalTecnico=1,ROUND(Programa!F$37*'a)Plantilla'!$C45,RedondeoPersonalTecnico),IF(TipoProgramaPersonalTecnico=2,ROUND(Programa!D$37*'a)Plantilla'!$C45,RedondeoPersonalTecnico),ROUND(Programa!D$37*Hjor*'a)Plantilla'!$C45,RedondeoPersonalTecnico))),0)</f>
        <v>0</v>
      </c>
      <c r="AD90" s="6">
        <f>IF(Programa!D$38&gt;0,IF(TipoProgramaPersonalTecnico=1,ROUND(Programa!F$38*'a)Plantilla'!$C45,RedondeoPersonalTecnico),IF(TipoProgramaPersonalTecnico=2,ROUND(Programa!D$38*'a)Plantilla'!$C45,RedondeoPersonalTecnico),ROUND(Programa!D$38*Hjor*'a)Plantilla'!$C45,RedondeoPersonalTecnico))),0)</f>
        <v>0</v>
      </c>
      <c r="AE90" s="6">
        <f>IF(Programa!D$39&gt;0,IF(TipoProgramaPersonalTecnico=1,ROUND(Programa!F$39*'a)Plantilla'!$C45,RedondeoPersonalTecnico),IF(TipoProgramaPersonalTecnico=2,ROUND(Programa!D$39*'a)Plantilla'!$C45,RedondeoPersonalTecnico),ROUND(Programa!D$39*Hjor*'a)Plantilla'!$C45,RedondeoPersonalTecnico))),0)</f>
        <v>0</v>
      </c>
      <c r="AF90" s="6">
        <f>IF(Programa!D$40&gt;0,IF(TipoProgramaPersonalTecnico=1,ROUND(Programa!F$40*'a)Plantilla'!$C45,RedondeoPersonalTecnico),IF(TipoProgramaPersonalTecnico=2,ROUND(Programa!D$40*'a)Plantilla'!$C45,RedondeoPersonalTecnico),ROUND(Programa!D$40*Hjor*'a)Plantilla'!$C45,RedondeoPersonalTecnico))),0)</f>
        <v>0</v>
      </c>
      <c r="AG90" s="6">
        <f>IF(Programa!D$41&gt;0,IF(TipoProgramaPersonalTecnico=1,ROUND(Programa!F$41*'a)Plantilla'!$C45,RedondeoPersonalTecnico),IF(TipoProgramaPersonalTecnico=2,ROUND(Programa!D$41*'a)Plantilla'!$C45,RedondeoPersonalTecnico),ROUND(Programa!D$41*Hjor*'a)Plantilla'!$C45,RedondeoPersonalTecnico))),0)</f>
        <v>0</v>
      </c>
      <c r="AH90" s="6">
        <f>IF(Programa!D$42&gt;0,IF(TipoProgramaPersonalTecnico=1,ROUND(Programa!F$42*'a)Plantilla'!$C45,RedondeoPersonalTecnico),IF(TipoProgramaPersonalTecnico=2,ROUND(Programa!D$42*'a)Plantilla'!$C45,RedondeoPersonalTecnico),ROUND(Programa!D$42*Hjor*'a)Plantilla'!$C45,RedondeoPersonalTecnico))),0)</f>
        <v>0</v>
      </c>
      <c r="AI90" s="6">
        <f>IF(Programa!D$43&gt;0,IF(TipoProgramaPersonalTecnico=1,ROUND(Programa!F$43*'a)Plantilla'!$C45,RedondeoPersonalTecnico),IF(TipoProgramaPersonalTecnico=2,ROUND(Programa!D$43*'a)Plantilla'!$C45,RedondeoPersonalTecnico),ROUND(Programa!D$43*Hjor*'a)Plantilla'!$C45,RedondeoPersonalTecnico))),0)</f>
        <v>0</v>
      </c>
      <c r="AJ90" s="6">
        <f>IF(Programa!D$44&gt;0,IF(TipoProgramaPersonalTecnico=1,ROUND(Programa!F$44*'a)Plantilla'!$C45,RedondeoPersonalTecnico),IF(TipoProgramaPersonalTecnico=2,ROUND(Programa!D$44*'a)Plantilla'!$C45,RedondeoPersonalTecnico),ROUND(Programa!D$44*Hjor*'a)Plantilla'!$C45,RedondeoPersonalTecnico))),0)</f>
        <v>0</v>
      </c>
      <c r="AK90" s="6">
        <f>IF(Programa!D$45&gt;0,IF(TipoProgramaPersonalTecnico=1,ROUND(Programa!F$45*'a)Plantilla'!$C45,RedondeoPersonalTecnico),IF(TipoProgramaPersonalTecnico=2,ROUND(Programa!D$45*'a)Plantilla'!$C45,RedondeoPersonalTecnico),ROUND(Programa!D$45*Hjor*'a)Plantilla'!$C45,RedondeoPersonalTecnico))),0)</f>
        <v>0</v>
      </c>
      <c r="AL90" s="6">
        <f>IF(Programa!D$46&gt;0,IF(TipoProgramaPersonalTecnico=1,ROUND(Programa!F$46*'a)Plantilla'!$C45,RedondeoPersonalTecnico),IF(TipoProgramaPersonalTecnico=2,ROUND(Programa!D$46*'a)Plantilla'!$C45,RedondeoPersonalTecnico),ROUND(Programa!D$46*Hjor*'a)Plantilla'!$C45,RedondeoPersonalTecnico))),0)</f>
        <v>0</v>
      </c>
      <c r="AM90" s="6">
        <f>IF(Programa!D$47&gt;0,IF(TipoProgramaPersonalTecnico=1,ROUND(Programa!F$47*'a)Plantilla'!$C45,RedondeoPersonalTecnico),IF(TipoProgramaPersonalTecnico=2,ROUND(Programa!D$47*'a)Plantilla'!$C45,RedondeoPersonalTecnico),ROUND(Programa!D$47*Hjor*'a)Plantilla'!$C45,RedondeoPersonalTecnico))),0)</f>
        <v>0</v>
      </c>
      <c r="AN90" s="78">
        <f>IF(Programa!D$48&gt;0,IF(TipoProgramaPersonalTecnico=1,ROUND(Programa!F$48*'a)Plantilla'!$C45,RedondeoPersonalTecnico),IF(TipoProgramaPersonalTecnico=2,ROUND(Programa!D$48*'a)Plantilla'!$C45,RedondeoPersonalTecnico),ROUND(Programa!D$48*Hjor*'a)Plantilla'!$C45,RedondeoPersonalTecnico))),0)</f>
        <v>0</v>
      </c>
      <c r="AO90" s="27">
        <f>IF(Programa!D$49&gt;0,IF(TipoProgramaPersonalTecnico=1,ROUND(Programa!F$49*'a)Plantilla'!$C45,RedondeoPersonalTecnico),IF(TipoProgramaPersonalTecnico=2,ROUND(Programa!D$49*'a)Plantilla'!$C45,RedondeoPersonalTecnico),ROUND(Programa!D$49*Hjor*'a)Plantilla'!$C45,RedondeoPersonalTecnico))),0)</f>
        <v>0</v>
      </c>
      <c r="AP90" s="6">
        <f>IF(Programa!D$50&gt;0,IF(TipoProgramaPersonalTecnico=1,ROUND(Programa!F$50*'a)Plantilla'!$C45,RedondeoPersonalTecnico),IF(TipoProgramaPersonalTecnico=2,ROUND(Programa!D$50*'a)Plantilla'!$C45,RedondeoPersonalTecnico),ROUND(Programa!D$50*Hjor*'a)Plantilla'!$C45,RedondeoPersonalTecnico))),0)</f>
        <v>0</v>
      </c>
      <c r="AQ90" s="6">
        <f>IF(Programa!D$51&gt;0,IF(TipoProgramaPersonalTecnico=1,ROUND(Programa!F$51*'a)Plantilla'!$C45,RedondeoPersonalTecnico),IF(TipoProgramaPersonalTecnico=2,ROUND(Programa!D$51*'a)Plantilla'!$C45,RedondeoPersonalTecnico),ROUND(Programa!D$51*Hjor*'a)Plantilla'!$C45,RedondeoPersonalTecnico))),0)</f>
        <v>0</v>
      </c>
      <c r="AR90" s="6">
        <f>IF(Programa!D$52&gt;0,IF(TipoProgramaPersonalTecnico=1,ROUND(Programa!F$52*'a)Plantilla'!$C45,RedondeoPersonalTecnico),IF(TipoProgramaPersonalTecnico=2,ROUND(Programa!D$52*'a)Plantilla'!$C45,RedondeoPersonalTecnico),ROUND(Programa!D$52*Hjor*'a)Plantilla'!$C45,RedondeoPersonalTecnico))),0)</f>
        <v>0</v>
      </c>
      <c r="AS90" s="6">
        <f>IF(Programa!D$53&gt;0,IF(TipoProgramaPersonalTecnico=1,ROUND(Programa!F$53*'a)Plantilla'!$C45,RedondeoPersonalTecnico),IF(TipoProgramaPersonalTecnico=2,ROUND(Programa!D$53*'a)Plantilla'!$C45,RedondeoPersonalTecnico),ROUND(Programa!D$53*Hjor*'a)Plantilla'!$C45,RedondeoPersonalTecnico))),0)</f>
        <v>0</v>
      </c>
      <c r="AT90" s="6">
        <f>IF(Programa!D$54&gt;0,IF(TipoProgramaPersonalTecnico=1,ROUND(Programa!F$54*'a)Plantilla'!$C45,RedondeoPersonalTecnico),IF(TipoProgramaPersonalTecnico=2,ROUND(Programa!D$54*'a)Plantilla'!$C45,RedondeoPersonalTecnico),ROUND(Programa!D$54*Hjor*'a)Plantilla'!$C45,RedondeoPersonalTecnico))),0)</f>
        <v>0</v>
      </c>
      <c r="AU90" s="6">
        <f>IF(Programa!D$55&gt;0,IF(TipoProgramaPersonalTecnico=1,ROUND(Programa!F$55*'a)Plantilla'!$C45,RedondeoPersonalTecnico),IF(TipoProgramaPersonalTecnico=2,ROUND(Programa!D$55*'a)Plantilla'!$C45,RedondeoPersonalTecnico),ROUND(Programa!D$55*Hjor*'a)Plantilla'!$C45,RedondeoPersonalTecnico))),0)</f>
        <v>0</v>
      </c>
      <c r="AV90" s="6">
        <f>IF(Programa!D$56&gt;0,IF(TipoProgramaPersonalTecnico=1,ROUND(Programa!F$56*'a)Plantilla'!$C45,RedondeoPersonalTecnico),IF(TipoProgramaPersonalTecnico=2,ROUND(Programa!D$56*'a)Plantilla'!$C45,RedondeoPersonalTecnico),ROUND(Programa!D$56*Hjor*'a)Plantilla'!$C45,RedondeoPersonalTecnico))),0)</f>
        <v>0</v>
      </c>
      <c r="AW90" s="6">
        <f>IF(Programa!D$57&gt;0,IF(TipoProgramaPersonalTecnico=1,ROUND(Programa!F$57*'a)Plantilla'!$C45,RedondeoPersonalTecnico),IF(TipoProgramaPersonalTecnico=2,ROUND(Programa!D$57*'a)Plantilla'!$C45,RedondeoPersonalTecnico),ROUND(Programa!D$57*Hjor*'a)Plantilla'!$C45,RedondeoPersonalTecnico))),0)</f>
        <v>0</v>
      </c>
      <c r="AX90" s="6">
        <f>IF(Programa!D$58&gt;0,IF(TipoProgramaPersonalTecnico=1,ROUND(Programa!F$58*'a)Plantilla'!$C45,RedondeoPersonalTecnico),IF(TipoProgramaPersonalTecnico=2,ROUND(Programa!D$58*'a)Plantilla'!$C45,RedondeoPersonalTecnico),ROUND(Programa!D$58*Hjor*'a)Plantilla'!$C45,RedondeoPersonalTecnico))),0)</f>
        <v>0</v>
      </c>
      <c r="AY90" s="6">
        <f>IF(Programa!D$59&gt;0,IF(TipoProgramaPersonalTecnico=1,ROUND(Programa!F$59*'a)Plantilla'!$C45,RedondeoPersonalTecnico),IF(TipoProgramaPersonalTecnico=2,ROUND(Programa!D$59*'a)Plantilla'!$C45,RedondeoPersonalTecnico),ROUND(Programa!D$59*Hjor*'a)Plantilla'!$C45,RedondeoPersonalTecnico))),0)</f>
        <v>0</v>
      </c>
      <c r="AZ90" s="6">
        <f>IF(Programa!D$60&gt;0,IF(TipoProgramaPersonalTecnico=1,ROUND(Programa!F$60*'a)Plantilla'!$C45,RedondeoPersonalTecnico),IF(TipoProgramaPersonalTecnico=2,ROUND(Programa!D$60*'a)Plantilla'!$C45,RedondeoPersonalTecnico),ROUND(Programa!D$60*Hjor*'a)Plantilla'!$C45,RedondeoPersonalTecnico))),0)</f>
        <v>0</v>
      </c>
      <c r="BA90" s="6">
        <f>IF(Programa!D$61&gt;0,IF(TipoProgramaPersonalTecnico=1,ROUND(Programa!F$61*'a)Plantilla'!$C45,RedondeoPersonalTecnico),IF(TipoProgramaPersonalTecnico=2,ROUND(Programa!D$61*'a)Plantilla'!$C45,RedondeoPersonalTecnico),ROUND(Programa!D$61*Hjor*'a)Plantilla'!$C45,RedondeoPersonalTecnico))),0)</f>
        <v>0</v>
      </c>
      <c r="BB90" s="6">
        <f>IF(Programa!D$62&gt;0,IF(TipoProgramaPersonalTecnico=1,ROUND(Programa!F$62*'a)Plantilla'!$C45,RedondeoPersonalTecnico),IF(TipoProgramaPersonalTecnico=2,ROUND(Programa!D$62*'a)Plantilla'!$C45,RedondeoPersonalTecnico),ROUND(Programa!D$62*Hjor*'a)Plantilla'!$C45,RedondeoPersonalTecnico))),0)</f>
        <v>0</v>
      </c>
      <c r="BC90" s="6">
        <f>IF(Programa!D$63&gt;0,IF(TipoProgramaPersonalTecnico=1,ROUND(Programa!F$63*'a)Plantilla'!$C45,RedondeoPersonalTecnico),IF(TipoProgramaPersonalTecnico=2,ROUND(Programa!D$63*'a)Plantilla'!$C45,RedondeoPersonalTecnico),ROUND(Programa!D$63*Hjor*'a)Plantilla'!$C45,RedondeoPersonalTecnico))),0)</f>
        <v>0</v>
      </c>
      <c r="BD90" s="6">
        <f>IF(Programa!D$64&gt;0,IF(TipoProgramaPersonalTecnico=1,ROUND(Programa!F$64*'a)Plantilla'!$C45,RedondeoPersonalTecnico),IF(TipoProgramaPersonalTecnico=2,ROUND(Programa!D$64*'a)Plantilla'!$C45,RedondeoPersonalTecnico),ROUND(Programa!D$64*Hjor*'a)Plantilla'!$C45,RedondeoPersonalTecnico))),0)</f>
        <v>0</v>
      </c>
      <c r="BE90" s="6">
        <f>IF(Programa!D$65&gt;0,IF(TipoProgramaPersonalTecnico=1,ROUND(Programa!F$65*'a)Plantilla'!$C45,RedondeoPersonalTecnico),IF(TipoProgramaPersonalTecnico=2,ROUND(Programa!D$65*'a)Plantilla'!$C45,RedondeoPersonalTecnico),ROUND(Programa!D$65*Hjor*'a)Plantilla'!$C45,RedondeoPersonalTecnico))),0)</f>
        <v>0</v>
      </c>
      <c r="BF90" s="6">
        <f>IF(Programa!D$66&gt;0,IF(TipoProgramaPersonalTecnico=1,ROUND(Programa!F$66*'a)Plantilla'!$C45,RedondeoPersonalTecnico),IF(TipoProgramaPersonalTecnico=2,ROUND(Programa!D$66*'a)Plantilla'!$C45,RedondeoPersonalTecnico),ROUND(Programa!D$66*Hjor*'a)Plantilla'!$C45,RedondeoPersonalTecnico))),0)</f>
        <v>0</v>
      </c>
      <c r="BG90" s="6">
        <f>IF(Programa!D$67&gt;0,IF(TipoProgramaPersonalTecnico=1,ROUND(Programa!F$67*'a)Plantilla'!$C45,RedondeoPersonalTecnico),IF(TipoProgramaPersonalTecnico=2,ROUND(Programa!D$67*'a)Plantilla'!$C45,RedondeoPersonalTecnico),ROUND(Programa!D$67*Hjor*'a)Plantilla'!$C45,RedondeoPersonalTecnico))),0)</f>
        <v>0</v>
      </c>
      <c r="BH90" s="6">
        <f>IF(Programa!D$68&gt;0,IF(TipoProgramaPersonalTecnico=1,ROUND(Programa!F$68*'a)Plantilla'!$C45,RedondeoPersonalTecnico),IF(TipoProgramaPersonalTecnico=2,ROUND(Programa!D$68*'a)Plantilla'!$C45,RedondeoPersonalTecnico),ROUND(Programa!D$68*Hjor*'a)Plantilla'!$C45,RedondeoPersonalTecnico))),0)</f>
        <v>0</v>
      </c>
      <c r="BI90" s="6">
        <f>IF(Programa!D$69&gt;0,IF(TipoProgramaPersonalTecnico=1,ROUND(Programa!F$69*'a)Plantilla'!$C45,RedondeoPersonalTecnico),IF(TipoProgramaPersonalTecnico=2,ROUND(Programa!D$69*'a)Plantilla'!$C45,RedondeoPersonalTecnico),ROUND(Programa!D$69*Hjor*'a)Plantilla'!$C45,RedondeoPersonalTecnico))),0)</f>
        <v>0</v>
      </c>
      <c r="BJ90" s="6">
        <f>IF(Programa!D$70&gt;0,IF(TipoProgramaPersonalTecnico=1,ROUND(Programa!F$70*'a)Plantilla'!$C45,RedondeoPersonalTecnico),IF(TipoProgramaPersonalTecnico=2,ROUND(Programa!D$70*'a)Plantilla'!$C45,RedondeoPersonalTecnico),ROUND(Programa!D$70*Hjor*'a)Plantilla'!$C45,RedondeoPersonalTecnico))),0)</f>
        <v>0</v>
      </c>
      <c r="BK90" s="6">
        <f>IF(Programa!D$71&gt;0,IF(TipoProgramaPersonalTecnico=1,ROUND(Programa!F$71*'a)Plantilla'!$C45,RedondeoPersonalTecnico),IF(TipoProgramaPersonalTecnico=2,ROUND(Programa!D$71*'a)Plantilla'!$C45,RedondeoPersonalTecnico),ROUND(Programa!D$71*Hjor*'a)Plantilla'!$C45,RedondeoPersonalTecnico))),0)</f>
        <v>0</v>
      </c>
      <c r="BL90" s="78">
        <f>IF(Programa!D$72&gt;0,IF(TipoProgramaPersonalTecnico=1,ROUND(Programa!F$72*'a)Plantilla'!$C45,RedondeoPersonalTecnico),IF(TipoProgramaPersonalTecnico=2,ROUND(Programa!D$72*'a)Plantilla'!$C45,RedondeoPersonalTecnico),ROUND(Programa!D$72*Hjor*'a)Plantilla'!$C45,RedondeoPersonalTecnico))),0)</f>
        <v>0</v>
      </c>
    </row>
    <row r="91" spans="1:64" ht="12.75" customHeight="1">
      <c r="A91" s="214" t="str">
        <f>'b)Indirectos Desglosados'!B20</f>
        <v>Personal administrativo incluye: Prestaciones</v>
      </c>
      <c r="B91" s="200"/>
      <c r="C91" s="200"/>
      <c r="D91" s="339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158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158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158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158"/>
    </row>
    <row r="92" spans="1:64" ht="8.1" customHeight="1">
      <c r="A92" s="204"/>
      <c r="B92" s="30"/>
      <c r="C92" s="30"/>
      <c r="D92" s="25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79"/>
      <c r="Q92" s="48"/>
      <c r="R92" s="9"/>
      <c r="S92" s="9"/>
      <c r="T92" s="9"/>
      <c r="U92" s="9"/>
      <c r="V92" s="9"/>
      <c r="W92" s="9"/>
      <c r="X92" s="9"/>
      <c r="Y92" s="9"/>
      <c r="Z92" s="9"/>
      <c r="AA92" s="9"/>
      <c r="AB92" s="79"/>
      <c r="AC92" s="48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79"/>
      <c r="AO92" s="48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9"/>
    </row>
    <row r="93" spans="1:64" ht="12.75" customHeight="1">
      <c r="A93" s="133" t="s">
        <v>168</v>
      </c>
      <c r="B93" s="46" t="str">
        <f>IF('a)Plantilla'!C46&gt;0,'a)Plantilla'!B46,"")</f>
        <v>CONTADOR</v>
      </c>
      <c r="C93" s="17" t="str">
        <f>IF('a)Plantilla'!C$46&gt;0,IF(TipoProgramaPersonalTecnico=1,"Personas",IF(TipoProgramaPersonalTecnico=2,"Jornal","horas-Hombre")),"")</f>
        <v>horas-Hombre</v>
      </c>
      <c r="D93" s="226">
        <f>ROUND(SUM(E93:BL93),RedondeoPersonalTecnico)</f>
        <v>30</v>
      </c>
      <c r="E93" s="6">
        <f>IF(Programa!D$13&gt;0,IF(TipoProgramaPersonalTecnico=1,ROUND(Programa!F$13*'a)Plantilla'!$C46,RedondeoPersonalTecnico),IF(TipoProgramaPersonalTecnico=2,ROUND(Programa!D$13*'a)Plantilla'!$C46,RedondeoPersonalTecnico),ROUND(Programa!D$13*Hjor*'a)Plantilla'!$C46,RedondeoPersonalTecnico))),0)</f>
        <v>6.4</v>
      </c>
      <c r="F93" s="6">
        <f>IF(Programa!D$14&gt;0,IF(TipoProgramaPersonalTecnico=1,ROUND(Programa!F$14*'a)Plantilla'!$C46,RedondeoPersonalTecnico),IF(TipoProgramaPersonalTecnico=2,ROUND(Programa!D$14*'a)Plantilla'!$C46,RedondeoPersonalTecnico),ROUND(Programa!D$14*Hjor*'a)Plantilla'!$C46,RedondeoPersonalTecnico))),0)</f>
        <v>12</v>
      </c>
      <c r="G93" s="6">
        <f>IF(Programa!D$15&gt;0,IF(TipoProgramaPersonalTecnico=1,ROUND(Programa!F$15*'a)Plantilla'!$C46,RedondeoPersonalTecnico),IF(TipoProgramaPersonalTecnico=2,ROUND(Programa!D$15*'a)Plantilla'!$C46,RedondeoPersonalTecnico),ROUND(Programa!D$15*Hjor*'a)Plantilla'!$C46,RedondeoPersonalTecnico))),0)</f>
        <v>11.6</v>
      </c>
      <c r="H93" s="6">
        <f>IF(Programa!D$16&gt;0,IF(TipoProgramaPersonalTecnico=1,ROUND(Programa!F$16*'a)Plantilla'!$C46,RedondeoPersonalTecnico),IF(TipoProgramaPersonalTecnico=2,ROUND(Programa!D$16*'a)Plantilla'!$C46,RedondeoPersonalTecnico),ROUND(Programa!D$16*Hjor*'a)Plantilla'!$C46,RedondeoPersonalTecnico))),0)</f>
        <v>0</v>
      </c>
      <c r="I93" s="6">
        <f>IF(Programa!D$17&gt;0,IF(TipoProgramaPersonalTecnico=1,ROUND(Programa!F$17*'a)Plantilla'!$C46,RedondeoPersonalTecnico),IF(TipoProgramaPersonalTecnico=2,ROUND(Programa!D$17*'a)Plantilla'!$C46,RedondeoPersonalTecnico),ROUND(Programa!D$17*Hjor*'a)Plantilla'!$C46,RedondeoPersonalTecnico))),0)</f>
        <v>0</v>
      </c>
      <c r="J93" s="6">
        <f>IF(Programa!D$18&gt;0,IF(TipoProgramaPersonalTecnico=1,ROUND(Programa!F$18*'a)Plantilla'!$C46,RedondeoPersonalTecnico),IF(TipoProgramaPersonalTecnico=2,ROUND(Programa!D$18*'a)Plantilla'!$C46,RedondeoPersonalTecnico),ROUND(Programa!D$18*Hjor*'a)Plantilla'!$C46,RedondeoPersonalTecnico))),0)</f>
        <v>0</v>
      </c>
      <c r="K93" s="6">
        <f>IF(Programa!D$19&gt;0,IF(TipoProgramaPersonalTecnico=1,ROUND(Programa!F$19*'a)Plantilla'!$C46,RedondeoPersonalTecnico),IF(TipoProgramaPersonalTecnico=2,ROUND(Programa!D$19*'a)Plantilla'!$C46,RedondeoPersonalTecnico),ROUND(Programa!D$19*Hjor*'a)Plantilla'!$C46,RedondeoPersonalTecnico))),0)</f>
        <v>0</v>
      </c>
      <c r="L93" s="6">
        <f>IF(Programa!D$20&gt;0,IF(TipoProgramaPersonalTecnico=1,ROUND(Programa!F$20*'a)Plantilla'!$C46,RedondeoPersonalTecnico),IF(TipoProgramaPersonalTecnico=2,ROUND(Programa!D$20*'a)Plantilla'!$C46,RedondeoPersonalTecnico),ROUND(Programa!D$20*Hjor*'a)Plantilla'!$C46,RedondeoPersonalTecnico))),0)</f>
        <v>0</v>
      </c>
      <c r="M93" s="6">
        <f>IF(Programa!D$21&gt;0,IF(TipoProgramaPersonalTecnico=1,ROUND(Programa!F$21*'a)Plantilla'!$C46,RedondeoPersonalTecnico),IF(TipoProgramaPersonalTecnico=2,ROUND(Programa!D$21*'a)Plantilla'!$C46,RedondeoPersonalTecnico),ROUND(Programa!D$21*Hjor*'a)Plantilla'!$C46,RedondeoPersonalTecnico))),0)</f>
        <v>0</v>
      </c>
      <c r="N93" s="6">
        <f>IF(Programa!D$22&gt;0,IF(TipoProgramaPersonalTecnico=1,ROUND(Programa!F$22*'a)Plantilla'!$C46,RedondeoPersonalTecnico),IF(TipoProgramaPersonalTecnico=2,ROUND(Programa!D$22*'a)Plantilla'!$C46,RedondeoPersonalTecnico),ROUND(Programa!D$22*Hjor*'a)Plantilla'!$C46,RedondeoPersonalTecnico))),0)</f>
        <v>0</v>
      </c>
      <c r="O93" s="6">
        <f>IF(Programa!D$23&gt;0,IF(TipoProgramaPersonalTecnico=1,ROUND(Programa!F$23*'a)Plantilla'!$C46,RedondeoPersonalTecnico),IF(TipoProgramaPersonalTecnico=2,ROUND(Programa!D$23*'a)Plantilla'!$C46,RedondeoPersonalTecnico),ROUND(Programa!D$23*Hjor*'a)Plantilla'!$C46,RedondeoPersonalTecnico))),0)</f>
        <v>0</v>
      </c>
      <c r="P93" s="78">
        <f>IF(Programa!D$24&gt;0,IF(TipoProgramaPersonalTecnico=1,ROUND(Programa!F$24*'a)Plantilla'!$C46,RedondeoPersonalTecnico),IF(TipoProgramaPersonalTecnico=2,ROUND(Programa!D$24*'a)Plantilla'!$C46,RedondeoPersonalTecnico),ROUND(Programa!D$24*Hjor*'a)Plantilla'!$C46,RedondeoPersonalTecnico))),0)</f>
        <v>0</v>
      </c>
      <c r="Q93" s="27">
        <f>IF(Programa!D$25&gt;0,IF(TipoProgramaPersonalTecnico=1,ROUND(Programa!F$25*'a)Plantilla'!$C46,RedondeoPersonalTecnico),IF(TipoProgramaPersonalTecnico=2,ROUND(Programa!D$25*'a)Plantilla'!$C46,RedondeoPersonalTecnico),ROUND(Programa!D$25*Hjor*'a)Plantilla'!$C46,RedondeoPersonalTecnico))),0)</f>
        <v>0</v>
      </c>
      <c r="R93" s="6">
        <f>IF(Programa!D$26&gt;0,IF(TipoProgramaPersonalTecnico=1,ROUND(Programa!F$26*'a)Plantilla'!$C46,RedondeoPersonalTecnico),IF(TipoProgramaPersonalTecnico=2,ROUND(Programa!D$26*'a)Plantilla'!$C46,RedondeoPersonalTecnico),ROUND(Programa!D$26*Hjor*'a)Plantilla'!$C46,RedondeoPersonalTecnico))),0)</f>
        <v>0</v>
      </c>
      <c r="S93" s="6">
        <f>IF(Programa!D$27&gt;0,IF(TipoProgramaPersonalTecnico=1,ROUND(Programa!F$27*'a)Plantilla'!$C46,RedondeoPersonalTecnico),IF(TipoProgramaPersonalTecnico=2,ROUND(Programa!D$27*'a)Plantilla'!$C46,RedondeoPersonalTecnico),ROUND(Programa!D$27*Hjor*'a)Plantilla'!$C46,RedondeoPersonalTecnico))),0)</f>
        <v>0</v>
      </c>
      <c r="T93" s="6">
        <f>IF(Programa!D$28&gt;0,IF(TipoProgramaPersonalTecnico=1,ROUND(Programa!F$28*'a)Plantilla'!$C46,RedondeoPersonalTecnico),IF(TipoProgramaPersonalTecnico=2,ROUND(Programa!D$28*'a)Plantilla'!$C46,RedondeoPersonalTecnico),ROUND(Programa!D$28*Hjor*'a)Plantilla'!$C46,RedondeoPersonalTecnico))),0)</f>
        <v>0</v>
      </c>
      <c r="U93" s="6">
        <f>IF(Programa!D$29&gt;0,IF(TipoProgramaPersonalTecnico=1,ROUND(Programa!F$29*'a)Plantilla'!$C46,RedondeoPersonalTecnico),IF(TipoProgramaPersonalTecnico=2,ROUND(Programa!D$29*'a)Plantilla'!$C46,RedondeoPersonalTecnico),ROUND(Programa!D$29*Hjor*'a)Plantilla'!$C46,RedondeoPersonalTecnico))),0)</f>
        <v>0</v>
      </c>
      <c r="V93" s="6">
        <f>IF(Programa!D$30&gt;0,IF(TipoProgramaPersonalTecnico=1,ROUND(Programa!F$30*'a)Plantilla'!$C46,RedondeoPersonalTecnico),IF(TipoProgramaPersonalTecnico=2,ROUND(Programa!D$30*'a)Plantilla'!$C46,RedondeoPersonalTecnico),ROUND(Programa!D$30*Hjor*'a)Plantilla'!$C46,RedondeoPersonalTecnico))),0)</f>
        <v>0</v>
      </c>
      <c r="W93" s="6">
        <f>IF(Programa!D$31&gt;0,IF(TipoProgramaPersonalTecnico=1,ROUND(Programa!F$31*'a)Plantilla'!$C46,RedondeoPersonalTecnico),IF(TipoProgramaPersonalTecnico=2,ROUND(Programa!D$31*'a)Plantilla'!$C46,RedondeoPersonalTecnico),ROUND(Programa!D$31*Hjor*'a)Plantilla'!$C46,RedondeoPersonalTecnico))),0)</f>
        <v>0</v>
      </c>
      <c r="X93" s="6">
        <f>IF(Programa!D$32&gt;0,IF(TipoProgramaPersonalTecnico=1,ROUND(Programa!F$32*'a)Plantilla'!$C46,RedondeoPersonalTecnico),IF(TipoProgramaPersonalTecnico=2,ROUND(Programa!D$32*'a)Plantilla'!$C46,RedondeoPersonalTecnico),ROUND(Programa!D$32*Hjor*'a)Plantilla'!$C46,RedondeoPersonalTecnico))),0)</f>
        <v>0</v>
      </c>
      <c r="Y93" s="6">
        <f>IF(Programa!D$33&gt;0,IF(TipoProgramaPersonalTecnico=1,ROUND(Programa!F$33*'a)Plantilla'!$C46,RedondeoPersonalTecnico),IF(TipoProgramaPersonalTecnico=2,ROUND(Programa!D$33*'a)Plantilla'!$C46,RedondeoPersonalTecnico),ROUND(Programa!D$33*Hjor*'a)Plantilla'!$C46,RedondeoPersonalTecnico))),0)</f>
        <v>0</v>
      </c>
      <c r="Z93" s="6">
        <f>IF(Programa!D$34&gt;0,IF(TipoProgramaPersonalTecnico=1,ROUND(Programa!F$34*'a)Plantilla'!$C46,RedondeoPersonalTecnico),IF(TipoProgramaPersonalTecnico=2,ROUND(Programa!D$34*'a)Plantilla'!$C46,RedondeoPersonalTecnico),ROUND(Programa!D$34*Hjor*'a)Plantilla'!$C46,RedondeoPersonalTecnico))),0)</f>
        <v>0</v>
      </c>
      <c r="AA93" s="6">
        <f>IF(Programa!D$35&gt;0,IF(TipoProgramaPersonalTecnico=1,ROUND(Programa!F$35*'a)Plantilla'!$C46,RedondeoPersonalTecnico),IF(TipoProgramaPersonalTecnico=2,ROUND(Programa!D$35*'a)Plantilla'!$C46,RedondeoPersonalTecnico),ROUND(Programa!D$35*Hjor*'a)Plantilla'!$C46,RedondeoPersonalTecnico))),0)</f>
        <v>0</v>
      </c>
      <c r="AB93" s="78">
        <f>IF(Programa!D$36&gt;0,IF(TipoProgramaPersonalTecnico=1,ROUND(Programa!F$36*'a)Plantilla'!$C46,RedondeoPersonalTecnico),IF(TipoProgramaPersonalTecnico=2,ROUND(Programa!D$36*'a)Plantilla'!$C46,RedondeoPersonalTecnico),ROUND(Programa!D$36*Hjor*'a)Plantilla'!$C46,RedondeoPersonalTecnico))),0)</f>
        <v>0</v>
      </c>
      <c r="AC93" s="27">
        <f>IF(Programa!D$37&gt;0,IF(TipoProgramaPersonalTecnico=1,ROUND(Programa!F$37*'a)Plantilla'!$C46,RedondeoPersonalTecnico),IF(TipoProgramaPersonalTecnico=2,ROUND(Programa!D$37*'a)Plantilla'!$C46,RedondeoPersonalTecnico),ROUND(Programa!D$37*Hjor*'a)Plantilla'!$C46,RedondeoPersonalTecnico))),0)</f>
        <v>0</v>
      </c>
      <c r="AD93" s="6">
        <f>IF(Programa!D$38&gt;0,IF(TipoProgramaPersonalTecnico=1,ROUND(Programa!F$38*'a)Plantilla'!$C46,RedondeoPersonalTecnico),IF(TipoProgramaPersonalTecnico=2,ROUND(Programa!D$38*'a)Plantilla'!$C46,RedondeoPersonalTecnico),ROUND(Programa!D$38*Hjor*'a)Plantilla'!$C46,RedondeoPersonalTecnico))),0)</f>
        <v>0</v>
      </c>
      <c r="AE93" s="6">
        <f>IF(Programa!D$39&gt;0,IF(TipoProgramaPersonalTecnico=1,ROUND(Programa!F$39*'a)Plantilla'!$C46,RedondeoPersonalTecnico),IF(TipoProgramaPersonalTecnico=2,ROUND(Programa!D$39*'a)Plantilla'!$C46,RedondeoPersonalTecnico),ROUND(Programa!D$39*Hjor*'a)Plantilla'!$C46,RedondeoPersonalTecnico))),0)</f>
        <v>0</v>
      </c>
      <c r="AF93" s="6">
        <f>IF(Programa!D$40&gt;0,IF(TipoProgramaPersonalTecnico=1,ROUND(Programa!F$40*'a)Plantilla'!$C46,RedondeoPersonalTecnico),IF(TipoProgramaPersonalTecnico=2,ROUND(Programa!D$40*'a)Plantilla'!$C46,RedondeoPersonalTecnico),ROUND(Programa!D$40*Hjor*'a)Plantilla'!$C46,RedondeoPersonalTecnico))),0)</f>
        <v>0</v>
      </c>
      <c r="AG93" s="6">
        <f>IF(Programa!D$41&gt;0,IF(TipoProgramaPersonalTecnico=1,ROUND(Programa!F$41*'a)Plantilla'!$C46,RedondeoPersonalTecnico),IF(TipoProgramaPersonalTecnico=2,ROUND(Programa!D$41*'a)Plantilla'!$C46,RedondeoPersonalTecnico),ROUND(Programa!D$41*Hjor*'a)Plantilla'!$C46,RedondeoPersonalTecnico))),0)</f>
        <v>0</v>
      </c>
      <c r="AH93" s="6">
        <f>IF(Programa!D$42&gt;0,IF(TipoProgramaPersonalTecnico=1,ROUND(Programa!F$42*'a)Plantilla'!$C46,RedondeoPersonalTecnico),IF(TipoProgramaPersonalTecnico=2,ROUND(Programa!D$42*'a)Plantilla'!$C46,RedondeoPersonalTecnico),ROUND(Programa!D$42*Hjor*'a)Plantilla'!$C46,RedondeoPersonalTecnico))),0)</f>
        <v>0</v>
      </c>
      <c r="AI93" s="6">
        <f>IF(Programa!D$43&gt;0,IF(TipoProgramaPersonalTecnico=1,ROUND(Programa!F$43*'a)Plantilla'!$C46,RedondeoPersonalTecnico),IF(TipoProgramaPersonalTecnico=2,ROUND(Programa!D$43*'a)Plantilla'!$C46,RedondeoPersonalTecnico),ROUND(Programa!D$43*Hjor*'a)Plantilla'!$C46,RedondeoPersonalTecnico))),0)</f>
        <v>0</v>
      </c>
      <c r="AJ93" s="6">
        <f>IF(Programa!D$44&gt;0,IF(TipoProgramaPersonalTecnico=1,ROUND(Programa!F$44*'a)Plantilla'!$C46,RedondeoPersonalTecnico),IF(TipoProgramaPersonalTecnico=2,ROUND(Programa!D$44*'a)Plantilla'!$C46,RedondeoPersonalTecnico),ROUND(Programa!D$44*Hjor*'a)Plantilla'!$C46,RedondeoPersonalTecnico))),0)</f>
        <v>0</v>
      </c>
      <c r="AK93" s="6">
        <f>IF(Programa!D$45&gt;0,IF(TipoProgramaPersonalTecnico=1,ROUND(Programa!F$45*'a)Plantilla'!$C46,RedondeoPersonalTecnico),IF(TipoProgramaPersonalTecnico=2,ROUND(Programa!D$45*'a)Plantilla'!$C46,RedondeoPersonalTecnico),ROUND(Programa!D$45*Hjor*'a)Plantilla'!$C46,RedondeoPersonalTecnico))),0)</f>
        <v>0</v>
      </c>
      <c r="AL93" s="6">
        <f>IF(Programa!D$46&gt;0,IF(TipoProgramaPersonalTecnico=1,ROUND(Programa!F$46*'a)Plantilla'!$C46,RedondeoPersonalTecnico),IF(TipoProgramaPersonalTecnico=2,ROUND(Programa!D$46*'a)Plantilla'!$C46,RedondeoPersonalTecnico),ROUND(Programa!D$46*Hjor*'a)Plantilla'!$C46,RedondeoPersonalTecnico))),0)</f>
        <v>0</v>
      </c>
      <c r="AM93" s="6">
        <f>IF(Programa!D$47&gt;0,IF(TipoProgramaPersonalTecnico=1,ROUND(Programa!F$47*'a)Plantilla'!$C46,RedondeoPersonalTecnico),IF(TipoProgramaPersonalTecnico=2,ROUND(Programa!D$47*'a)Plantilla'!$C46,RedondeoPersonalTecnico),ROUND(Programa!D$47*Hjor*'a)Plantilla'!$C46,RedondeoPersonalTecnico))),0)</f>
        <v>0</v>
      </c>
      <c r="AN93" s="78">
        <f>IF(Programa!D$48&gt;0,IF(TipoProgramaPersonalTecnico=1,ROUND(Programa!F$48*'a)Plantilla'!$C46,RedondeoPersonalTecnico),IF(TipoProgramaPersonalTecnico=2,ROUND(Programa!D$48*'a)Plantilla'!$C46,RedondeoPersonalTecnico),ROUND(Programa!D$48*Hjor*'a)Plantilla'!$C46,RedondeoPersonalTecnico))),0)</f>
        <v>0</v>
      </c>
      <c r="AO93" s="27">
        <f>IF(Programa!D$49&gt;0,IF(TipoProgramaPersonalTecnico=1,ROUND(Programa!F$49*'a)Plantilla'!$C46,RedondeoPersonalTecnico),IF(TipoProgramaPersonalTecnico=2,ROUND(Programa!D$49*'a)Plantilla'!$C46,RedondeoPersonalTecnico),ROUND(Programa!D$49*Hjor*'a)Plantilla'!$C46,RedondeoPersonalTecnico))),0)</f>
        <v>0</v>
      </c>
      <c r="AP93" s="6">
        <f>IF(Programa!D$50&gt;0,IF(TipoProgramaPersonalTecnico=1,ROUND(Programa!F$50*'a)Plantilla'!$C46,RedondeoPersonalTecnico),IF(TipoProgramaPersonalTecnico=2,ROUND(Programa!D$50*'a)Plantilla'!$C46,RedondeoPersonalTecnico),ROUND(Programa!D$50*Hjor*'a)Plantilla'!$C46,RedondeoPersonalTecnico))),0)</f>
        <v>0</v>
      </c>
      <c r="AQ93" s="6">
        <f>IF(Programa!D$51&gt;0,IF(TipoProgramaPersonalTecnico=1,ROUND(Programa!F$51*'a)Plantilla'!$C46,RedondeoPersonalTecnico),IF(TipoProgramaPersonalTecnico=2,ROUND(Programa!D$51*'a)Plantilla'!$C46,RedondeoPersonalTecnico),ROUND(Programa!D$51*Hjor*'a)Plantilla'!$C46,RedondeoPersonalTecnico))),0)</f>
        <v>0</v>
      </c>
      <c r="AR93" s="6">
        <f>IF(Programa!D$52&gt;0,IF(TipoProgramaPersonalTecnico=1,ROUND(Programa!F$52*'a)Plantilla'!$C46,RedondeoPersonalTecnico),IF(TipoProgramaPersonalTecnico=2,ROUND(Programa!D$52*'a)Plantilla'!$C46,RedondeoPersonalTecnico),ROUND(Programa!D$52*Hjor*'a)Plantilla'!$C46,RedondeoPersonalTecnico))),0)</f>
        <v>0</v>
      </c>
      <c r="AS93" s="6">
        <f>IF(Programa!D$53&gt;0,IF(TipoProgramaPersonalTecnico=1,ROUND(Programa!F$53*'a)Plantilla'!$C46,RedondeoPersonalTecnico),IF(TipoProgramaPersonalTecnico=2,ROUND(Programa!D$53*'a)Plantilla'!$C46,RedondeoPersonalTecnico),ROUND(Programa!D$53*Hjor*'a)Plantilla'!$C46,RedondeoPersonalTecnico))),0)</f>
        <v>0</v>
      </c>
      <c r="AT93" s="6">
        <f>IF(Programa!D$54&gt;0,IF(TipoProgramaPersonalTecnico=1,ROUND(Programa!F$54*'a)Plantilla'!$C46,RedondeoPersonalTecnico),IF(TipoProgramaPersonalTecnico=2,ROUND(Programa!D$54*'a)Plantilla'!$C46,RedondeoPersonalTecnico),ROUND(Programa!D$54*Hjor*'a)Plantilla'!$C46,RedondeoPersonalTecnico))),0)</f>
        <v>0</v>
      </c>
      <c r="AU93" s="6">
        <f>IF(Programa!D$55&gt;0,IF(TipoProgramaPersonalTecnico=1,ROUND(Programa!F$55*'a)Plantilla'!$C46,RedondeoPersonalTecnico),IF(TipoProgramaPersonalTecnico=2,ROUND(Programa!D$55*'a)Plantilla'!$C46,RedondeoPersonalTecnico),ROUND(Programa!D$55*Hjor*'a)Plantilla'!$C46,RedondeoPersonalTecnico))),0)</f>
        <v>0</v>
      </c>
      <c r="AV93" s="6">
        <f>IF(Programa!D$56&gt;0,IF(TipoProgramaPersonalTecnico=1,ROUND(Programa!F$56*'a)Plantilla'!$C46,RedondeoPersonalTecnico),IF(TipoProgramaPersonalTecnico=2,ROUND(Programa!D$56*'a)Plantilla'!$C46,RedondeoPersonalTecnico),ROUND(Programa!D$56*Hjor*'a)Plantilla'!$C46,RedondeoPersonalTecnico))),0)</f>
        <v>0</v>
      </c>
      <c r="AW93" s="6">
        <f>IF(Programa!D$57&gt;0,IF(TipoProgramaPersonalTecnico=1,ROUND(Programa!F$57*'a)Plantilla'!$C46,RedondeoPersonalTecnico),IF(TipoProgramaPersonalTecnico=2,ROUND(Programa!D$57*'a)Plantilla'!$C46,RedondeoPersonalTecnico),ROUND(Programa!D$57*Hjor*'a)Plantilla'!$C46,RedondeoPersonalTecnico))),0)</f>
        <v>0</v>
      </c>
      <c r="AX93" s="6">
        <f>IF(Programa!D$58&gt;0,IF(TipoProgramaPersonalTecnico=1,ROUND(Programa!F$58*'a)Plantilla'!$C46,RedondeoPersonalTecnico),IF(TipoProgramaPersonalTecnico=2,ROUND(Programa!D$58*'a)Plantilla'!$C46,RedondeoPersonalTecnico),ROUND(Programa!D$58*Hjor*'a)Plantilla'!$C46,RedondeoPersonalTecnico))),0)</f>
        <v>0</v>
      </c>
      <c r="AY93" s="6">
        <f>IF(Programa!D$59&gt;0,IF(TipoProgramaPersonalTecnico=1,ROUND(Programa!F$59*'a)Plantilla'!$C46,RedondeoPersonalTecnico),IF(TipoProgramaPersonalTecnico=2,ROUND(Programa!D$59*'a)Plantilla'!$C46,RedondeoPersonalTecnico),ROUND(Programa!D$59*Hjor*'a)Plantilla'!$C46,RedondeoPersonalTecnico))),0)</f>
        <v>0</v>
      </c>
      <c r="AZ93" s="6">
        <f>IF(Programa!D$60&gt;0,IF(TipoProgramaPersonalTecnico=1,ROUND(Programa!F$60*'a)Plantilla'!$C46,RedondeoPersonalTecnico),IF(TipoProgramaPersonalTecnico=2,ROUND(Programa!D$60*'a)Plantilla'!$C46,RedondeoPersonalTecnico),ROUND(Programa!D$60*Hjor*'a)Plantilla'!$C46,RedondeoPersonalTecnico))),0)</f>
        <v>0</v>
      </c>
      <c r="BA93" s="6">
        <f>IF(Programa!D$61&gt;0,IF(TipoProgramaPersonalTecnico=1,ROUND(Programa!F$61*'a)Plantilla'!$C46,RedondeoPersonalTecnico),IF(TipoProgramaPersonalTecnico=2,ROUND(Programa!D$61*'a)Plantilla'!$C46,RedondeoPersonalTecnico),ROUND(Programa!D$61*Hjor*'a)Plantilla'!$C46,RedondeoPersonalTecnico))),0)</f>
        <v>0</v>
      </c>
      <c r="BB93" s="6">
        <f>IF(Programa!D$62&gt;0,IF(TipoProgramaPersonalTecnico=1,ROUND(Programa!F$62*'a)Plantilla'!$C46,RedondeoPersonalTecnico),IF(TipoProgramaPersonalTecnico=2,ROUND(Programa!D$62*'a)Plantilla'!$C46,RedondeoPersonalTecnico),ROUND(Programa!D$62*Hjor*'a)Plantilla'!$C46,RedondeoPersonalTecnico))),0)</f>
        <v>0</v>
      </c>
      <c r="BC93" s="6">
        <f>IF(Programa!D$63&gt;0,IF(TipoProgramaPersonalTecnico=1,ROUND(Programa!F$63*'a)Plantilla'!$C46,RedondeoPersonalTecnico),IF(TipoProgramaPersonalTecnico=2,ROUND(Programa!D$63*'a)Plantilla'!$C46,RedondeoPersonalTecnico),ROUND(Programa!D$63*Hjor*'a)Plantilla'!$C46,RedondeoPersonalTecnico))),0)</f>
        <v>0</v>
      </c>
      <c r="BD93" s="6">
        <f>IF(Programa!D$64&gt;0,IF(TipoProgramaPersonalTecnico=1,ROUND(Programa!F$64*'a)Plantilla'!$C46,RedondeoPersonalTecnico),IF(TipoProgramaPersonalTecnico=2,ROUND(Programa!D$64*'a)Plantilla'!$C46,RedondeoPersonalTecnico),ROUND(Programa!D$64*Hjor*'a)Plantilla'!$C46,RedondeoPersonalTecnico))),0)</f>
        <v>0</v>
      </c>
      <c r="BE93" s="6">
        <f>IF(Programa!D$65&gt;0,IF(TipoProgramaPersonalTecnico=1,ROUND(Programa!F$65*'a)Plantilla'!$C46,RedondeoPersonalTecnico),IF(TipoProgramaPersonalTecnico=2,ROUND(Programa!D$65*'a)Plantilla'!$C46,RedondeoPersonalTecnico),ROUND(Programa!D$65*Hjor*'a)Plantilla'!$C46,RedondeoPersonalTecnico))),0)</f>
        <v>0</v>
      </c>
      <c r="BF93" s="6">
        <f>IF(Programa!D$66&gt;0,IF(TipoProgramaPersonalTecnico=1,ROUND(Programa!F$66*'a)Plantilla'!$C46,RedondeoPersonalTecnico),IF(TipoProgramaPersonalTecnico=2,ROUND(Programa!D$66*'a)Plantilla'!$C46,RedondeoPersonalTecnico),ROUND(Programa!D$66*Hjor*'a)Plantilla'!$C46,RedondeoPersonalTecnico))),0)</f>
        <v>0</v>
      </c>
      <c r="BG93" s="6">
        <f>IF(Programa!D$67&gt;0,IF(TipoProgramaPersonalTecnico=1,ROUND(Programa!F$67*'a)Plantilla'!$C46,RedondeoPersonalTecnico),IF(TipoProgramaPersonalTecnico=2,ROUND(Programa!D$67*'a)Plantilla'!$C46,RedondeoPersonalTecnico),ROUND(Programa!D$67*Hjor*'a)Plantilla'!$C46,RedondeoPersonalTecnico))),0)</f>
        <v>0</v>
      </c>
      <c r="BH93" s="6">
        <f>IF(Programa!D$68&gt;0,IF(TipoProgramaPersonalTecnico=1,ROUND(Programa!F$68*'a)Plantilla'!$C46,RedondeoPersonalTecnico),IF(TipoProgramaPersonalTecnico=2,ROUND(Programa!D$68*'a)Plantilla'!$C46,RedondeoPersonalTecnico),ROUND(Programa!D$68*Hjor*'a)Plantilla'!$C46,RedondeoPersonalTecnico))),0)</f>
        <v>0</v>
      </c>
      <c r="BI93" s="6">
        <f>IF(Programa!D$69&gt;0,IF(TipoProgramaPersonalTecnico=1,ROUND(Programa!F$69*'a)Plantilla'!$C46,RedondeoPersonalTecnico),IF(TipoProgramaPersonalTecnico=2,ROUND(Programa!D$69*'a)Plantilla'!$C46,RedondeoPersonalTecnico),ROUND(Programa!D$69*Hjor*'a)Plantilla'!$C46,RedondeoPersonalTecnico))),0)</f>
        <v>0</v>
      </c>
      <c r="BJ93" s="6">
        <f>IF(Programa!D$70&gt;0,IF(TipoProgramaPersonalTecnico=1,ROUND(Programa!F$70*'a)Plantilla'!$C46,RedondeoPersonalTecnico),IF(TipoProgramaPersonalTecnico=2,ROUND(Programa!D$70*'a)Plantilla'!$C46,RedondeoPersonalTecnico),ROUND(Programa!D$70*Hjor*'a)Plantilla'!$C46,RedondeoPersonalTecnico))),0)</f>
        <v>0</v>
      </c>
      <c r="BK93" s="6">
        <f>IF(Programa!D$71&gt;0,IF(TipoProgramaPersonalTecnico=1,ROUND(Programa!F$71*'a)Plantilla'!$C46,RedondeoPersonalTecnico),IF(TipoProgramaPersonalTecnico=2,ROUND(Programa!D$71*'a)Plantilla'!$C46,RedondeoPersonalTecnico),ROUND(Programa!D$71*Hjor*'a)Plantilla'!$C46,RedondeoPersonalTecnico))),0)</f>
        <v>0</v>
      </c>
      <c r="BL93" s="78">
        <f>IF(Programa!D$72&gt;0,IF(TipoProgramaPersonalTecnico=1,ROUND(Programa!F$72*'a)Plantilla'!$C46,RedondeoPersonalTecnico),IF(TipoProgramaPersonalTecnico=2,ROUND(Programa!D$72*'a)Plantilla'!$C46,RedondeoPersonalTecnico),ROUND(Programa!D$72*Hjor*'a)Plantilla'!$C46,RedondeoPersonalTecnico))),0)</f>
        <v>0</v>
      </c>
    </row>
    <row r="94" spans="1:64" ht="8.1" customHeight="1">
      <c r="A94" s="133"/>
      <c r="B94" s="46"/>
      <c r="C94" s="31"/>
      <c r="D94" s="22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78"/>
      <c r="Q94" s="27"/>
      <c r="R94" s="6"/>
      <c r="S94" s="6"/>
      <c r="T94" s="6"/>
      <c r="U94" s="6"/>
      <c r="V94" s="6"/>
      <c r="W94" s="6"/>
      <c r="X94" s="6"/>
      <c r="Y94" s="6"/>
      <c r="Z94" s="6"/>
      <c r="AA94" s="6"/>
      <c r="AB94" s="78"/>
      <c r="AC94" s="27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78"/>
      <c r="AO94" s="27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78"/>
    </row>
    <row r="95" spans="1:64" ht="12.75" customHeight="1">
      <c r="A95" s="133"/>
      <c r="B95" s="46" t="str">
        <f>IF('a)Plantilla'!C47&gt;0,'a)Plantilla'!B47,"")</f>
        <v/>
      </c>
      <c r="C95" s="17" t="str">
        <f>IF('a)Plantilla'!C$47&gt;0,IF(TipoProgramaPersonalTecnico=1,"Personas",IF(TipoProgramaPersonalTecnico=2,"Jornal","horas-Hombre")),"")</f>
        <v/>
      </c>
      <c r="D95" s="226">
        <f>ROUND(SUM(E95:BL95),RedondeoPersonalTecnico)</f>
        <v>0</v>
      </c>
      <c r="E95" s="6">
        <f>IF(Programa!D$13&gt;0,IF(TipoProgramaPersonalTecnico=1,ROUND(Programa!F$13*'a)Plantilla'!$C47,RedondeoPersonalTecnico),IF(TipoProgramaPersonalTecnico=2,ROUND(Programa!D$13*'a)Plantilla'!$C47,RedondeoPersonalTecnico),ROUND(Programa!D$13*Hjor*'a)Plantilla'!$C47,RedondeoPersonalTecnico))),0)</f>
        <v>0</v>
      </c>
      <c r="F95" s="6">
        <f>IF(Programa!D$14&gt;0,IF(TipoProgramaPersonalTecnico=1,ROUND(Programa!F$14*'a)Plantilla'!$C47,RedondeoPersonalTecnico),IF(TipoProgramaPersonalTecnico=2,ROUND(Programa!D$14*'a)Plantilla'!$C47,RedondeoPersonalTecnico),ROUND(Programa!D$14*Hjor*'a)Plantilla'!$C47,RedondeoPersonalTecnico))),0)</f>
        <v>0</v>
      </c>
      <c r="G95" s="6">
        <f>IF(Programa!D$15&gt;0,IF(TipoProgramaPersonalTecnico=1,ROUND(Programa!F$15*'a)Plantilla'!$C47,RedondeoPersonalTecnico),IF(TipoProgramaPersonalTecnico=2,ROUND(Programa!D$15*'a)Plantilla'!$C47,RedondeoPersonalTecnico),ROUND(Programa!D$15*Hjor*'a)Plantilla'!$C47,RedondeoPersonalTecnico))),0)</f>
        <v>0</v>
      </c>
      <c r="H95" s="6">
        <f>IF(Programa!D$16&gt;0,IF(TipoProgramaPersonalTecnico=1,ROUND(Programa!F$16*'a)Plantilla'!$C47,RedondeoPersonalTecnico),IF(TipoProgramaPersonalTecnico=2,ROUND(Programa!D$16*'a)Plantilla'!$C47,RedondeoPersonalTecnico),ROUND(Programa!D$16*Hjor*'a)Plantilla'!$C47,RedondeoPersonalTecnico))),0)</f>
        <v>0</v>
      </c>
      <c r="I95" s="6">
        <f>IF(Programa!D$17&gt;0,IF(TipoProgramaPersonalTecnico=1,ROUND(Programa!F$17*'a)Plantilla'!$C47,RedondeoPersonalTecnico),IF(TipoProgramaPersonalTecnico=2,ROUND(Programa!D$17*'a)Plantilla'!$C47,RedondeoPersonalTecnico),ROUND(Programa!D$17*Hjor*'a)Plantilla'!$C47,RedondeoPersonalTecnico))),0)</f>
        <v>0</v>
      </c>
      <c r="J95" s="6">
        <f>IF(Programa!D$18&gt;0,IF(TipoProgramaPersonalTecnico=1,ROUND(Programa!F$18*'a)Plantilla'!$C47,RedondeoPersonalTecnico),IF(TipoProgramaPersonalTecnico=2,ROUND(Programa!D$18*'a)Plantilla'!$C47,RedondeoPersonalTecnico),ROUND(Programa!D$18*Hjor*'a)Plantilla'!$C47,RedondeoPersonalTecnico))),0)</f>
        <v>0</v>
      </c>
      <c r="K95" s="6">
        <f>IF(Programa!D$19&gt;0,IF(TipoProgramaPersonalTecnico=1,ROUND(Programa!F$19*'a)Plantilla'!$C47,RedondeoPersonalTecnico),IF(TipoProgramaPersonalTecnico=2,ROUND(Programa!D$19*'a)Plantilla'!$C47,RedondeoPersonalTecnico),ROUND(Programa!D$19*Hjor*'a)Plantilla'!$C47,RedondeoPersonalTecnico))),0)</f>
        <v>0</v>
      </c>
      <c r="L95" s="6">
        <f>IF(Programa!D$20&gt;0,IF(TipoProgramaPersonalTecnico=1,ROUND(Programa!F$20*'a)Plantilla'!$C47,RedondeoPersonalTecnico),IF(TipoProgramaPersonalTecnico=2,ROUND(Programa!D$20*'a)Plantilla'!$C47,RedondeoPersonalTecnico),ROUND(Programa!D$20*Hjor*'a)Plantilla'!$C47,RedondeoPersonalTecnico))),0)</f>
        <v>0</v>
      </c>
      <c r="M95" s="6">
        <f>IF(Programa!D$21&gt;0,IF(TipoProgramaPersonalTecnico=1,ROUND(Programa!F$21*'a)Plantilla'!$C47,RedondeoPersonalTecnico),IF(TipoProgramaPersonalTecnico=2,ROUND(Programa!D$21*'a)Plantilla'!$C47,RedondeoPersonalTecnico),ROUND(Programa!D$21*Hjor*'a)Plantilla'!$C47,RedondeoPersonalTecnico))),0)</f>
        <v>0</v>
      </c>
      <c r="N95" s="6">
        <f>IF(Programa!D$22&gt;0,IF(TipoProgramaPersonalTecnico=1,ROUND(Programa!F$22*'a)Plantilla'!$C47,RedondeoPersonalTecnico),IF(TipoProgramaPersonalTecnico=2,ROUND(Programa!D$22*'a)Plantilla'!$C47,RedondeoPersonalTecnico),ROUND(Programa!D$22*Hjor*'a)Plantilla'!$C47,RedondeoPersonalTecnico))),0)</f>
        <v>0</v>
      </c>
      <c r="O95" s="6">
        <f>IF(Programa!D$23&gt;0,IF(TipoProgramaPersonalTecnico=1,ROUND(Programa!F$23*'a)Plantilla'!$C47,RedondeoPersonalTecnico),IF(TipoProgramaPersonalTecnico=2,ROUND(Programa!D$23*'a)Plantilla'!$C47,RedondeoPersonalTecnico),ROUND(Programa!D$23*Hjor*'a)Plantilla'!$C47,RedondeoPersonalTecnico))),0)</f>
        <v>0</v>
      </c>
      <c r="P95" s="78">
        <f>IF(Programa!D$24&gt;0,IF(TipoProgramaPersonalTecnico=1,ROUND(Programa!F$24*'a)Plantilla'!$C47,RedondeoPersonalTecnico),IF(TipoProgramaPersonalTecnico=2,ROUND(Programa!D$24*'a)Plantilla'!$C47,RedondeoPersonalTecnico),ROUND(Programa!D$24*Hjor*'a)Plantilla'!$C47,RedondeoPersonalTecnico))),0)</f>
        <v>0</v>
      </c>
      <c r="Q95" s="27">
        <f>IF(Programa!D$25&gt;0,IF(TipoProgramaPersonalTecnico=1,ROUND(Programa!F$25*'a)Plantilla'!$C47,RedondeoPersonalTecnico),IF(TipoProgramaPersonalTecnico=2,ROUND(Programa!D$25*'a)Plantilla'!$C47,RedondeoPersonalTecnico),ROUND(Programa!D$25*Hjor*'a)Plantilla'!$C47,RedondeoPersonalTecnico))),0)</f>
        <v>0</v>
      </c>
      <c r="R95" s="6">
        <f>IF(Programa!D$26&gt;0,IF(TipoProgramaPersonalTecnico=1,ROUND(Programa!F$26*'a)Plantilla'!$C47,RedondeoPersonalTecnico),IF(TipoProgramaPersonalTecnico=2,ROUND(Programa!D$26*'a)Plantilla'!$C47,RedondeoPersonalTecnico),ROUND(Programa!D$26*Hjor*'a)Plantilla'!$C47,RedondeoPersonalTecnico))),0)</f>
        <v>0</v>
      </c>
      <c r="S95" s="6">
        <f>IF(Programa!D$27&gt;0,IF(TipoProgramaPersonalTecnico=1,ROUND(Programa!F$27*'a)Plantilla'!$C47,RedondeoPersonalTecnico),IF(TipoProgramaPersonalTecnico=2,ROUND(Programa!D$27*'a)Plantilla'!$C47,RedondeoPersonalTecnico),ROUND(Programa!D$27*Hjor*'a)Plantilla'!$C47,RedondeoPersonalTecnico))),0)</f>
        <v>0</v>
      </c>
      <c r="T95" s="6">
        <f>IF(Programa!D$28&gt;0,IF(TipoProgramaPersonalTecnico=1,ROUND(Programa!F$28*'a)Plantilla'!$C47,RedondeoPersonalTecnico),IF(TipoProgramaPersonalTecnico=2,ROUND(Programa!D$28*'a)Plantilla'!$C47,RedondeoPersonalTecnico),ROUND(Programa!D$28*Hjor*'a)Plantilla'!$C47,RedondeoPersonalTecnico))),0)</f>
        <v>0</v>
      </c>
      <c r="U95" s="6">
        <f>IF(Programa!D$29&gt;0,IF(TipoProgramaPersonalTecnico=1,ROUND(Programa!F$29*'a)Plantilla'!$C47,RedondeoPersonalTecnico),IF(TipoProgramaPersonalTecnico=2,ROUND(Programa!D$29*'a)Plantilla'!$C47,RedondeoPersonalTecnico),ROUND(Programa!D$29*Hjor*'a)Plantilla'!$C47,RedondeoPersonalTecnico))),0)</f>
        <v>0</v>
      </c>
      <c r="V95" s="6">
        <f>IF(Programa!D$30&gt;0,IF(TipoProgramaPersonalTecnico=1,ROUND(Programa!F$30*'a)Plantilla'!$C47,RedondeoPersonalTecnico),IF(TipoProgramaPersonalTecnico=2,ROUND(Programa!D$30*'a)Plantilla'!$C47,RedondeoPersonalTecnico),ROUND(Programa!D$30*Hjor*'a)Plantilla'!$C47,RedondeoPersonalTecnico))),0)</f>
        <v>0</v>
      </c>
      <c r="W95" s="6">
        <f>IF(Programa!D$31&gt;0,IF(TipoProgramaPersonalTecnico=1,ROUND(Programa!F$31*'a)Plantilla'!$C47,RedondeoPersonalTecnico),IF(TipoProgramaPersonalTecnico=2,ROUND(Programa!D$31*'a)Plantilla'!$C47,RedondeoPersonalTecnico),ROUND(Programa!D$31*Hjor*'a)Plantilla'!$C47,RedondeoPersonalTecnico))),0)</f>
        <v>0</v>
      </c>
      <c r="X95" s="6">
        <f>IF(Programa!D$32&gt;0,IF(TipoProgramaPersonalTecnico=1,ROUND(Programa!F$32*'a)Plantilla'!$C47,RedondeoPersonalTecnico),IF(TipoProgramaPersonalTecnico=2,ROUND(Programa!D$32*'a)Plantilla'!$C47,RedondeoPersonalTecnico),ROUND(Programa!D$32*Hjor*'a)Plantilla'!$C47,RedondeoPersonalTecnico))),0)</f>
        <v>0</v>
      </c>
      <c r="Y95" s="6">
        <f>IF(Programa!D$33&gt;0,IF(TipoProgramaPersonalTecnico=1,ROUND(Programa!F$33*'a)Plantilla'!$C47,RedondeoPersonalTecnico),IF(TipoProgramaPersonalTecnico=2,ROUND(Programa!D$33*'a)Plantilla'!$C47,RedondeoPersonalTecnico),ROUND(Programa!D$33*Hjor*'a)Plantilla'!$C47,RedondeoPersonalTecnico))),0)</f>
        <v>0</v>
      </c>
      <c r="Z95" s="6">
        <f>IF(Programa!D$34&gt;0,IF(TipoProgramaPersonalTecnico=1,ROUND(Programa!F$34*'a)Plantilla'!$C47,RedondeoPersonalTecnico),IF(TipoProgramaPersonalTecnico=2,ROUND(Programa!D$34*'a)Plantilla'!$C47,RedondeoPersonalTecnico),ROUND(Programa!D$34*Hjor*'a)Plantilla'!$C47,RedondeoPersonalTecnico))),0)</f>
        <v>0</v>
      </c>
      <c r="AA95" s="6">
        <f>IF(Programa!D$35&gt;0,IF(TipoProgramaPersonalTecnico=1,ROUND(Programa!F$35*'a)Plantilla'!$C47,RedondeoPersonalTecnico),IF(TipoProgramaPersonalTecnico=2,ROUND(Programa!D$35*'a)Plantilla'!$C47,RedondeoPersonalTecnico),ROUND(Programa!D$35*Hjor*'a)Plantilla'!$C47,RedondeoPersonalTecnico))),0)</f>
        <v>0</v>
      </c>
      <c r="AB95" s="78">
        <f>IF(Programa!D$36&gt;0,IF(TipoProgramaPersonalTecnico=1,ROUND(Programa!F$36*'a)Plantilla'!$C47,RedondeoPersonalTecnico),IF(TipoProgramaPersonalTecnico=2,ROUND(Programa!D$36*'a)Plantilla'!$C47,RedondeoPersonalTecnico),ROUND(Programa!D$36*Hjor*'a)Plantilla'!$C47,RedondeoPersonalTecnico))),0)</f>
        <v>0</v>
      </c>
      <c r="AC95" s="27">
        <f>IF(Programa!D$37&gt;0,IF(TipoProgramaPersonalTecnico=1,ROUND(Programa!F$37*'a)Plantilla'!$C47,RedondeoPersonalTecnico),IF(TipoProgramaPersonalTecnico=2,ROUND(Programa!D$37*'a)Plantilla'!$C47,RedondeoPersonalTecnico),ROUND(Programa!D$37*Hjor*'a)Plantilla'!$C47,RedondeoPersonalTecnico))),0)</f>
        <v>0</v>
      </c>
      <c r="AD95" s="6">
        <f>IF(Programa!D$38&gt;0,IF(TipoProgramaPersonalTecnico=1,ROUND(Programa!F$38*'a)Plantilla'!$C47,RedondeoPersonalTecnico),IF(TipoProgramaPersonalTecnico=2,ROUND(Programa!D$38*'a)Plantilla'!$C47,RedondeoPersonalTecnico),ROUND(Programa!D$38*Hjor*'a)Plantilla'!$C47,RedondeoPersonalTecnico))),0)</f>
        <v>0</v>
      </c>
      <c r="AE95" s="6">
        <f>IF(Programa!D$39&gt;0,IF(TipoProgramaPersonalTecnico=1,ROUND(Programa!F$39*'a)Plantilla'!$C47,RedondeoPersonalTecnico),IF(TipoProgramaPersonalTecnico=2,ROUND(Programa!D$39*'a)Plantilla'!$C47,RedondeoPersonalTecnico),ROUND(Programa!D$39*Hjor*'a)Plantilla'!$C47,RedondeoPersonalTecnico))),0)</f>
        <v>0</v>
      </c>
      <c r="AF95" s="6">
        <f>IF(Programa!D$40&gt;0,IF(TipoProgramaPersonalTecnico=1,ROUND(Programa!F$40*'a)Plantilla'!$C47,RedondeoPersonalTecnico),IF(TipoProgramaPersonalTecnico=2,ROUND(Programa!D$40*'a)Plantilla'!$C47,RedondeoPersonalTecnico),ROUND(Programa!D$40*Hjor*'a)Plantilla'!$C47,RedondeoPersonalTecnico))),0)</f>
        <v>0</v>
      </c>
      <c r="AG95" s="6">
        <f>IF(Programa!D$41&gt;0,IF(TipoProgramaPersonalTecnico=1,ROUND(Programa!F$41*'a)Plantilla'!$C47,RedondeoPersonalTecnico),IF(TipoProgramaPersonalTecnico=2,ROUND(Programa!D$41*'a)Plantilla'!$C47,RedondeoPersonalTecnico),ROUND(Programa!D$41*Hjor*'a)Plantilla'!$C47,RedondeoPersonalTecnico))),0)</f>
        <v>0</v>
      </c>
      <c r="AH95" s="6">
        <f>IF(Programa!D$42&gt;0,IF(TipoProgramaPersonalTecnico=1,ROUND(Programa!F$42*'a)Plantilla'!$C47,RedondeoPersonalTecnico),IF(TipoProgramaPersonalTecnico=2,ROUND(Programa!D$42*'a)Plantilla'!$C47,RedondeoPersonalTecnico),ROUND(Programa!D$42*Hjor*'a)Plantilla'!$C47,RedondeoPersonalTecnico))),0)</f>
        <v>0</v>
      </c>
      <c r="AI95" s="6">
        <f>IF(Programa!D$43&gt;0,IF(TipoProgramaPersonalTecnico=1,ROUND(Programa!F$43*'a)Plantilla'!$C47,RedondeoPersonalTecnico),IF(TipoProgramaPersonalTecnico=2,ROUND(Programa!D$43*'a)Plantilla'!$C47,RedondeoPersonalTecnico),ROUND(Programa!D$43*Hjor*'a)Plantilla'!$C47,RedondeoPersonalTecnico))),0)</f>
        <v>0</v>
      </c>
      <c r="AJ95" s="6">
        <f>IF(Programa!D$44&gt;0,IF(TipoProgramaPersonalTecnico=1,ROUND(Programa!F$44*'a)Plantilla'!$C47,RedondeoPersonalTecnico),IF(TipoProgramaPersonalTecnico=2,ROUND(Programa!D$44*'a)Plantilla'!$C47,RedondeoPersonalTecnico),ROUND(Programa!D$44*Hjor*'a)Plantilla'!$C47,RedondeoPersonalTecnico))),0)</f>
        <v>0</v>
      </c>
      <c r="AK95" s="6">
        <f>IF(Programa!D$45&gt;0,IF(TipoProgramaPersonalTecnico=1,ROUND(Programa!F$45*'a)Plantilla'!$C47,RedondeoPersonalTecnico),IF(TipoProgramaPersonalTecnico=2,ROUND(Programa!D$45*'a)Plantilla'!$C47,RedondeoPersonalTecnico),ROUND(Programa!D$45*Hjor*'a)Plantilla'!$C47,RedondeoPersonalTecnico))),0)</f>
        <v>0</v>
      </c>
      <c r="AL95" s="6">
        <f>IF(Programa!D$46&gt;0,IF(TipoProgramaPersonalTecnico=1,ROUND(Programa!F$46*'a)Plantilla'!$C47,RedondeoPersonalTecnico),IF(TipoProgramaPersonalTecnico=2,ROUND(Programa!D$46*'a)Plantilla'!$C47,RedondeoPersonalTecnico),ROUND(Programa!D$46*Hjor*'a)Plantilla'!$C47,RedondeoPersonalTecnico))),0)</f>
        <v>0</v>
      </c>
      <c r="AM95" s="6">
        <f>IF(Programa!D$47&gt;0,IF(TipoProgramaPersonalTecnico=1,ROUND(Programa!F$47*'a)Plantilla'!$C47,RedondeoPersonalTecnico),IF(TipoProgramaPersonalTecnico=2,ROUND(Programa!D$47*'a)Plantilla'!$C47,RedondeoPersonalTecnico),ROUND(Programa!D$47*Hjor*'a)Plantilla'!$C47,RedondeoPersonalTecnico))),0)</f>
        <v>0</v>
      </c>
      <c r="AN95" s="78">
        <f>IF(Programa!D$48&gt;0,IF(TipoProgramaPersonalTecnico=1,ROUND(Programa!F$48*'a)Plantilla'!$C47,RedondeoPersonalTecnico),IF(TipoProgramaPersonalTecnico=2,ROUND(Programa!D$48*'a)Plantilla'!$C47,RedondeoPersonalTecnico),ROUND(Programa!D$48*Hjor*'a)Plantilla'!$C47,RedondeoPersonalTecnico))),0)</f>
        <v>0</v>
      </c>
      <c r="AO95" s="27">
        <f>IF(Programa!D$49&gt;0,IF(TipoProgramaPersonalTecnico=1,ROUND(Programa!F$49*'a)Plantilla'!$C47,RedondeoPersonalTecnico),IF(TipoProgramaPersonalTecnico=2,ROUND(Programa!D$49*'a)Plantilla'!$C47,RedondeoPersonalTecnico),ROUND(Programa!D$49*Hjor*'a)Plantilla'!$C47,RedondeoPersonalTecnico))),0)</f>
        <v>0</v>
      </c>
      <c r="AP95" s="6">
        <f>IF(Programa!D$50&gt;0,IF(TipoProgramaPersonalTecnico=1,ROUND(Programa!F$50*'a)Plantilla'!$C47,RedondeoPersonalTecnico),IF(TipoProgramaPersonalTecnico=2,ROUND(Programa!D$50*'a)Plantilla'!$C47,RedondeoPersonalTecnico),ROUND(Programa!D$50*Hjor*'a)Plantilla'!$C47,RedondeoPersonalTecnico))),0)</f>
        <v>0</v>
      </c>
      <c r="AQ95" s="6">
        <f>IF(Programa!D$51&gt;0,IF(TipoProgramaPersonalTecnico=1,ROUND(Programa!F$51*'a)Plantilla'!$C47,RedondeoPersonalTecnico),IF(TipoProgramaPersonalTecnico=2,ROUND(Programa!D$51*'a)Plantilla'!$C47,RedondeoPersonalTecnico),ROUND(Programa!D$51*Hjor*'a)Plantilla'!$C47,RedondeoPersonalTecnico))),0)</f>
        <v>0</v>
      </c>
      <c r="AR95" s="6">
        <f>IF(Programa!D$52&gt;0,IF(TipoProgramaPersonalTecnico=1,ROUND(Programa!F$52*'a)Plantilla'!$C47,RedondeoPersonalTecnico),IF(TipoProgramaPersonalTecnico=2,ROUND(Programa!D$52*'a)Plantilla'!$C47,RedondeoPersonalTecnico),ROUND(Programa!D$52*Hjor*'a)Plantilla'!$C47,RedondeoPersonalTecnico))),0)</f>
        <v>0</v>
      </c>
      <c r="AS95" s="6">
        <f>IF(Programa!D$53&gt;0,IF(TipoProgramaPersonalTecnico=1,ROUND(Programa!F$53*'a)Plantilla'!$C47,RedondeoPersonalTecnico),IF(TipoProgramaPersonalTecnico=2,ROUND(Programa!D$53*'a)Plantilla'!$C47,RedondeoPersonalTecnico),ROUND(Programa!D$53*Hjor*'a)Plantilla'!$C47,RedondeoPersonalTecnico))),0)</f>
        <v>0</v>
      </c>
      <c r="AT95" s="6">
        <f>IF(Programa!D$54&gt;0,IF(TipoProgramaPersonalTecnico=1,ROUND(Programa!F$54*'a)Plantilla'!$C47,RedondeoPersonalTecnico),IF(TipoProgramaPersonalTecnico=2,ROUND(Programa!D$54*'a)Plantilla'!$C47,RedondeoPersonalTecnico),ROUND(Programa!D$54*Hjor*'a)Plantilla'!$C47,RedondeoPersonalTecnico))),0)</f>
        <v>0</v>
      </c>
      <c r="AU95" s="6">
        <f>IF(Programa!D$55&gt;0,IF(TipoProgramaPersonalTecnico=1,ROUND(Programa!F$55*'a)Plantilla'!$C47,RedondeoPersonalTecnico),IF(TipoProgramaPersonalTecnico=2,ROUND(Programa!D$55*'a)Plantilla'!$C47,RedondeoPersonalTecnico),ROUND(Programa!D$55*Hjor*'a)Plantilla'!$C47,RedondeoPersonalTecnico))),0)</f>
        <v>0</v>
      </c>
      <c r="AV95" s="6">
        <f>IF(Programa!D$56&gt;0,IF(TipoProgramaPersonalTecnico=1,ROUND(Programa!F$56*'a)Plantilla'!$C47,RedondeoPersonalTecnico),IF(TipoProgramaPersonalTecnico=2,ROUND(Programa!D$56*'a)Plantilla'!$C47,RedondeoPersonalTecnico),ROUND(Programa!D$56*Hjor*'a)Plantilla'!$C47,RedondeoPersonalTecnico))),0)</f>
        <v>0</v>
      </c>
      <c r="AW95" s="6">
        <f>IF(Programa!D$57&gt;0,IF(TipoProgramaPersonalTecnico=1,ROUND(Programa!F$57*'a)Plantilla'!$C47,RedondeoPersonalTecnico),IF(TipoProgramaPersonalTecnico=2,ROUND(Programa!D$57*'a)Plantilla'!$C47,RedondeoPersonalTecnico),ROUND(Programa!D$57*Hjor*'a)Plantilla'!$C47,RedondeoPersonalTecnico))),0)</f>
        <v>0</v>
      </c>
      <c r="AX95" s="6">
        <f>IF(Programa!D$58&gt;0,IF(TipoProgramaPersonalTecnico=1,ROUND(Programa!F$58*'a)Plantilla'!$C47,RedondeoPersonalTecnico),IF(TipoProgramaPersonalTecnico=2,ROUND(Programa!D$58*'a)Plantilla'!$C47,RedondeoPersonalTecnico),ROUND(Programa!D$58*Hjor*'a)Plantilla'!$C47,RedondeoPersonalTecnico))),0)</f>
        <v>0</v>
      </c>
      <c r="AY95" s="6">
        <f>IF(Programa!D$59&gt;0,IF(TipoProgramaPersonalTecnico=1,ROUND(Programa!F$59*'a)Plantilla'!$C47,RedondeoPersonalTecnico),IF(TipoProgramaPersonalTecnico=2,ROUND(Programa!D$59*'a)Plantilla'!$C47,RedondeoPersonalTecnico),ROUND(Programa!D$59*Hjor*'a)Plantilla'!$C47,RedondeoPersonalTecnico))),0)</f>
        <v>0</v>
      </c>
      <c r="AZ95" s="6">
        <f>IF(Programa!D$60&gt;0,IF(TipoProgramaPersonalTecnico=1,ROUND(Programa!F$60*'a)Plantilla'!$C47,RedondeoPersonalTecnico),IF(TipoProgramaPersonalTecnico=2,ROUND(Programa!D$60*'a)Plantilla'!$C47,RedondeoPersonalTecnico),ROUND(Programa!D$60*Hjor*'a)Plantilla'!$C47,RedondeoPersonalTecnico))),0)</f>
        <v>0</v>
      </c>
      <c r="BA95" s="6">
        <f>IF(Programa!D$61&gt;0,IF(TipoProgramaPersonalTecnico=1,ROUND(Programa!F$61*'a)Plantilla'!$C47,RedondeoPersonalTecnico),IF(TipoProgramaPersonalTecnico=2,ROUND(Programa!D$61*'a)Plantilla'!$C47,RedondeoPersonalTecnico),ROUND(Programa!D$61*Hjor*'a)Plantilla'!$C47,RedondeoPersonalTecnico))),0)</f>
        <v>0</v>
      </c>
      <c r="BB95" s="6">
        <f>IF(Programa!D$62&gt;0,IF(TipoProgramaPersonalTecnico=1,ROUND(Programa!F$62*'a)Plantilla'!$C47,RedondeoPersonalTecnico),IF(TipoProgramaPersonalTecnico=2,ROUND(Programa!D$62*'a)Plantilla'!$C47,RedondeoPersonalTecnico),ROUND(Programa!D$62*Hjor*'a)Plantilla'!$C47,RedondeoPersonalTecnico))),0)</f>
        <v>0</v>
      </c>
      <c r="BC95" s="6">
        <f>IF(Programa!D$63&gt;0,IF(TipoProgramaPersonalTecnico=1,ROUND(Programa!F$63*'a)Plantilla'!$C47,RedondeoPersonalTecnico),IF(TipoProgramaPersonalTecnico=2,ROUND(Programa!D$63*'a)Plantilla'!$C47,RedondeoPersonalTecnico),ROUND(Programa!D$63*Hjor*'a)Plantilla'!$C47,RedondeoPersonalTecnico))),0)</f>
        <v>0</v>
      </c>
      <c r="BD95" s="6">
        <f>IF(Programa!D$64&gt;0,IF(TipoProgramaPersonalTecnico=1,ROUND(Programa!F$64*'a)Plantilla'!$C47,RedondeoPersonalTecnico),IF(TipoProgramaPersonalTecnico=2,ROUND(Programa!D$64*'a)Plantilla'!$C47,RedondeoPersonalTecnico),ROUND(Programa!D$64*Hjor*'a)Plantilla'!$C47,RedondeoPersonalTecnico))),0)</f>
        <v>0</v>
      </c>
      <c r="BE95" s="6">
        <f>IF(Programa!D$65&gt;0,IF(TipoProgramaPersonalTecnico=1,ROUND(Programa!F$65*'a)Plantilla'!$C47,RedondeoPersonalTecnico),IF(TipoProgramaPersonalTecnico=2,ROUND(Programa!D$65*'a)Plantilla'!$C47,RedondeoPersonalTecnico),ROUND(Programa!D$65*Hjor*'a)Plantilla'!$C47,RedondeoPersonalTecnico))),0)</f>
        <v>0</v>
      </c>
      <c r="BF95" s="6">
        <f>IF(Programa!D$66&gt;0,IF(TipoProgramaPersonalTecnico=1,ROUND(Programa!F$66*'a)Plantilla'!$C47,RedondeoPersonalTecnico),IF(TipoProgramaPersonalTecnico=2,ROUND(Programa!D$66*'a)Plantilla'!$C47,RedondeoPersonalTecnico),ROUND(Programa!D$66*Hjor*'a)Plantilla'!$C47,RedondeoPersonalTecnico))),0)</f>
        <v>0</v>
      </c>
      <c r="BG95" s="6">
        <f>IF(Programa!D$67&gt;0,IF(TipoProgramaPersonalTecnico=1,ROUND(Programa!F$67*'a)Plantilla'!$C47,RedondeoPersonalTecnico),IF(TipoProgramaPersonalTecnico=2,ROUND(Programa!D$67*'a)Plantilla'!$C47,RedondeoPersonalTecnico),ROUND(Programa!D$67*Hjor*'a)Plantilla'!$C47,RedondeoPersonalTecnico))),0)</f>
        <v>0</v>
      </c>
      <c r="BH95" s="6">
        <f>IF(Programa!D$68&gt;0,IF(TipoProgramaPersonalTecnico=1,ROUND(Programa!F$68*'a)Plantilla'!$C47,RedondeoPersonalTecnico),IF(TipoProgramaPersonalTecnico=2,ROUND(Programa!D$68*'a)Plantilla'!$C47,RedondeoPersonalTecnico),ROUND(Programa!D$68*Hjor*'a)Plantilla'!$C47,RedondeoPersonalTecnico))),0)</f>
        <v>0</v>
      </c>
      <c r="BI95" s="6">
        <f>IF(Programa!D$69&gt;0,IF(TipoProgramaPersonalTecnico=1,ROUND(Programa!F$69*'a)Plantilla'!$C47,RedondeoPersonalTecnico),IF(TipoProgramaPersonalTecnico=2,ROUND(Programa!D$69*'a)Plantilla'!$C47,RedondeoPersonalTecnico),ROUND(Programa!D$69*Hjor*'a)Plantilla'!$C47,RedondeoPersonalTecnico))),0)</f>
        <v>0</v>
      </c>
      <c r="BJ95" s="6">
        <f>IF(Programa!D$70&gt;0,IF(TipoProgramaPersonalTecnico=1,ROUND(Programa!F$70*'a)Plantilla'!$C47,RedondeoPersonalTecnico),IF(TipoProgramaPersonalTecnico=2,ROUND(Programa!D$70*'a)Plantilla'!$C47,RedondeoPersonalTecnico),ROUND(Programa!D$70*Hjor*'a)Plantilla'!$C47,RedondeoPersonalTecnico))),0)</f>
        <v>0</v>
      </c>
      <c r="BK95" s="6">
        <f>IF(Programa!D$71&gt;0,IF(TipoProgramaPersonalTecnico=1,ROUND(Programa!F$71*'a)Plantilla'!$C47,RedondeoPersonalTecnico),IF(TipoProgramaPersonalTecnico=2,ROUND(Programa!D$71*'a)Plantilla'!$C47,RedondeoPersonalTecnico),ROUND(Programa!D$71*Hjor*'a)Plantilla'!$C47,RedondeoPersonalTecnico))),0)</f>
        <v>0</v>
      </c>
      <c r="BL95" s="78">
        <f>IF(Programa!D$72&gt;0,IF(TipoProgramaPersonalTecnico=1,ROUND(Programa!F$72*'a)Plantilla'!$C47,RedondeoPersonalTecnico),IF(TipoProgramaPersonalTecnico=2,ROUND(Programa!D$72*'a)Plantilla'!$C47,RedondeoPersonalTecnico),ROUND(Programa!D$72*Hjor*'a)Plantilla'!$C47,RedondeoPersonalTecnico))),0)</f>
        <v>0</v>
      </c>
    </row>
    <row r="96" spans="1:64" ht="8.1" customHeight="1">
      <c r="A96" s="133"/>
      <c r="B96" s="46"/>
      <c r="C96" s="31"/>
      <c r="D96" s="22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78"/>
      <c r="Q96" s="27"/>
      <c r="R96" s="6"/>
      <c r="S96" s="6"/>
      <c r="T96" s="6"/>
      <c r="U96" s="6"/>
      <c r="V96" s="6"/>
      <c r="W96" s="6"/>
      <c r="X96" s="6"/>
      <c r="Y96" s="6"/>
      <c r="Z96" s="6"/>
      <c r="AA96" s="6"/>
      <c r="AB96" s="78"/>
      <c r="AC96" s="27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78"/>
      <c r="AO96" s="27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78"/>
    </row>
    <row r="97" spans="1:64" ht="12.75" customHeight="1">
      <c r="A97" s="133"/>
      <c r="B97" s="46" t="str">
        <f>IF('a)Plantilla'!C48&gt;0,'a)Plantilla'!B48,"")</f>
        <v>SECRETARIA</v>
      </c>
      <c r="C97" s="17" t="str">
        <f>IF('a)Plantilla'!C$48&gt;0,IF(TipoProgramaPersonalTecnico=1,"Personas",IF(TipoProgramaPersonalTecnico=2,"Jornal","horas-Hombre")),"")</f>
        <v>horas-Hombre</v>
      </c>
      <c r="D97" s="226">
        <f>ROUND(SUM(E97:BL97),RedondeoPersonalTecnico)</f>
        <v>30</v>
      </c>
      <c r="E97" s="6">
        <f>IF(Programa!D$13&gt;0,IF(TipoProgramaPersonalTecnico=1,ROUND(Programa!F$13*'a)Plantilla'!$C48,RedondeoPersonalTecnico),IF(TipoProgramaPersonalTecnico=2,ROUND(Programa!D$13*'a)Plantilla'!$C48,RedondeoPersonalTecnico),ROUND(Programa!D$13*Hjor*'a)Plantilla'!$C48,RedondeoPersonalTecnico))),0)</f>
        <v>6.4</v>
      </c>
      <c r="F97" s="6">
        <f>IF(Programa!D$14&gt;0,IF(TipoProgramaPersonalTecnico=1,ROUND(Programa!F$14*'a)Plantilla'!$C48,RedondeoPersonalTecnico),IF(TipoProgramaPersonalTecnico=2,ROUND(Programa!D$14*'a)Plantilla'!$C48,RedondeoPersonalTecnico),ROUND(Programa!D$14*Hjor*'a)Plantilla'!$C48,RedondeoPersonalTecnico))),0)</f>
        <v>12</v>
      </c>
      <c r="G97" s="6">
        <f>IF(Programa!D$15&gt;0,IF(TipoProgramaPersonalTecnico=1,ROUND(Programa!F$15*'a)Plantilla'!$C48,RedondeoPersonalTecnico),IF(TipoProgramaPersonalTecnico=2,ROUND(Programa!D$15*'a)Plantilla'!$C48,RedondeoPersonalTecnico),ROUND(Programa!D$15*Hjor*'a)Plantilla'!$C48,RedondeoPersonalTecnico))),0)</f>
        <v>11.6</v>
      </c>
      <c r="H97" s="6">
        <f>IF(Programa!D$16&gt;0,IF(TipoProgramaPersonalTecnico=1,ROUND(Programa!F$16*'a)Plantilla'!$C48,RedondeoPersonalTecnico),IF(TipoProgramaPersonalTecnico=2,ROUND(Programa!D$16*'a)Plantilla'!$C48,RedondeoPersonalTecnico),ROUND(Programa!D$16*Hjor*'a)Plantilla'!$C48,RedondeoPersonalTecnico))),0)</f>
        <v>0</v>
      </c>
      <c r="I97" s="6">
        <f>IF(Programa!D$17&gt;0,IF(TipoProgramaPersonalTecnico=1,ROUND(Programa!F$17*'a)Plantilla'!$C48,RedondeoPersonalTecnico),IF(TipoProgramaPersonalTecnico=2,ROUND(Programa!D$17*'a)Plantilla'!$C48,RedondeoPersonalTecnico),ROUND(Programa!D$17*Hjor*'a)Plantilla'!$C48,RedondeoPersonalTecnico))),0)</f>
        <v>0</v>
      </c>
      <c r="J97" s="6">
        <f>IF(Programa!D$18&gt;0,IF(TipoProgramaPersonalTecnico=1,ROUND(Programa!F$18*'a)Plantilla'!$C48,RedondeoPersonalTecnico),IF(TipoProgramaPersonalTecnico=2,ROUND(Programa!D$18*'a)Plantilla'!$C48,RedondeoPersonalTecnico),ROUND(Programa!D$18*Hjor*'a)Plantilla'!$C48,RedondeoPersonalTecnico))),0)</f>
        <v>0</v>
      </c>
      <c r="K97" s="6">
        <f>IF(Programa!D$19&gt;0,IF(TipoProgramaPersonalTecnico=1,ROUND(Programa!F$19*'a)Plantilla'!$C48,RedondeoPersonalTecnico),IF(TipoProgramaPersonalTecnico=2,ROUND(Programa!D$19*'a)Plantilla'!$C48,RedondeoPersonalTecnico),ROUND(Programa!D$19*Hjor*'a)Plantilla'!$C48,RedondeoPersonalTecnico))),0)</f>
        <v>0</v>
      </c>
      <c r="L97" s="6">
        <f>IF(Programa!D$20&gt;0,IF(TipoProgramaPersonalTecnico=1,ROUND(Programa!F$20*'a)Plantilla'!$C48,RedondeoPersonalTecnico),IF(TipoProgramaPersonalTecnico=2,ROUND(Programa!D$20*'a)Plantilla'!$C48,RedondeoPersonalTecnico),ROUND(Programa!D$20*Hjor*'a)Plantilla'!$C48,RedondeoPersonalTecnico))),0)</f>
        <v>0</v>
      </c>
      <c r="M97" s="6">
        <f>IF(Programa!D$21&gt;0,IF(TipoProgramaPersonalTecnico=1,ROUND(Programa!F$21*'a)Plantilla'!$C48,RedondeoPersonalTecnico),IF(TipoProgramaPersonalTecnico=2,ROUND(Programa!D$21*'a)Plantilla'!$C48,RedondeoPersonalTecnico),ROUND(Programa!D$21*Hjor*'a)Plantilla'!$C48,RedondeoPersonalTecnico))),0)</f>
        <v>0</v>
      </c>
      <c r="N97" s="6">
        <f>IF(Programa!D$22&gt;0,IF(TipoProgramaPersonalTecnico=1,ROUND(Programa!F$22*'a)Plantilla'!$C48,RedondeoPersonalTecnico),IF(TipoProgramaPersonalTecnico=2,ROUND(Programa!D$22*'a)Plantilla'!$C48,RedondeoPersonalTecnico),ROUND(Programa!D$22*Hjor*'a)Plantilla'!$C48,RedondeoPersonalTecnico))),0)</f>
        <v>0</v>
      </c>
      <c r="O97" s="6">
        <f>IF(Programa!D$23&gt;0,IF(TipoProgramaPersonalTecnico=1,ROUND(Programa!F$23*'a)Plantilla'!$C48,RedondeoPersonalTecnico),IF(TipoProgramaPersonalTecnico=2,ROUND(Programa!D$23*'a)Plantilla'!$C48,RedondeoPersonalTecnico),ROUND(Programa!D$23*Hjor*'a)Plantilla'!$C48,RedondeoPersonalTecnico))),0)</f>
        <v>0</v>
      </c>
      <c r="P97" s="78">
        <f>IF(Programa!D$24&gt;0,IF(TipoProgramaPersonalTecnico=1,ROUND(Programa!F$24*'a)Plantilla'!$C48,RedondeoPersonalTecnico),IF(TipoProgramaPersonalTecnico=2,ROUND(Programa!D$24*'a)Plantilla'!$C48,RedondeoPersonalTecnico),ROUND(Programa!D$24*Hjor*'a)Plantilla'!$C48,RedondeoPersonalTecnico))),0)</f>
        <v>0</v>
      </c>
      <c r="Q97" s="27">
        <f>IF(Programa!D$25&gt;0,IF(TipoProgramaPersonalTecnico=1,ROUND(Programa!F$25*'a)Plantilla'!$C48,RedondeoPersonalTecnico),IF(TipoProgramaPersonalTecnico=2,ROUND(Programa!D$25*'a)Plantilla'!$C48,RedondeoPersonalTecnico),ROUND(Programa!D$25*Hjor*'a)Plantilla'!$C48,RedondeoPersonalTecnico))),0)</f>
        <v>0</v>
      </c>
      <c r="R97" s="6">
        <f>IF(Programa!D$26&gt;0,IF(TipoProgramaPersonalTecnico=1,ROUND(Programa!F$26*'a)Plantilla'!$C48,RedondeoPersonalTecnico),IF(TipoProgramaPersonalTecnico=2,ROUND(Programa!D$26*'a)Plantilla'!$C48,RedondeoPersonalTecnico),ROUND(Programa!D$26*Hjor*'a)Plantilla'!$C48,RedondeoPersonalTecnico))),0)</f>
        <v>0</v>
      </c>
      <c r="S97" s="6">
        <f>IF(Programa!D$27&gt;0,IF(TipoProgramaPersonalTecnico=1,ROUND(Programa!F$27*'a)Plantilla'!$C48,RedondeoPersonalTecnico),IF(TipoProgramaPersonalTecnico=2,ROUND(Programa!D$27*'a)Plantilla'!$C48,RedondeoPersonalTecnico),ROUND(Programa!D$27*Hjor*'a)Plantilla'!$C48,RedondeoPersonalTecnico))),0)</f>
        <v>0</v>
      </c>
      <c r="T97" s="6">
        <f>IF(Programa!D$28&gt;0,IF(TipoProgramaPersonalTecnico=1,ROUND(Programa!F$28*'a)Plantilla'!$C48,RedondeoPersonalTecnico),IF(TipoProgramaPersonalTecnico=2,ROUND(Programa!D$28*'a)Plantilla'!$C48,RedondeoPersonalTecnico),ROUND(Programa!D$28*Hjor*'a)Plantilla'!$C48,RedondeoPersonalTecnico))),0)</f>
        <v>0</v>
      </c>
      <c r="U97" s="6">
        <f>IF(Programa!D$29&gt;0,IF(TipoProgramaPersonalTecnico=1,ROUND(Programa!F$29*'a)Plantilla'!$C48,RedondeoPersonalTecnico),IF(TipoProgramaPersonalTecnico=2,ROUND(Programa!D$29*'a)Plantilla'!$C48,RedondeoPersonalTecnico),ROUND(Programa!D$29*Hjor*'a)Plantilla'!$C48,RedondeoPersonalTecnico))),0)</f>
        <v>0</v>
      </c>
      <c r="V97" s="6">
        <f>IF(Programa!D$30&gt;0,IF(TipoProgramaPersonalTecnico=1,ROUND(Programa!F$30*'a)Plantilla'!$C48,RedondeoPersonalTecnico),IF(TipoProgramaPersonalTecnico=2,ROUND(Programa!D$30*'a)Plantilla'!$C48,RedondeoPersonalTecnico),ROUND(Programa!D$30*Hjor*'a)Plantilla'!$C48,RedondeoPersonalTecnico))),0)</f>
        <v>0</v>
      </c>
      <c r="W97" s="6">
        <f>IF(Programa!D$31&gt;0,IF(TipoProgramaPersonalTecnico=1,ROUND(Programa!F$31*'a)Plantilla'!$C48,RedondeoPersonalTecnico),IF(TipoProgramaPersonalTecnico=2,ROUND(Programa!D$31*'a)Plantilla'!$C48,RedondeoPersonalTecnico),ROUND(Programa!D$31*Hjor*'a)Plantilla'!$C48,RedondeoPersonalTecnico))),0)</f>
        <v>0</v>
      </c>
      <c r="X97" s="6">
        <f>IF(Programa!D$32&gt;0,IF(TipoProgramaPersonalTecnico=1,ROUND(Programa!F$32*'a)Plantilla'!$C48,RedondeoPersonalTecnico),IF(TipoProgramaPersonalTecnico=2,ROUND(Programa!D$32*'a)Plantilla'!$C48,RedondeoPersonalTecnico),ROUND(Programa!D$32*Hjor*'a)Plantilla'!$C48,RedondeoPersonalTecnico))),0)</f>
        <v>0</v>
      </c>
      <c r="Y97" s="6">
        <f>IF(Programa!D$33&gt;0,IF(TipoProgramaPersonalTecnico=1,ROUND(Programa!F$33*'a)Plantilla'!$C48,RedondeoPersonalTecnico),IF(TipoProgramaPersonalTecnico=2,ROUND(Programa!D$33*'a)Plantilla'!$C48,RedondeoPersonalTecnico),ROUND(Programa!D$33*Hjor*'a)Plantilla'!$C48,RedondeoPersonalTecnico))),0)</f>
        <v>0</v>
      </c>
      <c r="Z97" s="6">
        <f>IF(Programa!D$34&gt;0,IF(TipoProgramaPersonalTecnico=1,ROUND(Programa!F$34*'a)Plantilla'!$C48,RedondeoPersonalTecnico),IF(TipoProgramaPersonalTecnico=2,ROUND(Programa!D$34*'a)Plantilla'!$C48,RedondeoPersonalTecnico),ROUND(Programa!D$34*Hjor*'a)Plantilla'!$C48,RedondeoPersonalTecnico))),0)</f>
        <v>0</v>
      </c>
      <c r="AA97" s="6">
        <f>IF(Programa!D$35&gt;0,IF(TipoProgramaPersonalTecnico=1,ROUND(Programa!F$35*'a)Plantilla'!$C48,RedondeoPersonalTecnico),IF(TipoProgramaPersonalTecnico=2,ROUND(Programa!D$35*'a)Plantilla'!$C48,RedondeoPersonalTecnico),ROUND(Programa!D$35*Hjor*'a)Plantilla'!$C48,RedondeoPersonalTecnico))),0)</f>
        <v>0</v>
      </c>
      <c r="AB97" s="78">
        <f>IF(Programa!D$36&gt;0,IF(TipoProgramaPersonalTecnico=1,ROUND(Programa!F$36*'a)Plantilla'!$C48,RedondeoPersonalTecnico),IF(TipoProgramaPersonalTecnico=2,ROUND(Programa!D$36*'a)Plantilla'!$C48,RedondeoPersonalTecnico),ROUND(Programa!D$36*Hjor*'a)Plantilla'!$C48,RedondeoPersonalTecnico))),0)</f>
        <v>0</v>
      </c>
      <c r="AC97" s="27">
        <f>IF(Programa!D$37&gt;0,IF(TipoProgramaPersonalTecnico=1,ROUND(Programa!F$37*'a)Plantilla'!$C48,RedondeoPersonalTecnico),IF(TipoProgramaPersonalTecnico=2,ROUND(Programa!D$37*'a)Plantilla'!$C48,RedondeoPersonalTecnico),ROUND(Programa!D$37*Hjor*'a)Plantilla'!$C48,RedondeoPersonalTecnico))),0)</f>
        <v>0</v>
      </c>
      <c r="AD97" s="6">
        <f>IF(Programa!D$38&gt;0,IF(TipoProgramaPersonalTecnico=1,ROUND(Programa!F$38*'a)Plantilla'!$C48,RedondeoPersonalTecnico),IF(TipoProgramaPersonalTecnico=2,ROUND(Programa!D$38*'a)Plantilla'!$C48,RedondeoPersonalTecnico),ROUND(Programa!D$38*Hjor*'a)Plantilla'!$C48,RedondeoPersonalTecnico))),0)</f>
        <v>0</v>
      </c>
      <c r="AE97" s="6">
        <f>IF(Programa!D$39&gt;0,IF(TipoProgramaPersonalTecnico=1,ROUND(Programa!F$39*'a)Plantilla'!$C48,RedondeoPersonalTecnico),IF(TipoProgramaPersonalTecnico=2,ROUND(Programa!D$39*'a)Plantilla'!$C48,RedondeoPersonalTecnico),ROUND(Programa!D$39*Hjor*'a)Plantilla'!$C48,RedondeoPersonalTecnico))),0)</f>
        <v>0</v>
      </c>
      <c r="AF97" s="6">
        <f>IF(Programa!D$40&gt;0,IF(TipoProgramaPersonalTecnico=1,ROUND(Programa!F$40*'a)Plantilla'!$C48,RedondeoPersonalTecnico),IF(TipoProgramaPersonalTecnico=2,ROUND(Programa!D$40*'a)Plantilla'!$C48,RedondeoPersonalTecnico),ROUND(Programa!D$40*Hjor*'a)Plantilla'!$C48,RedondeoPersonalTecnico))),0)</f>
        <v>0</v>
      </c>
      <c r="AG97" s="6">
        <f>IF(Programa!D$41&gt;0,IF(TipoProgramaPersonalTecnico=1,ROUND(Programa!F$41*'a)Plantilla'!$C48,RedondeoPersonalTecnico),IF(TipoProgramaPersonalTecnico=2,ROUND(Programa!D$41*'a)Plantilla'!$C48,RedondeoPersonalTecnico),ROUND(Programa!D$41*Hjor*'a)Plantilla'!$C48,RedondeoPersonalTecnico))),0)</f>
        <v>0</v>
      </c>
      <c r="AH97" s="6">
        <f>IF(Programa!D$42&gt;0,IF(TipoProgramaPersonalTecnico=1,ROUND(Programa!F$42*'a)Plantilla'!$C48,RedondeoPersonalTecnico),IF(TipoProgramaPersonalTecnico=2,ROUND(Programa!D$42*'a)Plantilla'!$C48,RedondeoPersonalTecnico),ROUND(Programa!D$42*Hjor*'a)Plantilla'!$C48,RedondeoPersonalTecnico))),0)</f>
        <v>0</v>
      </c>
      <c r="AI97" s="6">
        <f>IF(Programa!D$43&gt;0,IF(TipoProgramaPersonalTecnico=1,ROUND(Programa!F$43*'a)Plantilla'!$C48,RedondeoPersonalTecnico),IF(TipoProgramaPersonalTecnico=2,ROUND(Programa!D$43*'a)Plantilla'!$C48,RedondeoPersonalTecnico),ROUND(Programa!D$43*Hjor*'a)Plantilla'!$C48,RedondeoPersonalTecnico))),0)</f>
        <v>0</v>
      </c>
      <c r="AJ97" s="6">
        <f>IF(Programa!D$44&gt;0,IF(TipoProgramaPersonalTecnico=1,ROUND(Programa!F$44*'a)Plantilla'!$C48,RedondeoPersonalTecnico),IF(TipoProgramaPersonalTecnico=2,ROUND(Programa!D$44*'a)Plantilla'!$C48,RedondeoPersonalTecnico),ROUND(Programa!D$44*Hjor*'a)Plantilla'!$C48,RedondeoPersonalTecnico))),0)</f>
        <v>0</v>
      </c>
      <c r="AK97" s="6">
        <f>IF(Programa!D$45&gt;0,IF(TipoProgramaPersonalTecnico=1,ROUND(Programa!F$45*'a)Plantilla'!$C48,RedondeoPersonalTecnico),IF(TipoProgramaPersonalTecnico=2,ROUND(Programa!D$45*'a)Plantilla'!$C48,RedondeoPersonalTecnico),ROUND(Programa!D$45*Hjor*'a)Plantilla'!$C48,RedondeoPersonalTecnico))),0)</f>
        <v>0</v>
      </c>
      <c r="AL97" s="6">
        <f>IF(Programa!D$46&gt;0,IF(TipoProgramaPersonalTecnico=1,ROUND(Programa!F$46*'a)Plantilla'!$C48,RedondeoPersonalTecnico),IF(TipoProgramaPersonalTecnico=2,ROUND(Programa!D$46*'a)Plantilla'!$C48,RedondeoPersonalTecnico),ROUND(Programa!D$46*Hjor*'a)Plantilla'!$C48,RedondeoPersonalTecnico))),0)</f>
        <v>0</v>
      </c>
      <c r="AM97" s="6">
        <f>IF(Programa!D$47&gt;0,IF(TipoProgramaPersonalTecnico=1,ROUND(Programa!F$47*'a)Plantilla'!$C48,RedondeoPersonalTecnico),IF(TipoProgramaPersonalTecnico=2,ROUND(Programa!D$47*'a)Plantilla'!$C48,RedondeoPersonalTecnico),ROUND(Programa!D$47*Hjor*'a)Plantilla'!$C48,RedondeoPersonalTecnico))),0)</f>
        <v>0</v>
      </c>
      <c r="AN97" s="78">
        <f>IF(Programa!D$48&gt;0,IF(TipoProgramaPersonalTecnico=1,ROUND(Programa!F$48*'a)Plantilla'!$C48,RedondeoPersonalTecnico),IF(TipoProgramaPersonalTecnico=2,ROUND(Programa!D$48*'a)Plantilla'!$C48,RedondeoPersonalTecnico),ROUND(Programa!D$48*Hjor*'a)Plantilla'!$C48,RedondeoPersonalTecnico))),0)</f>
        <v>0</v>
      </c>
      <c r="AO97" s="27">
        <f>IF(Programa!D$49&gt;0,IF(TipoProgramaPersonalTecnico=1,ROUND(Programa!F$49*'a)Plantilla'!$C48,RedondeoPersonalTecnico),IF(TipoProgramaPersonalTecnico=2,ROUND(Programa!D$49*'a)Plantilla'!$C48,RedondeoPersonalTecnico),ROUND(Programa!D$49*Hjor*'a)Plantilla'!$C48,RedondeoPersonalTecnico))),0)</f>
        <v>0</v>
      </c>
      <c r="AP97" s="6">
        <f>IF(Programa!D$50&gt;0,IF(TipoProgramaPersonalTecnico=1,ROUND(Programa!F$50*'a)Plantilla'!$C48,RedondeoPersonalTecnico),IF(TipoProgramaPersonalTecnico=2,ROUND(Programa!D$50*'a)Plantilla'!$C48,RedondeoPersonalTecnico),ROUND(Programa!D$50*Hjor*'a)Plantilla'!$C48,RedondeoPersonalTecnico))),0)</f>
        <v>0</v>
      </c>
      <c r="AQ97" s="6">
        <f>IF(Programa!D$51&gt;0,IF(TipoProgramaPersonalTecnico=1,ROUND(Programa!F$51*'a)Plantilla'!$C48,RedondeoPersonalTecnico),IF(TipoProgramaPersonalTecnico=2,ROUND(Programa!D$51*'a)Plantilla'!$C48,RedondeoPersonalTecnico),ROUND(Programa!D$51*Hjor*'a)Plantilla'!$C48,RedondeoPersonalTecnico))),0)</f>
        <v>0</v>
      </c>
      <c r="AR97" s="6">
        <f>IF(Programa!D$52&gt;0,IF(TipoProgramaPersonalTecnico=1,ROUND(Programa!F$52*'a)Plantilla'!$C48,RedondeoPersonalTecnico),IF(TipoProgramaPersonalTecnico=2,ROUND(Programa!D$52*'a)Plantilla'!$C48,RedondeoPersonalTecnico),ROUND(Programa!D$52*Hjor*'a)Plantilla'!$C48,RedondeoPersonalTecnico))),0)</f>
        <v>0</v>
      </c>
      <c r="AS97" s="6">
        <f>IF(Programa!D$53&gt;0,IF(TipoProgramaPersonalTecnico=1,ROUND(Programa!F$53*'a)Plantilla'!$C48,RedondeoPersonalTecnico),IF(TipoProgramaPersonalTecnico=2,ROUND(Programa!D$53*'a)Plantilla'!$C48,RedondeoPersonalTecnico),ROUND(Programa!D$53*Hjor*'a)Plantilla'!$C48,RedondeoPersonalTecnico))),0)</f>
        <v>0</v>
      </c>
      <c r="AT97" s="6">
        <f>IF(Programa!D$54&gt;0,IF(TipoProgramaPersonalTecnico=1,ROUND(Programa!F$54*'a)Plantilla'!$C48,RedondeoPersonalTecnico),IF(TipoProgramaPersonalTecnico=2,ROUND(Programa!D$54*'a)Plantilla'!$C48,RedondeoPersonalTecnico),ROUND(Programa!D$54*Hjor*'a)Plantilla'!$C48,RedondeoPersonalTecnico))),0)</f>
        <v>0</v>
      </c>
      <c r="AU97" s="6">
        <f>IF(Programa!D$55&gt;0,IF(TipoProgramaPersonalTecnico=1,ROUND(Programa!F$55*'a)Plantilla'!$C48,RedondeoPersonalTecnico),IF(TipoProgramaPersonalTecnico=2,ROUND(Programa!D$55*'a)Plantilla'!$C48,RedondeoPersonalTecnico),ROUND(Programa!D$55*Hjor*'a)Plantilla'!$C48,RedondeoPersonalTecnico))),0)</f>
        <v>0</v>
      </c>
      <c r="AV97" s="6">
        <f>IF(Programa!D$56&gt;0,IF(TipoProgramaPersonalTecnico=1,ROUND(Programa!F$56*'a)Plantilla'!$C48,RedondeoPersonalTecnico),IF(TipoProgramaPersonalTecnico=2,ROUND(Programa!D$56*'a)Plantilla'!$C48,RedondeoPersonalTecnico),ROUND(Programa!D$56*Hjor*'a)Plantilla'!$C48,RedondeoPersonalTecnico))),0)</f>
        <v>0</v>
      </c>
      <c r="AW97" s="6">
        <f>IF(Programa!D$57&gt;0,IF(TipoProgramaPersonalTecnico=1,ROUND(Programa!F$57*'a)Plantilla'!$C48,RedondeoPersonalTecnico),IF(TipoProgramaPersonalTecnico=2,ROUND(Programa!D$57*'a)Plantilla'!$C48,RedondeoPersonalTecnico),ROUND(Programa!D$57*Hjor*'a)Plantilla'!$C48,RedondeoPersonalTecnico))),0)</f>
        <v>0</v>
      </c>
      <c r="AX97" s="6">
        <f>IF(Programa!D$58&gt;0,IF(TipoProgramaPersonalTecnico=1,ROUND(Programa!F$58*'a)Plantilla'!$C48,RedondeoPersonalTecnico),IF(TipoProgramaPersonalTecnico=2,ROUND(Programa!D$58*'a)Plantilla'!$C48,RedondeoPersonalTecnico),ROUND(Programa!D$58*Hjor*'a)Plantilla'!$C48,RedondeoPersonalTecnico))),0)</f>
        <v>0</v>
      </c>
      <c r="AY97" s="6">
        <f>IF(Programa!D$59&gt;0,IF(TipoProgramaPersonalTecnico=1,ROUND(Programa!F$59*'a)Plantilla'!$C48,RedondeoPersonalTecnico),IF(TipoProgramaPersonalTecnico=2,ROUND(Programa!D$59*'a)Plantilla'!$C48,RedondeoPersonalTecnico),ROUND(Programa!D$59*Hjor*'a)Plantilla'!$C48,RedondeoPersonalTecnico))),0)</f>
        <v>0</v>
      </c>
      <c r="AZ97" s="6">
        <f>IF(Programa!D$60&gt;0,IF(TipoProgramaPersonalTecnico=1,ROUND(Programa!F$60*'a)Plantilla'!$C48,RedondeoPersonalTecnico),IF(TipoProgramaPersonalTecnico=2,ROUND(Programa!D$60*'a)Plantilla'!$C48,RedondeoPersonalTecnico),ROUND(Programa!D$60*Hjor*'a)Plantilla'!$C48,RedondeoPersonalTecnico))),0)</f>
        <v>0</v>
      </c>
      <c r="BA97" s="6">
        <f>IF(Programa!D$61&gt;0,IF(TipoProgramaPersonalTecnico=1,ROUND(Programa!F$61*'a)Plantilla'!$C48,RedondeoPersonalTecnico),IF(TipoProgramaPersonalTecnico=2,ROUND(Programa!D$61*'a)Plantilla'!$C48,RedondeoPersonalTecnico),ROUND(Programa!D$61*Hjor*'a)Plantilla'!$C48,RedondeoPersonalTecnico))),0)</f>
        <v>0</v>
      </c>
      <c r="BB97" s="6">
        <f>IF(Programa!D$62&gt;0,IF(TipoProgramaPersonalTecnico=1,ROUND(Programa!F$62*'a)Plantilla'!$C48,RedondeoPersonalTecnico),IF(TipoProgramaPersonalTecnico=2,ROUND(Programa!D$62*'a)Plantilla'!$C48,RedondeoPersonalTecnico),ROUND(Programa!D$62*Hjor*'a)Plantilla'!$C48,RedondeoPersonalTecnico))),0)</f>
        <v>0</v>
      </c>
      <c r="BC97" s="6">
        <f>IF(Programa!D$63&gt;0,IF(TipoProgramaPersonalTecnico=1,ROUND(Programa!F$63*'a)Plantilla'!$C48,RedondeoPersonalTecnico),IF(TipoProgramaPersonalTecnico=2,ROUND(Programa!D$63*'a)Plantilla'!$C48,RedondeoPersonalTecnico),ROUND(Programa!D$63*Hjor*'a)Plantilla'!$C48,RedondeoPersonalTecnico))),0)</f>
        <v>0</v>
      </c>
      <c r="BD97" s="6">
        <f>IF(Programa!D$64&gt;0,IF(TipoProgramaPersonalTecnico=1,ROUND(Programa!F$64*'a)Plantilla'!$C48,RedondeoPersonalTecnico),IF(TipoProgramaPersonalTecnico=2,ROUND(Programa!D$64*'a)Plantilla'!$C48,RedondeoPersonalTecnico),ROUND(Programa!D$64*Hjor*'a)Plantilla'!$C48,RedondeoPersonalTecnico))),0)</f>
        <v>0</v>
      </c>
      <c r="BE97" s="6">
        <f>IF(Programa!D$65&gt;0,IF(TipoProgramaPersonalTecnico=1,ROUND(Programa!F$65*'a)Plantilla'!$C48,RedondeoPersonalTecnico),IF(TipoProgramaPersonalTecnico=2,ROUND(Programa!D$65*'a)Plantilla'!$C48,RedondeoPersonalTecnico),ROUND(Programa!D$65*Hjor*'a)Plantilla'!$C48,RedondeoPersonalTecnico))),0)</f>
        <v>0</v>
      </c>
      <c r="BF97" s="6">
        <f>IF(Programa!D$66&gt;0,IF(TipoProgramaPersonalTecnico=1,ROUND(Programa!F$66*'a)Plantilla'!$C48,RedondeoPersonalTecnico),IF(TipoProgramaPersonalTecnico=2,ROUND(Programa!D$66*'a)Plantilla'!$C48,RedondeoPersonalTecnico),ROUND(Programa!D$66*Hjor*'a)Plantilla'!$C48,RedondeoPersonalTecnico))),0)</f>
        <v>0</v>
      </c>
      <c r="BG97" s="6">
        <f>IF(Programa!D$67&gt;0,IF(TipoProgramaPersonalTecnico=1,ROUND(Programa!F$67*'a)Plantilla'!$C48,RedondeoPersonalTecnico),IF(TipoProgramaPersonalTecnico=2,ROUND(Programa!D$67*'a)Plantilla'!$C48,RedondeoPersonalTecnico),ROUND(Programa!D$67*Hjor*'a)Plantilla'!$C48,RedondeoPersonalTecnico))),0)</f>
        <v>0</v>
      </c>
      <c r="BH97" s="6">
        <f>IF(Programa!D$68&gt;0,IF(TipoProgramaPersonalTecnico=1,ROUND(Programa!F$68*'a)Plantilla'!$C48,RedondeoPersonalTecnico),IF(TipoProgramaPersonalTecnico=2,ROUND(Programa!D$68*'a)Plantilla'!$C48,RedondeoPersonalTecnico),ROUND(Programa!D$68*Hjor*'a)Plantilla'!$C48,RedondeoPersonalTecnico))),0)</f>
        <v>0</v>
      </c>
      <c r="BI97" s="6">
        <f>IF(Programa!D$69&gt;0,IF(TipoProgramaPersonalTecnico=1,ROUND(Programa!F$69*'a)Plantilla'!$C48,RedondeoPersonalTecnico),IF(TipoProgramaPersonalTecnico=2,ROUND(Programa!D$69*'a)Plantilla'!$C48,RedondeoPersonalTecnico),ROUND(Programa!D$69*Hjor*'a)Plantilla'!$C48,RedondeoPersonalTecnico))),0)</f>
        <v>0</v>
      </c>
      <c r="BJ97" s="6">
        <f>IF(Programa!D$70&gt;0,IF(TipoProgramaPersonalTecnico=1,ROUND(Programa!F$70*'a)Plantilla'!$C48,RedondeoPersonalTecnico),IF(TipoProgramaPersonalTecnico=2,ROUND(Programa!D$70*'a)Plantilla'!$C48,RedondeoPersonalTecnico),ROUND(Programa!D$70*Hjor*'a)Plantilla'!$C48,RedondeoPersonalTecnico))),0)</f>
        <v>0</v>
      </c>
      <c r="BK97" s="6">
        <f>IF(Programa!D$71&gt;0,IF(TipoProgramaPersonalTecnico=1,ROUND(Programa!F$71*'a)Plantilla'!$C48,RedondeoPersonalTecnico),IF(TipoProgramaPersonalTecnico=2,ROUND(Programa!D$71*'a)Plantilla'!$C48,RedondeoPersonalTecnico),ROUND(Programa!D$71*Hjor*'a)Plantilla'!$C48,RedondeoPersonalTecnico))),0)</f>
        <v>0</v>
      </c>
      <c r="BL97" s="78">
        <f>IF(Programa!D$72&gt;0,IF(TipoProgramaPersonalTecnico=1,ROUND(Programa!F$72*'a)Plantilla'!$C48,RedondeoPersonalTecnico),IF(TipoProgramaPersonalTecnico=2,ROUND(Programa!D$72*'a)Plantilla'!$C48,RedondeoPersonalTecnico),ROUND(Programa!D$72*Hjor*'a)Plantilla'!$C48,RedondeoPersonalTecnico))),0)</f>
        <v>0</v>
      </c>
    </row>
    <row r="98" spans="1:64" ht="8.1" customHeight="1">
      <c r="A98" s="133"/>
      <c r="B98" s="46"/>
      <c r="C98" s="31"/>
      <c r="D98" s="22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78"/>
      <c r="Q98" s="27"/>
      <c r="R98" s="6"/>
      <c r="S98" s="6"/>
      <c r="T98" s="6"/>
      <c r="U98" s="6"/>
      <c r="V98" s="6"/>
      <c r="W98" s="6"/>
      <c r="X98" s="6"/>
      <c r="Y98" s="6"/>
      <c r="Z98" s="6"/>
      <c r="AA98" s="6"/>
      <c r="AB98" s="78"/>
      <c r="AC98" s="27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78"/>
      <c r="AO98" s="27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78"/>
    </row>
    <row r="99" spans="1:64" ht="12.75" customHeight="1">
      <c r="A99" s="133"/>
      <c r="B99" s="46" t="str">
        <f>IF('a)Plantilla'!C49&gt;0,'a)Plantilla'!B49,"")</f>
        <v/>
      </c>
      <c r="C99" s="17" t="str">
        <f>IF('a)Plantilla'!C$49&gt;0,IF(TipoProgramaPersonalTecnico=1,"Personas",IF(TipoProgramaPersonalTecnico=2,"Jornal","horas-Hombre")),"")</f>
        <v/>
      </c>
      <c r="D99" s="226">
        <f>ROUND(SUM(E99:BL99),RedondeoPersonalTecnico)</f>
        <v>0</v>
      </c>
      <c r="E99" s="6">
        <f>IF(Programa!D$13&gt;0,IF(TipoProgramaPersonalTecnico=1,ROUND(Programa!F$13*'a)Plantilla'!$C49,RedondeoPersonalTecnico),IF(TipoProgramaPersonalTecnico=2,ROUND(Programa!D$13*'a)Plantilla'!$C49,RedondeoPersonalTecnico),ROUND(Programa!D$13*Hjor*'a)Plantilla'!$C49,RedondeoPersonalTecnico))),0)</f>
        <v>0</v>
      </c>
      <c r="F99" s="6">
        <f>IF(Programa!D$14&gt;0,IF(TipoProgramaPersonalTecnico=1,ROUND(Programa!F$14*'a)Plantilla'!$C49,RedondeoPersonalTecnico),IF(TipoProgramaPersonalTecnico=2,ROUND(Programa!D$14*'a)Plantilla'!$C49,RedondeoPersonalTecnico),ROUND(Programa!D$14*Hjor*'a)Plantilla'!$C49,RedondeoPersonalTecnico))),0)</f>
        <v>0</v>
      </c>
      <c r="G99" s="6">
        <f>IF(Programa!D$15&gt;0,IF(TipoProgramaPersonalTecnico=1,ROUND(Programa!F$15*'a)Plantilla'!$C49,RedondeoPersonalTecnico),IF(TipoProgramaPersonalTecnico=2,ROUND(Programa!D$15*'a)Plantilla'!$C49,RedondeoPersonalTecnico),ROUND(Programa!D$15*Hjor*'a)Plantilla'!$C49,RedondeoPersonalTecnico))),0)</f>
        <v>0</v>
      </c>
      <c r="H99" s="6">
        <f>IF(Programa!D$16&gt;0,IF(TipoProgramaPersonalTecnico=1,ROUND(Programa!F$16*'a)Plantilla'!$C49,RedondeoPersonalTecnico),IF(TipoProgramaPersonalTecnico=2,ROUND(Programa!D$16*'a)Plantilla'!$C49,RedondeoPersonalTecnico),ROUND(Programa!D$16*Hjor*'a)Plantilla'!$C49,RedondeoPersonalTecnico))),0)</f>
        <v>0</v>
      </c>
      <c r="I99" s="6">
        <f>IF(Programa!D$17&gt;0,IF(TipoProgramaPersonalTecnico=1,ROUND(Programa!F$17*'a)Plantilla'!$C49,RedondeoPersonalTecnico),IF(TipoProgramaPersonalTecnico=2,ROUND(Programa!D$17*'a)Plantilla'!$C49,RedondeoPersonalTecnico),ROUND(Programa!D$17*Hjor*'a)Plantilla'!$C49,RedondeoPersonalTecnico))),0)</f>
        <v>0</v>
      </c>
      <c r="J99" s="6">
        <f>IF(Programa!D$18&gt;0,IF(TipoProgramaPersonalTecnico=1,ROUND(Programa!F$18*'a)Plantilla'!$C49,RedondeoPersonalTecnico),IF(TipoProgramaPersonalTecnico=2,ROUND(Programa!D$18*'a)Plantilla'!$C49,RedondeoPersonalTecnico),ROUND(Programa!D$18*Hjor*'a)Plantilla'!$C49,RedondeoPersonalTecnico))),0)</f>
        <v>0</v>
      </c>
      <c r="K99" s="6">
        <f>IF(Programa!D$19&gt;0,IF(TipoProgramaPersonalTecnico=1,ROUND(Programa!F$19*'a)Plantilla'!$C49,RedondeoPersonalTecnico),IF(TipoProgramaPersonalTecnico=2,ROUND(Programa!D$19*'a)Plantilla'!$C49,RedondeoPersonalTecnico),ROUND(Programa!D$19*Hjor*'a)Plantilla'!$C49,RedondeoPersonalTecnico))),0)</f>
        <v>0</v>
      </c>
      <c r="L99" s="6">
        <f>IF(Programa!D$20&gt;0,IF(TipoProgramaPersonalTecnico=1,ROUND(Programa!F$20*'a)Plantilla'!$C49,RedondeoPersonalTecnico),IF(TipoProgramaPersonalTecnico=2,ROUND(Programa!D$20*'a)Plantilla'!$C49,RedondeoPersonalTecnico),ROUND(Programa!D$20*Hjor*'a)Plantilla'!$C49,RedondeoPersonalTecnico))),0)</f>
        <v>0</v>
      </c>
      <c r="M99" s="6">
        <f>IF(Programa!D$21&gt;0,IF(TipoProgramaPersonalTecnico=1,ROUND(Programa!F$21*'a)Plantilla'!$C49,RedondeoPersonalTecnico),IF(TipoProgramaPersonalTecnico=2,ROUND(Programa!D$21*'a)Plantilla'!$C49,RedondeoPersonalTecnico),ROUND(Programa!D$21*Hjor*'a)Plantilla'!$C49,RedondeoPersonalTecnico))),0)</f>
        <v>0</v>
      </c>
      <c r="N99" s="6">
        <f>IF(Programa!D$22&gt;0,IF(TipoProgramaPersonalTecnico=1,ROUND(Programa!F$22*'a)Plantilla'!$C49,RedondeoPersonalTecnico),IF(TipoProgramaPersonalTecnico=2,ROUND(Programa!D$22*'a)Plantilla'!$C49,RedondeoPersonalTecnico),ROUND(Programa!D$22*Hjor*'a)Plantilla'!$C49,RedondeoPersonalTecnico))),0)</f>
        <v>0</v>
      </c>
      <c r="O99" s="6">
        <f>IF(Programa!D$23&gt;0,IF(TipoProgramaPersonalTecnico=1,ROUND(Programa!F$23*'a)Plantilla'!$C49,RedondeoPersonalTecnico),IF(TipoProgramaPersonalTecnico=2,ROUND(Programa!D$23*'a)Plantilla'!$C49,RedondeoPersonalTecnico),ROUND(Programa!D$23*Hjor*'a)Plantilla'!$C49,RedondeoPersonalTecnico))),0)</f>
        <v>0</v>
      </c>
      <c r="P99" s="78">
        <f>IF(Programa!D$24&gt;0,IF(TipoProgramaPersonalTecnico=1,ROUND(Programa!F$24*'a)Plantilla'!$C49,RedondeoPersonalTecnico),IF(TipoProgramaPersonalTecnico=2,ROUND(Programa!D$24*'a)Plantilla'!$C49,RedondeoPersonalTecnico),ROUND(Programa!D$24*Hjor*'a)Plantilla'!$C49,RedondeoPersonalTecnico))),0)</f>
        <v>0</v>
      </c>
      <c r="Q99" s="27">
        <f>IF(Programa!D$25&gt;0,IF(TipoProgramaPersonalTecnico=1,ROUND(Programa!F$25*'a)Plantilla'!$C49,RedondeoPersonalTecnico),IF(TipoProgramaPersonalTecnico=2,ROUND(Programa!D$25*'a)Plantilla'!$C49,RedondeoPersonalTecnico),ROUND(Programa!D$25*Hjor*'a)Plantilla'!$C49,RedondeoPersonalTecnico))),0)</f>
        <v>0</v>
      </c>
      <c r="R99" s="6">
        <f>IF(Programa!D$26&gt;0,IF(TipoProgramaPersonalTecnico=1,ROUND(Programa!F$26*'a)Plantilla'!$C49,RedondeoPersonalTecnico),IF(TipoProgramaPersonalTecnico=2,ROUND(Programa!D$26*'a)Plantilla'!$C49,RedondeoPersonalTecnico),ROUND(Programa!D$26*Hjor*'a)Plantilla'!$C49,RedondeoPersonalTecnico))),0)</f>
        <v>0</v>
      </c>
      <c r="S99" s="6">
        <f>IF(Programa!D$27&gt;0,IF(TipoProgramaPersonalTecnico=1,ROUND(Programa!F$27*'a)Plantilla'!$C49,RedondeoPersonalTecnico),IF(TipoProgramaPersonalTecnico=2,ROUND(Programa!D$27*'a)Plantilla'!$C49,RedondeoPersonalTecnico),ROUND(Programa!D$27*Hjor*'a)Plantilla'!$C49,RedondeoPersonalTecnico))),0)</f>
        <v>0</v>
      </c>
      <c r="T99" s="6">
        <f>IF(Programa!D$28&gt;0,IF(TipoProgramaPersonalTecnico=1,ROUND(Programa!F$28*'a)Plantilla'!$C49,RedondeoPersonalTecnico),IF(TipoProgramaPersonalTecnico=2,ROUND(Programa!D$28*'a)Plantilla'!$C49,RedondeoPersonalTecnico),ROUND(Programa!D$28*Hjor*'a)Plantilla'!$C49,RedondeoPersonalTecnico))),0)</f>
        <v>0</v>
      </c>
      <c r="U99" s="6">
        <f>IF(Programa!D$29&gt;0,IF(TipoProgramaPersonalTecnico=1,ROUND(Programa!F$29*'a)Plantilla'!$C49,RedondeoPersonalTecnico),IF(TipoProgramaPersonalTecnico=2,ROUND(Programa!D$29*'a)Plantilla'!$C49,RedondeoPersonalTecnico),ROUND(Programa!D$29*Hjor*'a)Plantilla'!$C49,RedondeoPersonalTecnico))),0)</f>
        <v>0</v>
      </c>
      <c r="V99" s="6">
        <f>IF(Programa!D$30&gt;0,IF(TipoProgramaPersonalTecnico=1,ROUND(Programa!F$30*'a)Plantilla'!$C49,RedondeoPersonalTecnico),IF(TipoProgramaPersonalTecnico=2,ROUND(Programa!D$30*'a)Plantilla'!$C49,RedondeoPersonalTecnico),ROUND(Programa!D$30*Hjor*'a)Plantilla'!$C49,RedondeoPersonalTecnico))),0)</f>
        <v>0</v>
      </c>
      <c r="W99" s="6">
        <f>IF(Programa!D$31&gt;0,IF(TipoProgramaPersonalTecnico=1,ROUND(Programa!F$31*'a)Plantilla'!$C49,RedondeoPersonalTecnico),IF(TipoProgramaPersonalTecnico=2,ROUND(Programa!D$31*'a)Plantilla'!$C49,RedondeoPersonalTecnico),ROUND(Programa!D$31*Hjor*'a)Plantilla'!$C49,RedondeoPersonalTecnico))),0)</f>
        <v>0</v>
      </c>
      <c r="X99" s="6">
        <f>IF(Programa!D$32&gt;0,IF(TipoProgramaPersonalTecnico=1,ROUND(Programa!F$32*'a)Plantilla'!$C49,RedondeoPersonalTecnico),IF(TipoProgramaPersonalTecnico=2,ROUND(Programa!D$32*'a)Plantilla'!$C49,RedondeoPersonalTecnico),ROUND(Programa!D$32*Hjor*'a)Plantilla'!$C49,RedondeoPersonalTecnico))),0)</f>
        <v>0</v>
      </c>
      <c r="Y99" s="6">
        <f>IF(Programa!D$33&gt;0,IF(TipoProgramaPersonalTecnico=1,ROUND(Programa!F$33*'a)Plantilla'!$C49,RedondeoPersonalTecnico),IF(TipoProgramaPersonalTecnico=2,ROUND(Programa!D$33*'a)Plantilla'!$C49,RedondeoPersonalTecnico),ROUND(Programa!D$33*Hjor*'a)Plantilla'!$C49,RedondeoPersonalTecnico))),0)</f>
        <v>0</v>
      </c>
      <c r="Z99" s="6">
        <f>IF(Programa!D$34&gt;0,IF(TipoProgramaPersonalTecnico=1,ROUND(Programa!F$34*'a)Plantilla'!$C49,RedondeoPersonalTecnico),IF(TipoProgramaPersonalTecnico=2,ROUND(Programa!D$34*'a)Plantilla'!$C49,RedondeoPersonalTecnico),ROUND(Programa!D$34*Hjor*'a)Plantilla'!$C49,RedondeoPersonalTecnico))),0)</f>
        <v>0</v>
      </c>
      <c r="AA99" s="6">
        <f>IF(Programa!D$35&gt;0,IF(TipoProgramaPersonalTecnico=1,ROUND(Programa!F$35*'a)Plantilla'!$C49,RedondeoPersonalTecnico),IF(TipoProgramaPersonalTecnico=2,ROUND(Programa!D$35*'a)Plantilla'!$C49,RedondeoPersonalTecnico),ROUND(Programa!D$35*Hjor*'a)Plantilla'!$C49,RedondeoPersonalTecnico))),0)</f>
        <v>0</v>
      </c>
      <c r="AB99" s="78">
        <f>IF(Programa!D$36&gt;0,IF(TipoProgramaPersonalTecnico=1,ROUND(Programa!F$36*'a)Plantilla'!$C49,RedondeoPersonalTecnico),IF(TipoProgramaPersonalTecnico=2,ROUND(Programa!D$36*'a)Plantilla'!$C49,RedondeoPersonalTecnico),ROUND(Programa!D$36*Hjor*'a)Plantilla'!$C49,RedondeoPersonalTecnico))),0)</f>
        <v>0</v>
      </c>
      <c r="AC99" s="27">
        <f>IF(Programa!D$37&gt;0,IF(TipoProgramaPersonalTecnico=1,ROUND(Programa!F$37*'a)Plantilla'!$C49,RedondeoPersonalTecnico),IF(TipoProgramaPersonalTecnico=2,ROUND(Programa!D$37*'a)Plantilla'!$C49,RedondeoPersonalTecnico),ROUND(Programa!D$37*Hjor*'a)Plantilla'!$C49,RedondeoPersonalTecnico))),0)</f>
        <v>0</v>
      </c>
      <c r="AD99" s="6">
        <f>IF(Programa!D$38&gt;0,IF(TipoProgramaPersonalTecnico=1,ROUND(Programa!F$38*'a)Plantilla'!$C49,RedondeoPersonalTecnico),IF(TipoProgramaPersonalTecnico=2,ROUND(Programa!D$38*'a)Plantilla'!$C49,RedondeoPersonalTecnico),ROUND(Programa!D$38*Hjor*'a)Plantilla'!$C49,RedondeoPersonalTecnico))),0)</f>
        <v>0</v>
      </c>
      <c r="AE99" s="6">
        <f>IF(Programa!D$39&gt;0,IF(TipoProgramaPersonalTecnico=1,ROUND(Programa!F$39*'a)Plantilla'!$C49,RedondeoPersonalTecnico),IF(TipoProgramaPersonalTecnico=2,ROUND(Programa!D$39*'a)Plantilla'!$C49,RedondeoPersonalTecnico),ROUND(Programa!D$39*Hjor*'a)Plantilla'!$C49,RedondeoPersonalTecnico))),0)</f>
        <v>0</v>
      </c>
      <c r="AF99" s="6">
        <f>IF(Programa!D$40&gt;0,IF(TipoProgramaPersonalTecnico=1,ROUND(Programa!F$40*'a)Plantilla'!$C49,RedondeoPersonalTecnico),IF(TipoProgramaPersonalTecnico=2,ROUND(Programa!D$40*'a)Plantilla'!$C49,RedondeoPersonalTecnico),ROUND(Programa!D$40*Hjor*'a)Plantilla'!$C49,RedondeoPersonalTecnico))),0)</f>
        <v>0</v>
      </c>
      <c r="AG99" s="6">
        <f>IF(Programa!D$41&gt;0,IF(TipoProgramaPersonalTecnico=1,ROUND(Programa!F$41*'a)Plantilla'!$C49,RedondeoPersonalTecnico),IF(TipoProgramaPersonalTecnico=2,ROUND(Programa!D$41*'a)Plantilla'!$C49,RedondeoPersonalTecnico),ROUND(Programa!D$41*Hjor*'a)Plantilla'!$C49,RedondeoPersonalTecnico))),0)</f>
        <v>0</v>
      </c>
      <c r="AH99" s="6">
        <f>IF(Programa!D$42&gt;0,IF(TipoProgramaPersonalTecnico=1,ROUND(Programa!F$42*'a)Plantilla'!$C49,RedondeoPersonalTecnico),IF(TipoProgramaPersonalTecnico=2,ROUND(Programa!D$42*'a)Plantilla'!$C49,RedondeoPersonalTecnico),ROUND(Programa!D$42*Hjor*'a)Plantilla'!$C49,RedondeoPersonalTecnico))),0)</f>
        <v>0</v>
      </c>
      <c r="AI99" s="6">
        <f>IF(Programa!D$43&gt;0,IF(TipoProgramaPersonalTecnico=1,ROUND(Programa!F$43*'a)Plantilla'!$C49,RedondeoPersonalTecnico),IF(TipoProgramaPersonalTecnico=2,ROUND(Programa!D$43*'a)Plantilla'!$C49,RedondeoPersonalTecnico),ROUND(Programa!D$43*Hjor*'a)Plantilla'!$C49,RedondeoPersonalTecnico))),0)</f>
        <v>0</v>
      </c>
      <c r="AJ99" s="6">
        <f>IF(Programa!D$44&gt;0,IF(TipoProgramaPersonalTecnico=1,ROUND(Programa!F$44*'a)Plantilla'!$C49,RedondeoPersonalTecnico),IF(TipoProgramaPersonalTecnico=2,ROUND(Programa!D$44*'a)Plantilla'!$C49,RedondeoPersonalTecnico),ROUND(Programa!D$44*Hjor*'a)Plantilla'!$C49,RedondeoPersonalTecnico))),0)</f>
        <v>0</v>
      </c>
      <c r="AK99" s="6">
        <f>IF(Programa!D$45&gt;0,IF(TipoProgramaPersonalTecnico=1,ROUND(Programa!F$45*'a)Plantilla'!$C49,RedondeoPersonalTecnico),IF(TipoProgramaPersonalTecnico=2,ROUND(Programa!D$45*'a)Plantilla'!$C49,RedondeoPersonalTecnico),ROUND(Programa!D$45*Hjor*'a)Plantilla'!$C49,RedondeoPersonalTecnico))),0)</f>
        <v>0</v>
      </c>
      <c r="AL99" s="6">
        <f>IF(Programa!D$46&gt;0,IF(TipoProgramaPersonalTecnico=1,ROUND(Programa!F$46*'a)Plantilla'!$C49,RedondeoPersonalTecnico),IF(TipoProgramaPersonalTecnico=2,ROUND(Programa!D$46*'a)Plantilla'!$C49,RedondeoPersonalTecnico),ROUND(Programa!D$46*Hjor*'a)Plantilla'!$C49,RedondeoPersonalTecnico))),0)</f>
        <v>0</v>
      </c>
      <c r="AM99" s="6">
        <f>IF(Programa!D$47&gt;0,IF(TipoProgramaPersonalTecnico=1,ROUND(Programa!F$47*'a)Plantilla'!$C49,RedondeoPersonalTecnico),IF(TipoProgramaPersonalTecnico=2,ROUND(Programa!D$47*'a)Plantilla'!$C49,RedondeoPersonalTecnico),ROUND(Programa!D$47*Hjor*'a)Plantilla'!$C49,RedondeoPersonalTecnico))),0)</f>
        <v>0</v>
      </c>
      <c r="AN99" s="78">
        <f>IF(Programa!D$48&gt;0,IF(TipoProgramaPersonalTecnico=1,ROUND(Programa!F$48*'a)Plantilla'!$C49,RedondeoPersonalTecnico),IF(TipoProgramaPersonalTecnico=2,ROUND(Programa!D$48*'a)Plantilla'!$C49,RedondeoPersonalTecnico),ROUND(Programa!D$48*Hjor*'a)Plantilla'!$C49,RedondeoPersonalTecnico))),0)</f>
        <v>0</v>
      </c>
      <c r="AO99" s="27">
        <f>IF(Programa!D$49&gt;0,IF(TipoProgramaPersonalTecnico=1,ROUND(Programa!F$49*'a)Plantilla'!$C49,RedondeoPersonalTecnico),IF(TipoProgramaPersonalTecnico=2,ROUND(Programa!D$49*'a)Plantilla'!$C49,RedondeoPersonalTecnico),ROUND(Programa!D$49*Hjor*'a)Plantilla'!$C49,RedondeoPersonalTecnico))),0)</f>
        <v>0</v>
      </c>
      <c r="AP99" s="6">
        <f>IF(Programa!D$50&gt;0,IF(TipoProgramaPersonalTecnico=1,ROUND(Programa!F$50*'a)Plantilla'!$C49,RedondeoPersonalTecnico),IF(TipoProgramaPersonalTecnico=2,ROUND(Programa!D$50*'a)Plantilla'!$C49,RedondeoPersonalTecnico),ROUND(Programa!D$50*Hjor*'a)Plantilla'!$C49,RedondeoPersonalTecnico))),0)</f>
        <v>0</v>
      </c>
      <c r="AQ99" s="6">
        <f>IF(Programa!D$51&gt;0,IF(TipoProgramaPersonalTecnico=1,ROUND(Programa!F$51*'a)Plantilla'!$C49,RedondeoPersonalTecnico),IF(TipoProgramaPersonalTecnico=2,ROUND(Programa!D$51*'a)Plantilla'!$C49,RedondeoPersonalTecnico),ROUND(Programa!D$51*Hjor*'a)Plantilla'!$C49,RedondeoPersonalTecnico))),0)</f>
        <v>0</v>
      </c>
      <c r="AR99" s="6">
        <f>IF(Programa!D$52&gt;0,IF(TipoProgramaPersonalTecnico=1,ROUND(Programa!F$52*'a)Plantilla'!$C49,RedondeoPersonalTecnico),IF(TipoProgramaPersonalTecnico=2,ROUND(Programa!D$52*'a)Plantilla'!$C49,RedondeoPersonalTecnico),ROUND(Programa!D$52*Hjor*'a)Plantilla'!$C49,RedondeoPersonalTecnico))),0)</f>
        <v>0</v>
      </c>
      <c r="AS99" s="6">
        <f>IF(Programa!D$53&gt;0,IF(TipoProgramaPersonalTecnico=1,ROUND(Programa!F$53*'a)Plantilla'!$C49,RedondeoPersonalTecnico),IF(TipoProgramaPersonalTecnico=2,ROUND(Programa!D$53*'a)Plantilla'!$C49,RedondeoPersonalTecnico),ROUND(Programa!D$53*Hjor*'a)Plantilla'!$C49,RedondeoPersonalTecnico))),0)</f>
        <v>0</v>
      </c>
      <c r="AT99" s="6">
        <f>IF(Programa!D$54&gt;0,IF(TipoProgramaPersonalTecnico=1,ROUND(Programa!F$54*'a)Plantilla'!$C49,RedondeoPersonalTecnico),IF(TipoProgramaPersonalTecnico=2,ROUND(Programa!D$54*'a)Plantilla'!$C49,RedondeoPersonalTecnico),ROUND(Programa!D$54*Hjor*'a)Plantilla'!$C49,RedondeoPersonalTecnico))),0)</f>
        <v>0</v>
      </c>
      <c r="AU99" s="6">
        <f>IF(Programa!D$55&gt;0,IF(TipoProgramaPersonalTecnico=1,ROUND(Programa!F$55*'a)Plantilla'!$C49,RedondeoPersonalTecnico),IF(TipoProgramaPersonalTecnico=2,ROUND(Programa!D$55*'a)Plantilla'!$C49,RedondeoPersonalTecnico),ROUND(Programa!D$55*Hjor*'a)Plantilla'!$C49,RedondeoPersonalTecnico))),0)</f>
        <v>0</v>
      </c>
      <c r="AV99" s="6">
        <f>IF(Programa!D$56&gt;0,IF(TipoProgramaPersonalTecnico=1,ROUND(Programa!F$56*'a)Plantilla'!$C49,RedondeoPersonalTecnico),IF(TipoProgramaPersonalTecnico=2,ROUND(Programa!D$56*'a)Plantilla'!$C49,RedondeoPersonalTecnico),ROUND(Programa!D$56*Hjor*'a)Plantilla'!$C49,RedondeoPersonalTecnico))),0)</f>
        <v>0</v>
      </c>
      <c r="AW99" s="6">
        <f>IF(Programa!D$57&gt;0,IF(TipoProgramaPersonalTecnico=1,ROUND(Programa!F$57*'a)Plantilla'!$C49,RedondeoPersonalTecnico),IF(TipoProgramaPersonalTecnico=2,ROUND(Programa!D$57*'a)Plantilla'!$C49,RedondeoPersonalTecnico),ROUND(Programa!D$57*Hjor*'a)Plantilla'!$C49,RedondeoPersonalTecnico))),0)</f>
        <v>0</v>
      </c>
      <c r="AX99" s="6">
        <f>IF(Programa!D$58&gt;0,IF(TipoProgramaPersonalTecnico=1,ROUND(Programa!F$58*'a)Plantilla'!$C49,RedondeoPersonalTecnico),IF(TipoProgramaPersonalTecnico=2,ROUND(Programa!D$58*'a)Plantilla'!$C49,RedondeoPersonalTecnico),ROUND(Programa!D$58*Hjor*'a)Plantilla'!$C49,RedondeoPersonalTecnico))),0)</f>
        <v>0</v>
      </c>
      <c r="AY99" s="6">
        <f>IF(Programa!D$59&gt;0,IF(TipoProgramaPersonalTecnico=1,ROUND(Programa!F$59*'a)Plantilla'!$C49,RedondeoPersonalTecnico),IF(TipoProgramaPersonalTecnico=2,ROUND(Programa!D$59*'a)Plantilla'!$C49,RedondeoPersonalTecnico),ROUND(Programa!D$59*Hjor*'a)Plantilla'!$C49,RedondeoPersonalTecnico))),0)</f>
        <v>0</v>
      </c>
      <c r="AZ99" s="6">
        <f>IF(Programa!D$60&gt;0,IF(TipoProgramaPersonalTecnico=1,ROUND(Programa!F$60*'a)Plantilla'!$C49,RedondeoPersonalTecnico),IF(TipoProgramaPersonalTecnico=2,ROUND(Programa!D$60*'a)Plantilla'!$C49,RedondeoPersonalTecnico),ROUND(Programa!D$60*Hjor*'a)Plantilla'!$C49,RedondeoPersonalTecnico))),0)</f>
        <v>0</v>
      </c>
      <c r="BA99" s="6">
        <f>IF(Programa!D$61&gt;0,IF(TipoProgramaPersonalTecnico=1,ROUND(Programa!F$61*'a)Plantilla'!$C49,RedondeoPersonalTecnico),IF(TipoProgramaPersonalTecnico=2,ROUND(Programa!D$61*'a)Plantilla'!$C49,RedondeoPersonalTecnico),ROUND(Programa!D$61*Hjor*'a)Plantilla'!$C49,RedondeoPersonalTecnico))),0)</f>
        <v>0</v>
      </c>
      <c r="BB99" s="6">
        <f>IF(Programa!D$62&gt;0,IF(TipoProgramaPersonalTecnico=1,ROUND(Programa!F$62*'a)Plantilla'!$C49,RedondeoPersonalTecnico),IF(TipoProgramaPersonalTecnico=2,ROUND(Programa!D$62*'a)Plantilla'!$C49,RedondeoPersonalTecnico),ROUND(Programa!D$62*Hjor*'a)Plantilla'!$C49,RedondeoPersonalTecnico))),0)</f>
        <v>0</v>
      </c>
      <c r="BC99" s="6">
        <f>IF(Programa!D$63&gt;0,IF(TipoProgramaPersonalTecnico=1,ROUND(Programa!F$63*'a)Plantilla'!$C49,RedondeoPersonalTecnico),IF(TipoProgramaPersonalTecnico=2,ROUND(Programa!D$63*'a)Plantilla'!$C49,RedondeoPersonalTecnico),ROUND(Programa!D$63*Hjor*'a)Plantilla'!$C49,RedondeoPersonalTecnico))),0)</f>
        <v>0</v>
      </c>
      <c r="BD99" s="6">
        <f>IF(Programa!D$64&gt;0,IF(TipoProgramaPersonalTecnico=1,ROUND(Programa!F$64*'a)Plantilla'!$C49,RedondeoPersonalTecnico),IF(TipoProgramaPersonalTecnico=2,ROUND(Programa!D$64*'a)Plantilla'!$C49,RedondeoPersonalTecnico),ROUND(Programa!D$64*Hjor*'a)Plantilla'!$C49,RedondeoPersonalTecnico))),0)</f>
        <v>0</v>
      </c>
      <c r="BE99" s="6">
        <f>IF(Programa!D$65&gt;0,IF(TipoProgramaPersonalTecnico=1,ROUND(Programa!F$65*'a)Plantilla'!$C49,RedondeoPersonalTecnico),IF(TipoProgramaPersonalTecnico=2,ROUND(Programa!D$65*'a)Plantilla'!$C49,RedondeoPersonalTecnico),ROUND(Programa!D$65*Hjor*'a)Plantilla'!$C49,RedondeoPersonalTecnico))),0)</f>
        <v>0</v>
      </c>
      <c r="BF99" s="6">
        <f>IF(Programa!D$66&gt;0,IF(TipoProgramaPersonalTecnico=1,ROUND(Programa!F$66*'a)Plantilla'!$C49,RedondeoPersonalTecnico),IF(TipoProgramaPersonalTecnico=2,ROUND(Programa!D$66*'a)Plantilla'!$C49,RedondeoPersonalTecnico),ROUND(Programa!D$66*Hjor*'a)Plantilla'!$C49,RedondeoPersonalTecnico))),0)</f>
        <v>0</v>
      </c>
      <c r="BG99" s="6">
        <f>IF(Programa!D$67&gt;0,IF(TipoProgramaPersonalTecnico=1,ROUND(Programa!F$67*'a)Plantilla'!$C49,RedondeoPersonalTecnico),IF(TipoProgramaPersonalTecnico=2,ROUND(Programa!D$67*'a)Plantilla'!$C49,RedondeoPersonalTecnico),ROUND(Programa!D$67*Hjor*'a)Plantilla'!$C49,RedondeoPersonalTecnico))),0)</f>
        <v>0</v>
      </c>
      <c r="BH99" s="6">
        <f>IF(Programa!D$68&gt;0,IF(TipoProgramaPersonalTecnico=1,ROUND(Programa!F$68*'a)Plantilla'!$C49,RedondeoPersonalTecnico),IF(TipoProgramaPersonalTecnico=2,ROUND(Programa!D$68*'a)Plantilla'!$C49,RedondeoPersonalTecnico),ROUND(Programa!D$68*Hjor*'a)Plantilla'!$C49,RedondeoPersonalTecnico))),0)</f>
        <v>0</v>
      </c>
      <c r="BI99" s="6">
        <f>IF(Programa!D$69&gt;0,IF(TipoProgramaPersonalTecnico=1,ROUND(Programa!F$69*'a)Plantilla'!$C49,RedondeoPersonalTecnico),IF(TipoProgramaPersonalTecnico=2,ROUND(Programa!D$69*'a)Plantilla'!$C49,RedondeoPersonalTecnico),ROUND(Programa!D$69*Hjor*'a)Plantilla'!$C49,RedondeoPersonalTecnico))),0)</f>
        <v>0</v>
      </c>
      <c r="BJ99" s="6">
        <f>IF(Programa!D$70&gt;0,IF(TipoProgramaPersonalTecnico=1,ROUND(Programa!F$70*'a)Plantilla'!$C49,RedondeoPersonalTecnico),IF(TipoProgramaPersonalTecnico=2,ROUND(Programa!D$70*'a)Plantilla'!$C49,RedondeoPersonalTecnico),ROUND(Programa!D$70*Hjor*'a)Plantilla'!$C49,RedondeoPersonalTecnico))),0)</f>
        <v>0</v>
      </c>
      <c r="BK99" s="6">
        <f>IF(Programa!D$71&gt;0,IF(TipoProgramaPersonalTecnico=1,ROUND(Programa!F$71*'a)Plantilla'!$C49,RedondeoPersonalTecnico),IF(TipoProgramaPersonalTecnico=2,ROUND(Programa!D$71*'a)Plantilla'!$C49,RedondeoPersonalTecnico),ROUND(Programa!D$71*Hjor*'a)Plantilla'!$C49,RedondeoPersonalTecnico))),0)</f>
        <v>0</v>
      </c>
      <c r="BL99" s="78">
        <f>IF(Programa!D$72&gt;0,IF(TipoProgramaPersonalTecnico=1,ROUND(Programa!F$72*'a)Plantilla'!$C49,RedondeoPersonalTecnico),IF(TipoProgramaPersonalTecnico=2,ROUND(Programa!D$72*'a)Plantilla'!$C49,RedondeoPersonalTecnico),ROUND(Programa!D$72*Hjor*'a)Plantilla'!$C49,RedondeoPersonalTecnico))),0)</f>
        <v>0</v>
      </c>
    </row>
    <row r="100" spans="1:64" ht="8.1" customHeight="1">
      <c r="A100" s="133"/>
      <c r="B100" s="46"/>
      <c r="C100" s="31"/>
      <c r="D100" s="22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78"/>
      <c r="Q100" s="27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78"/>
      <c r="AC100" s="27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78"/>
      <c r="AO100" s="27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78"/>
    </row>
    <row r="101" spans="1:64" ht="12.75" customHeight="1">
      <c r="A101" s="133"/>
      <c r="B101" s="46" t="str">
        <f>IF('a)Plantilla'!C50&gt;0,'a)Plantilla'!B50,"")</f>
        <v/>
      </c>
      <c r="C101" s="17" t="str">
        <f>IF('a)Plantilla'!C$50&gt;0,IF(TipoProgramaPersonalTecnico=1,"Personas",IF(TipoProgramaPersonalTecnico=2,"Jornal","horas-Hombre")),"")</f>
        <v/>
      </c>
      <c r="D101" s="226">
        <f>ROUND(SUM(E101:BL101),RedondeoPersonalTecnico)</f>
        <v>0</v>
      </c>
      <c r="E101" s="6">
        <f>IF(Programa!D$13&gt;0,IF(TipoProgramaPersonalTecnico=1,ROUND(Programa!F$13*'a)Plantilla'!$C50,RedondeoPersonalTecnico),IF(TipoProgramaPersonalTecnico=2,ROUND(Programa!D$13*'a)Plantilla'!$C50,RedondeoPersonalTecnico),ROUND(Programa!D$13*Hjor*'a)Plantilla'!$C50,RedondeoPersonalTecnico))),0)</f>
        <v>0</v>
      </c>
      <c r="F101" s="6">
        <f>IF(Programa!D$14&gt;0,IF(TipoProgramaPersonalTecnico=1,ROUND(Programa!F$14*'a)Plantilla'!$C50,RedondeoPersonalTecnico),IF(TipoProgramaPersonalTecnico=2,ROUND(Programa!D$14*'a)Plantilla'!$C50,RedondeoPersonalTecnico),ROUND(Programa!D$14*Hjor*'a)Plantilla'!$C50,RedondeoPersonalTecnico))),0)</f>
        <v>0</v>
      </c>
      <c r="G101" s="6">
        <f>IF(Programa!D$15&gt;0,IF(TipoProgramaPersonalTecnico=1,ROUND(Programa!F$15*'a)Plantilla'!$C50,RedondeoPersonalTecnico),IF(TipoProgramaPersonalTecnico=2,ROUND(Programa!D$15*'a)Plantilla'!$C50,RedondeoPersonalTecnico),ROUND(Programa!D$15*Hjor*'a)Plantilla'!$C50,RedondeoPersonalTecnico))),0)</f>
        <v>0</v>
      </c>
      <c r="H101" s="6">
        <f>IF(Programa!D$16&gt;0,IF(TipoProgramaPersonalTecnico=1,ROUND(Programa!F$16*'a)Plantilla'!$C50,RedondeoPersonalTecnico),IF(TipoProgramaPersonalTecnico=2,ROUND(Programa!D$16*'a)Plantilla'!$C50,RedondeoPersonalTecnico),ROUND(Programa!D$16*Hjor*'a)Plantilla'!$C50,RedondeoPersonalTecnico))),0)</f>
        <v>0</v>
      </c>
      <c r="I101" s="6">
        <f>IF(Programa!D$17&gt;0,IF(TipoProgramaPersonalTecnico=1,ROUND(Programa!F$17*'a)Plantilla'!$C50,RedondeoPersonalTecnico),IF(TipoProgramaPersonalTecnico=2,ROUND(Programa!D$17*'a)Plantilla'!$C50,RedondeoPersonalTecnico),ROUND(Programa!D$17*Hjor*'a)Plantilla'!$C50,RedondeoPersonalTecnico))),0)</f>
        <v>0</v>
      </c>
      <c r="J101" s="6">
        <f>IF(Programa!D$18&gt;0,IF(TipoProgramaPersonalTecnico=1,ROUND(Programa!F$18*'a)Plantilla'!$C50,RedondeoPersonalTecnico),IF(TipoProgramaPersonalTecnico=2,ROUND(Programa!D$18*'a)Plantilla'!$C50,RedondeoPersonalTecnico),ROUND(Programa!D$18*Hjor*'a)Plantilla'!$C50,RedondeoPersonalTecnico))),0)</f>
        <v>0</v>
      </c>
      <c r="K101" s="6">
        <f>IF(Programa!D$19&gt;0,IF(TipoProgramaPersonalTecnico=1,ROUND(Programa!F$19*'a)Plantilla'!$C50,RedondeoPersonalTecnico),IF(TipoProgramaPersonalTecnico=2,ROUND(Programa!D$19*'a)Plantilla'!$C50,RedondeoPersonalTecnico),ROUND(Programa!D$19*Hjor*'a)Plantilla'!$C50,RedondeoPersonalTecnico))),0)</f>
        <v>0</v>
      </c>
      <c r="L101" s="6">
        <f>IF(Programa!D$20&gt;0,IF(TipoProgramaPersonalTecnico=1,ROUND(Programa!F$20*'a)Plantilla'!$C50,RedondeoPersonalTecnico),IF(TipoProgramaPersonalTecnico=2,ROUND(Programa!D$20*'a)Plantilla'!$C50,RedondeoPersonalTecnico),ROUND(Programa!D$20*Hjor*'a)Plantilla'!$C50,RedondeoPersonalTecnico))),0)</f>
        <v>0</v>
      </c>
      <c r="M101" s="6">
        <f>IF(Programa!D$21&gt;0,IF(TipoProgramaPersonalTecnico=1,ROUND(Programa!F$21*'a)Plantilla'!$C50,RedondeoPersonalTecnico),IF(TipoProgramaPersonalTecnico=2,ROUND(Programa!D$21*'a)Plantilla'!$C50,RedondeoPersonalTecnico),ROUND(Programa!D$21*Hjor*'a)Plantilla'!$C50,RedondeoPersonalTecnico))),0)</f>
        <v>0</v>
      </c>
      <c r="N101" s="6">
        <f>IF(Programa!D$22&gt;0,IF(TipoProgramaPersonalTecnico=1,ROUND(Programa!F$22*'a)Plantilla'!$C50,RedondeoPersonalTecnico),IF(TipoProgramaPersonalTecnico=2,ROUND(Programa!D$22*'a)Plantilla'!$C50,RedondeoPersonalTecnico),ROUND(Programa!D$22*Hjor*'a)Plantilla'!$C50,RedondeoPersonalTecnico))),0)</f>
        <v>0</v>
      </c>
      <c r="O101" s="6">
        <f>IF(Programa!D$23&gt;0,IF(TipoProgramaPersonalTecnico=1,ROUND(Programa!F$23*'a)Plantilla'!$C50,RedondeoPersonalTecnico),IF(TipoProgramaPersonalTecnico=2,ROUND(Programa!D$23*'a)Plantilla'!$C50,RedondeoPersonalTecnico),ROUND(Programa!D$23*Hjor*'a)Plantilla'!$C50,RedondeoPersonalTecnico))),0)</f>
        <v>0</v>
      </c>
      <c r="P101" s="78">
        <f>IF(Programa!D$24&gt;0,IF(TipoProgramaPersonalTecnico=1,ROUND(Programa!F$24*'a)Plantilla'!$C50,RedondeoPersonalTecnico),IF(TipoProgramaPersonalTecnico=2,ROUND(Programa!D$24*'a)Plantilla'!$C50,RedondeoPersonalTecnico),ROUND(Programa!D$24*Hjor*'a)Plantilla'!$C50,RedondeoPersonalTecnico))),0)</f>
        <v>0</v>
      </c>
      <c r="Q101" s="27">
        <f>IF(Programa!D$25&gt;0,IF(TipoProgramaPersonalTecnico=1,ROUND(Programa!F$25*'a)Plantilla'!$C50,RedondeoPersonalTecnico),IF(TipoProgramaPersonalTecnico=2,ROUND(Programa!D$25*'a)Plantilla'!$C50,RedondeoPersonalTecnico),ROUND(Programa!D$25*Hjor*'a)Plantilla'!$C50,RedondeoPersonalTecnico))),0)</f>
        <v>0</v>
      </c>
      <c r="R101" s="6">
        <f>IF(Programa!D$26&gt;0,IF(TipoProgramaPersonalTecnico=1,ROUND(Programa!F$26*'a)Plantilla'!$C50,RedondeoPersonalTecnico),IF(TipoProgramaPersonalTecnico=2,ROUND(Programa!D$26*'a)Plantilla'!$C50,RedondeoPersonalTecnico),ROUND(Programa!D$26*Hjor*'a)Plantilla'!$C50,RedondeoPersonalTecnico))),0)</f>
        <v>0</v>
      </c>
      <c r="S101" s="6">
        <f>IF(Programa!D$27&gt;0,IF(TipoProgramaPersonalTecnico=1,ROUND(Programa!F$27*'a)Plantilla'!$C50,RedondeoPersonalTecnico),IF(TipoProgramaPersonalTecnico=2,ROUND(Programa!D$27*'a)Plantilla'!$C50,RedondeoPersonalTecnico),ROUND(Programa!D$27*Hjor*'a)Plantilla'!$C50,RedondeoPersonalTecnico))),0)</f>
        <v>0</v>
      </c>
      <c r="T101" s="6">
        <f>IF(Programa!D$28&gt;0,IF(TipoProgramaPersonalTecnico=1,ROUND(Programa!F$28*'a)Plantilla'!$C50,RedondeoPersonalTecnico),IF(TipoProgramaPersonalTecnico=2,ROUND(Programa!D$28*'a)Plantilla'!$C50,RedondeoPersonalTecnico),ROUND(Programa!D$28*Hjor*'a)Plantilla'!$C50,RedondeoPersonalTecnico))),0)</f>
        <v>0</v>
      </c>
      <c r="U101" s="6">
        <f>IF(Programa!D$29&gt;0,IF(TipoProgramaPersonalTecnico=1,ROUND(Programa!F$29*'a)Plantilla'!$C50,RedondeoPersonalTecnico),IF(TipoProgramaPersonalTecnico=2,ROUND(Programa!D$29*'a)Plantilla'!$C50,RedondeoPersonalTecnico),ROUND(Programa!D$29*Hjor*'a)Plantilla'!$C50,RedondeoPersonalTecnico))),0)</f>
        <v>0</v>
      </c>
      <c r="V101" s="6">
        <f>IF(Programa!D$30&gt;0,IF(TipoProgramaPersonalTecnico=1,ROUND(Programa!F$30*'a)Plantilla'!$C50,RedondeoPersonalTecnico),IF(TipoProgramaPersonalTecnico=2,ROUND(Programa!D$30*'a)Plantilla'!$C50,RedondeoPersonalTecnico),ROUND(Programa!D$30*Hjor*'a)Plantilla'!$C50,RedondeoPersonalTecnico))),0)</f>
        <v>0</v>
      </c>
      <c r="W101" s="6">
        <f>IF(Programa!D$31&gt;0,IF(TipoProgramaPersonalTecnico=1,ROUND(Programa!F$31*'a)Plantilla'!$C50,RedondeoPersonalTecnico),IF(TipoProgramaPersonalTecnico=2,ROUND(Programa!D$31*'a)Plantilla'!$C50,RedondeoPersonalTecnico),ROUND(Programa!D$31*Hjor*'a)Plantilla'!$C50,RedondeoPersonalTecnico))),0)</f>
        <v>0</v>
      </c>
      <c r="X101" s="6">
        <f>IF(Programa!D$32&gt;0,IF(TipoProgramaPersonalTecnico=1,ROUND(Programa!F$32*'a)Plantilla'!$C50,RedondeoPersonalTecnico),IF(TipoProgramaPersonalTecnico=2,ROUND(Programa!D$32*'a)Plantilla'!$C50,RedondeoPersonalTecnico),ROUND(Programa!D$32*Hjor*'a)Plantilla'!$C50,RedondeoPersonalTecnico))),0)</f>
        <v>0</v>
      </c>
      <c r="Y101" s="6">
        <f>IF(Programa!D$33&gt;0,IF(TipoProgramaPersonalTecnico=1,ROUND(Programa!F$33*'a)Plantilla'!$C50,RedondeoPersonalTecnico),IF(TipoProgramaPersonalTecnico=2,ROUND(Programa!D$33*'a)Plantilla'!$C50,RedondeoPersonalTecnico),ROUND(Programa!D$33*Hjor*'a)Plantilla'!$C50,RedondeoPersonalTecnico))),0)</f>
        <v>0</v>
      </c>
      <c r="Z101" s="6">
        <f>IF(Programa!D$34&gt;0,IF(TipoProgramaPersonalTecnico=1,ROUND(Programa!F$34*'a)Plantilla'!$C50,RedondeoPersonalTecnico),IF(TipoProgramaPersonalTecnico=2,ROUND(Programa!D$34*'a)Plantilla'!$C50,RedondeoPersonalTecnico),ROUND(Programa!D$34*Hjor*'a)Plantilla'!$C50,RedondeoPersonalTecnico))),0)</f>
        <v>0</v>
      </c>
      <c r="AA101" s="6">
        <f>IF(Programa!D$35&gt;0,IF(TipoProgramaPersonalTecnico=1,ROUND(Programa!F$35*'a)Plantilla'!$C50,RedondeoPersonalTecnico),IF(TipoProgramaPersonalTecnico=2,ROUND(Programa!D$35*'a)Plantilla'!$C50,RedondeoPersonalTecnico),ROUND(Programa!D$35*Hjor*'a)Plantilla'!$C50,RedondeoPersonalTecnico))),0)</f>
        <v>0</v>
      </c>
      <c r="AB101" s="78">
        <f>IF(Programa!D$36&gt;0,IF(TipoProgramaPersonalTecnico=1,ROUND(Programa!F$36*'a)Plantilla'!$C50,RedondeoPersonalTecnico),IF(TipoProgramaPersonalTecnico=2,ROUND(Programa!D$36*'a)Plantilla'!$C50,RedondeoPersonalTecnico),ROUND(Programa!D$36*Hjor*'a)Plantilla'!$C50,RedondeoPersonalTecnico))),0)</f>
        <v>0</v>
      </c>
      <c r="AC101" s="27">
        <f>IF(Programa!D$37&gt;0,IF(TipoProgramaPersonalTecnico=1,ROUND(Programa!F$37*'a)Plantilla'!$C50,RedondeoPersonalTecnico),IF(TipoProgramaPersonalTecnico=2,ROUND(Programa!D$37*'a)Plantilla'!$C50,RedondeoPersonalTecnico),ROUND(Programa!D$37*Hjor*'a)Plantilla'!$C50,RedondeoPersonalTecnico))),0)</f>
        <v>0</v>
      </c>
      <c r="AD101" s="6">
        <f>IF(Programa!D$38&gt;0,IF(TipoProgramaPersonalTecnico=1,ROUND(Programa!F$38*'a)Plantilla'!$C50,RedondeoPersonalTecnico),IF(TipoProgramaPersonalTecnico=2,ROUND(Programa!D$38*'a)Plantilla'!$C50,RedondeoPersonalTecnico),ROUND(Programa!D$38*Hjor*'a)Plantilla'!$C50,RedondeoPersonalTecnico))),0)</f>
        <v>0</v>
      </c>
      <c r="AE101" s="6">
        <f>IF(Programa!D$39&gt;0,IF(TipoProgramaPersonalTecnico=1,ROUND(Programa!F$39*'a)Plantilla'!$C50,RedondeoPersonalTecnico),IF(TipoProgramaPersonalTecnico=2,ROUND(Programa!D$39*'a)Plantilla'!$C50,RedondeoPersonalTecnico),ROUND(Programa!D$39*Hjor*'a)Plantilla'!$C50,RedondeoPersonalTecnico))),0)</f>
        <v>0</v>
      </c>
      <c r="AF101" s="6">
        <f>IF(Programa!D$40&gt;0,IF(TipoProgramaPersonalTecnico=1,ROUND(Programa!F$40*'a)Plantilla'!$C50,RedondeoPersonalTecnico),IF(TipoProgramaPersonalTecnico=2,ROUND(Programa!D$40*'a)Plantilla'!$C50,RedondeoPersonalTecnico),ROUND(Programa!D$40*Hjor*'a)Plantilla'!$C50,RedondeoPersonalTecnico))),0)</f>
        <v>0</v>
      </c>
      <c r="AG101" s="6">
        <f>IF(Programa!D$41&gt;0,IF(TipoProgramaPersonalTecnico=1,ROUND(Programa!F$41*'a)Plantilla'!$C50,RedondeoPersonalTecnico),IF(TipoProgramaPersonalTecnico=2,ROUND(Programa!D$41*'a)Plantilla'!$C50,RedondeoPersonalTecnico),ROUND(Programa!D$41*Hjor*'a)Plantilla'!$C50,RedondeoPersonalTecnico))),0)</f>
        <v>0</v>
      </c>
      <c r="AH101" s="6">
        <f>IF(Programa!D$42&gt;0,IF(TipoProgramaPersonalTecnico=1,ROUND(Programa!F$42*'a)Plantilla'!$C50,RedondeoPersonalTecnico),IF(TipoProgramaPersonalTecnico=2,ROUND(Programa!D$42*'a)Plantilla'!$C50,RedondeoPersonalTecnico),ROUND(Programa!D$42*Hjor*'a)Plantilla'!$C50,RedondeoPersonalTecnico))),0)</f>
        <v>0</v>
      </c>
      <c r="AI101" s="6">
        <f>IF(Programa!D$43&gt;0,IF(TipoProgramaPersonalTecnico=1,ROUND(Programa!F$43*'a)Plantilla'!$C50,RedondeoPersonalTecnico),IF(TipoProgramaPersonalTecnico=2,ROUND(Programa!D$43*'a)Plantilla'!$C50,RedondeoPersonalTecnico),ROUND(Programa!D$43*Hjor*'a)Plantilla'!$C50,RedondeoPersonalTecnico))),0)</f>
        <v>0</v>
      </c>
      <c r="AJ101" s="6">
        <f>IF(Programa!D$44&gt;0,IF(TipoProgramaPersonalTecnico=1,ROUND(Programa!F$44*'a)Plantilla'!$C50,RedondeoPersonalTecnico),IF(TipoProgramaPersonalTecnico=2,ROUND(Programa!D$44*'a)Plantilla'!$C50,RedondeoPersonalTecnico),ROUND(Programa!D$44*Hjor*'a)Plantilla'!$C50,RedondeoPersonalTecnico))),0)</f>
        <v>0</v>
      </c>
      <c r="AK101" s="6">
        <f>IF(Programa!D$45&gt;0,IF(TipoProgramaPersonalTecnico=1,ROUND(Programa!F$45*'a)Plantilla'!$C50,RedondeoPersonalTecnico),IF(TipoProgramaPersonalTecnico=2,ROUND(Programa!D$45*'a)Plantilla'!$C50,RedondeoPersonalTecnico),ROUND(Programa!D$45*Hjor*'a)Plantilla'!$C50,RedondeoPersonalTecnico))),0)</f>
        <v>0</v>
      </c>
      <c r="AL101" s="6">
        <f>IF(Programa!D$46&gt;0,IF(TipoProgramaPersonalTecnico=1,ROUND(Programa!F$46*'a)Plantilla'!$C50,RedondeoPersonalTecnico),IF(TipoProgramaPersonalTecnico=2,ROUND(Programa!D$46*'a)Plantilla'!$C50,RedondeoPersonalTecnico),ROUND(Programa!D$46*Hjor*'a)Plantilla'!$C50,RedondeoPersonalTecnico))),0)</f>
        <v>0</v>
      </c>
      <c r="AM101" s="6">
        <f>IF(Programa!D$47&gt;0,IF(TipoProgramaPersonalTecnico=1,ROUND(Programa!F$47*'a)Plantilla'!$C50,RedondeoPersonalTecnico),IF(TipoProgramaPersonalTecnico=2,ROUND(Programa!D$47*'a)Plantilla'!$C50,RedondeoPersonalTecnico),ROUND(Programa!D$47*Hjor*'a)Plantilla'!$C50,RedondeoPersonalTecnico))),0)</f>
        <v>0</v>
      </c>
      <c r="AN101" s="78">
        <f>IF(Programa!D$48&gt;0,IF(TipoProgramaPersonalTecnico=1,ROUND(Programa!F$48*'a)Plantilla'!$C50,RedondeoPersonalTecnico),IF(TipoProgramaPersonalTecnico=2,ROUND(Programa!D$48*'a)Plantilla'!$C50,RedondeoPersonalTecnico),ROUND(Programa!D$48*Hjor*'a)Plantilla'!$C50,RedondeoPersonalTecnico))),0)</f>
        <v>0</v>
      </c>
      <c r="AO101" s="27">
        <f>IF(Programa!D$49&gt;0,IF(TipoProgramaPersonalTecnico=1,ROUND(Programa!F$49*'a)Plantilla'!$C50,RedondeoPersonalTecnico),IF(TipoProgramaPersonalTecnico=2,ROUND(Programa!D$49*'a)Plantilla'!$C50,RedondeoPersonalTecnico),ROUND(Programa!D$49*Hjor*'a)Plantilla'!$C50,RedondeoPersonalTecnico))),0)</f>
        <v>0</v>
      </c>
      <c r="AP101" s="6">
        <f>IF(Programa!D$50&gt;0,IF(TipoProgramaPersonalTecnico=1,ROUND(Programa!F$50*'a)Plantilla'!$C50,RedondeoPersonalTecnico),IF(TipoProgramaPersonalTecnico=2,ROUND(Programa!D$50*'a)Plantilla'!$C50,RedondeoPersonalTecnico),ROUND(Programa!D$50*Hjor*'a)Plantilla'!$C50,RedondeoPersonalTecnico))),0)</f>
        <v>0</v>
      </c>
      <c r="AQ101" s="6">
        <f>IF(Programa!D$51&gt;0,IF(TipoProgramaPersonalTecnico=1,ROUND(Programa!F$51*'a)Plantilla'!$C50,RedondeoPersonalTecnico),IF(TipoProgramaPersonalTecnico=2,ROUND(Programa!D$51*'a)Plantilla'!$C50,RedondeoPersonalTecnico),ROUND(Programa!D$51*Hjor*'a)Plantilla'!$C50,RedondeoPersonalTecnico))),0)</f>
        <v>0</v>
      </c>
      <c r="AR101" s="6">
        <f>IF(Programa!D$52&gt;0,IF(TipoProgramaPersonalTecnico=1,ROUND(Programa!F$52*'a)Plantilla'!$C50,RedondeoPersonalTecnico),IF(TipoProgramaPersonalTecnico=2,ROUND(Programa!D$52*'a)Plantilla'!$C50,RedondeoPersonalTecnico),ROUND(Programa!D$52*Hjor*'a)Plantilla'!$C50,RedondeoPersonalTecnico))),0)</f>
        <v>0</v>
      </c>
      <c r="AS101" s="6">
        <f>IF(Programa!D$53&gt;0,IF(TipoProgramaPersonalTecnico=1,ROUND(Programa!F$53*'a)Plantilla'!$C50,RedondeoPersonalTecnico),IF(TipoProgramaPersonalTecnico=2,ROUND(Programa!D$53*'a)Plantilla'!$C50,RedondeoPersonalTecnico),ROUND(Programa!D$53*Hjor*'a)Plantilla'!$C50,RedondeoPersonalTecnico))),0)</f>
        <v>0</v>
      </c>
      <c r="AT101" s="6">
        <f>IF(Programa!D$54&gt;0,IF(TipoProgramaPersonalTecnico=1,ROUND(Programa!F$54*'a)Plantilla'!$C50,RedondeoPersonalTecnico),IF(TipoProgramaPersonalTecnico=2,ROUND(Programa!D$54*'a)Plantilla'!$C50,RedondeoPersonalTecnico),ROUND(Programa!D$54*Hjor*'a)Plantilla'!$C50,RedondeoPersonalTecnico))),0)</f>
        <v>0</v>
      </c>
      <c r="AU101" s="6">
        <f>IF(Programa!D$55&gt;0,IF(TipoProgramaPersonalTecnico=1,ROUND(Programa!F$55*'a)Plantilla'!$C50,RedondeoPersonalTecnico),IF(TipoProgramaPersonalTecnico=2,ROUND(Programa!D$55*'a)Plantilla'!$C50,RedondeoPersonalTecnico),ROUND(Programa!D$55*Hjor*'a)Plantilla'!$C50,RedondeoPersonalTecnico))),0)</f>
        <v>0</v>
      </c>
      <c r="AV101" s="6">
        <f>IF(Programa!D$56&gt;0,IF(TipoProgramaPersonalTecnico=1,ROUND(Programa!F$56*'a)Plantilla'!$C50,RedondeoPersonalTecnico),IF(TipoProgramaPersonalTecnico=2,ROUND(Programa!D$56*'a)Plantilla'!$C50,RedondeoPersonalTecnico),ROUND(Programa!D$56*Hjor*'a)Plantilla'!$C50,RedondeoPersonalTecnico))),0)</f>
        <v>0</v>
      </c>
      <c r="AW101" s="6">
        <f>IF(Programa!D$57&gt;0,IF(TipoProgramaPersonalTecnico=1,ROUND(Programa!F$57*'a)Plantilla'!$C50,RedondeoPersonalTecnico),IF(TipoProgramaPersonalTecnico=2,ROUND(Programa!D$57*'a)Plantilla'!$C50,RedondeoPersonalTecnico),ROUND(Programa!D$57*Hjor*'a)Plantilla'!$C50,RedondeoPersonalTecnico))),0)</f>
        <v>0</v>
      </c>
      <c r="AX101" s="6">
        <f>IF(Programa!D$58&gt;0,IF(TipoProgramaPersonalTecnico=1,ROUND(Programa!F$58*'a)Plantilla'!$C50,RedondeoPersonalTecnico),IF(TipoProgramaPersonalTecnico=2,ROUND(Programa!D$58*'a)Plantilla'!$C50,RedondeoPersonalTecnico),ROUND(Programa!D$58*Hjor*'a)Plantilla'!$C50,RedondeoPersonalTecnico))),0)</f>
        <v>0</v>
      </c>
      <c r="AY101" s="6">
        <f>IF(Programa!D$59&gt;0,IF(TipoProgramaPersonalTecnico=1,ROUND(Programa!F$59*'a)Plantilla'!$C50,RedondeoPersonalTecnico),IF(TipoProgramaPersonalTecnico=2,ROUND(Programa!D$59*'a)Plantilla'!$C50,RedondeoPersonalTecnico),ROUND(Programa!D$59*Hjor*'a)Plantilla'!$C50,RedondeoPersonalTecnico))),0)</f>
        <v>0</v>
      </c>
      <c r="AZ101" s="6">
        <f>IF(Programa!D$60&gt;0,IF(TipoProgramaPersonalTecnico=1,ROUND(Programa!F$60*'a)Plantilla'!$C50,RedondeoPersonalTecnico),IF(TipoProgramaPersonalTecnico=2,ROUND(Programa!D$60*'a)Plantilla'!$C50,RedondeoPersonalTecnico),ROUND(Programa!D$60*Hjor*'a)Plantilla'!$C50,RedondeoPersonalTecnico))),0)</f>
        <v>0</v>
      </c>
      <c r="BA101" s="6">
        <f>IF(Programa!D$61&gt;0,IF(TipoProgramaPersonalTecnico=1,ROUND(Programa!F$61*'a)Plantilla'!$C50,RedondeoPersonalTecnico),IF(TipoProgramaPersonalTecnico=2,ROUND(Programa!D$61*'a)Plantilla'!$C50,RedondeoPersonalTecnico),ROUND(Programa!D$61*Hjor*'a)Plantilla'!$C50,RedondeoPersonalTecnico))),0)</f>
        <v>0</v>
      </c>
      <c r="BB101" s="6">
        <f>IF(Programa!D$62&gt;0,IF(TipoProgramaPersonalTecnico=1,ROUND(Programa!F$62*'a)Plantilla'!$C50,RedondeoPersonalTecnico),IF(TipoProgramaPersonalTecnico=2,ROUND(Programa!D$62*'a)Plantilla'!$C50,RedondeoPersonalTecnico),ROUND(Programa!D$62*Hjor*'a)Plantilla'!$C50,RedondeoPersonalTecnico))),0)</f>
        <v>0</v>
      </c>
      <c r="BC101" s="6">
        <f>IF(Programa!D$63&gt;0,IF(TipoProgramaPersonalTecnico=1,ROUND(Programa!F$63*'a)Plantilla'!$C50,RedondeoPersonalTecnico),IF(TipoProgramaPersonalTecnico=2,ROUND(Programa!D$63*'a)Plantilla'!$C50,RedondeoPersonalTecnico),ROUND(Programa!D$63*Hjor*'a)Plantilla'!$C50,RedondeoPersonalTecnico))),0)</f>
        <v>0</v>
      </c>
      <c r="BD101" s="6">
        <f>IF(Programa!D$64&gt;0,IF(TipoProgramaPersonalTecnico=1,ROUND(Programa!F$64*'a)Plantilla'!$C50,RedondeoPersonalTecnico),IF(TipoProgramaPersonalTecnico=2,ROUND(Programa!D$64*'a)Plantilla'!$C50,RedondeoPersonalTecnico),ROUND(Programa!D$64*Hjor*'a)Plantilla'!$C50,RedondeoPersonalTecnico))),0)</f>
        <v>0</v>
      </c>
      <c r="BE101" s="6">
        <f>IF(Programa!D$65&gt;0,IF(TipoProgramaPersonalTecnico=1,ROUND(Programa!F$65*'a)Plantilla'!$C50,RedondeoPersonalTecnico),IF(TipoProgramaPersonalTecnico=2,ROUND(Programa!D$65*'a)Plantilla'!$C50,RedondeoPersonalTecnico),ROUND(Programa!D$65*Hjor*'a)Plantilla'!$C50,RedondeoPersonalTecnico))),0)</f>
        <v>0</v>
      </c>
      <c r="BF101" s="6">
        <f>IF(Programa!D$66&gt;0,IF(TipoProgramaPersonalTecnico=1,ROUND(Programa!F$66*'a)Plantilla'!$C50,RedondeoPersonalTecnico),IF(TipoProgramaPersonalTecnico=2,ROUND(Programa!D$66*'a)Plantilla'!$C50,RedondeoPersonalTecnico),ROUND(Programa!D$66*Hjor*'a)Plantilla'!$C50,RedondeoPersonalTecnico))),0)</f>
        <v>0</v>
      </c>
      <c r="BG101" s="6">
        <f>IF(Programa!D$67&gt;0,IF(TipoProgramaPersonalTecnico=1,ROUND(Programa!F$67*'a)Plantilla'!$C50,RedondeoPersonalTecnico),IF(TipoProgramaPersonalTecnico=2,ROUND(Programa!D$67*'a)Plantilla'!$C50,RedondeoPersonalTecnico),ROUND(Programa!D$67*Hjor*'a)Plantilla'!$C50,RedondeoPersonalTecnico))),0)</f>
        <v>0</v>
      </c>
      <c r="BH101" s="6">
        <f>IF(Programa!D$68&gt;0,IF(TipoProgramaPersonalTecnico=1,ROUND(Programa!F$68*'a)Plantilla'!$C50,RedondeoPersonalTecnico),IF(TipoProgramaPersonalTecnico=2,ROUND(Programa!D$68*'a)Plantilla'!$C50,RedondeoPersonalTecnico),ROUND(Programa!D$68*Hjor*'a)Plantilla'!$C50,RedondeoPersonalTecnico))),0)</f>
        <v>0</v>
      </c>
      <c r="BI101" s="6">
        <f>IF(Programa!D$69&gt;0,IF(TipoProgramaPersonalTecnico=1,ROUND(Programa!F$69*'a)Plantilla'!$C50,RedondeoPersonalTecnico),IF(TipoProgramaPersonalTecnico=2,ROUND(Programa!D$69*'a)Plantilla'!$C50,RedondeoPersonalTecnico),ROUND(Programa!D$69*Hjor*'a)Plantilla'!$C50,RedondeoPersonalTecnico))),0)</f>
        <v>0</v>
      </c>
      <c r="BJ101" s="6">
        <f>IF(Programa!D$70&gt;0,IF(TipoProgramaPersonalTecnico=1,ROUND(Programa!F$70*'a)Plantilla'!$C50,RedondeoPersonalTecnico),IF(TipoProgramaPersonalTecnico=2,ROUND(Programa!D$70*'a)Plantilla'!$C50,RedondeoPersonalTecnico),ROUND(Programa!D$70*Hjor*'a)Plantilla'!$C50,RedondeoPersonalTecnico))),0)</f>
        <v>0</v>
      </c>
      <c r="BK101" s="6">
        <f>IF(Programa!D$71&gt;0,IF(TipoProgramaPersonalTecnico=1,ROUND(Programa!F$71*'a)Plantilla'!$C50,RedondeoPersonalTecnico),IF(TipoProgramaPersonalTecnico=2,ROUND(Programa!D$71*'a)Plantilla'!$C50,RedondeoPersonalTecnico),ROUND(Programa!D$71*Hjor*'a)Plantilla'!$C50,RedondeoPersonalTecnico))),0)</f>
        <v>0</v>
      </c>
      <c r="BL101" s="78">
        <f>IF(Programa!D$72&gt;0,IF(TipoProgramaPersonalTecnico=1,ROUND(Programa!F$72*'a)Plantilla'!$C50,RedondeoPersonalTecnico),IF(TipoProgramaPersonalTecnico=2,ROUND(Programa!D$72*'a)Plantilla'!$C50,RedondeoPersonalTecnico),ROUND(Programa!D$72*Hjor*'a)Plantilla'!$C50,RedondeoPersonalTecnico))),0)</f>
        <v>0</v>
      </c>
    </row>
    <row r="102" spans="1:64" ht="8.1" customHeight="1">
      <c r="A102" s="133"/>
      <c r="B102" s="46"/>
      <c r="C102" s="31"/>
      <c r="D102" s="22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78"/>
      <c r="Q102" s="27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78"/>
      <c r="AC102" s="27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78"/>
      <c r="AO102" s="27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78"/>
    </row>
    <row r="103" spans="1:64" ht="12.75" customHeight="1">
      <c r="A103" s="133"/>
      <c r="B103" s="46" t="str">
        <f>IF('a)Plantilla'!C51&gt;0,'a)Plantilla'!B51,"")</f>
        <v/>
      </c>
      <c r="C103" s="17" t="str">
        <f>IF('a)Plantilla'!C$51&gt;0,IF(TipoProgramaPersonalTecnico=1,"Personas",IF(TipoProgramaPersonalTecnico=2,"Jornal","horas-Hombre")),"")</f>
        <v/>
      </c>
      <c r="D103" s="226">
        <f>ROUND(SUM(E103:BL103),RedondeoPersonalTecnico)</f>
        <v>0</v>
      </c>
      <c r="E103" s="6">
        <f>IF(Programa!D$13&gt;0,IF(TipoProgramaPersonalTecnico=1,ROUND(Programa!F$13*'a)Plantilla'!$C51,RedondeoPersonalTecnico),IF(TipoProgramaPersonalTecnico=2,ROUND(Programa!D$13*'a)Plantilla'!$C51,RedondeoPersonalTecnico),ROUND(Programa!D$13*Hjor*'a)Plantilla'!$C51,RedondeoPersonalTecnico))),0)</f>
        <v>0</v>
      </c>
      <c r="F103" s="6">
        <f>IF(Programa!D$14&gt;0,IF(TipoProgramaPersonalTecnico=1,ROUND(Programa!F$14*'a)Plantilla'!$C51,RedondeoPersonalTecnico),IF(TipoProgramaPersonalTecnico=2,ROUND(Programa!D$14*'a)Plantilla'!$C51,RedondeoPersonalTecnico),ROUND(Programa!D$14*Hjor*'a)Plantilla'!$C51,RedondeoPersonalTecnico))),0)</f>
        <v>0</v>
      </c>
      <c r="G103" s="6">
        <f>IF(Programa!D$15&gt;0,IF(TipoProgramaPersonalTecnico=1,ROUND(Programa!F$15*'a)Plantilla'!$C51,RedondeoPersonalTecnico),IF(TipoProgramaPersonalTecnico=2,ROUND(Programa!D$15*'a)Plantilla'!$C51,RedondeoPersonalTecnico),ROUND(Programa!D$15*Hjor*'a)Plantilla'!$C51,RedondeoPersonalTecnico))),0)</f>
        <v>0</v>
      </c>
      <c r="H103" s="6">
        <f>IF(Programa!D$16&gt;0,IF(TipoProgramaPersonalTecnico=1,ROUND(Programa!F$16*'a)Plantilla'!$C51,RedondeoPersonalTecnico),IF(TipoProgramaPersonalTecnico=2,ROUND(Programa!D$16*'a)Plantilla'!$C51,RedondeoPersonalTecnico),ROUND(Programa!D$16*Hjor*'a)Plantilla'!$C51,RedondeoPersonalTecnico))),0)</f>
        <v>0</v>
      </c>
      <c r="I103" s="6">
        <f>IF(Programa!D$17&gt;0,IF(TipoProgramaPersonalTecnico=1,ROUND(Programa!F$17*'a)Plantilla'!$C51,RedondeoPersonalTecnico),IF(TipoProgramaPersonalTecnico=2,ROUND(Programa!D$17*'a)Plantilla'!$C51,RedondeoPersonalTecnico),ROUND(Programa!D$17*Hjor*'a)Plantilla'!$C51,RedondeoPersonalTecnico))),0)</f>
        <v>0</v>
      </c>
      <c r="J103" s="6">
        <f>IF(Programa!D$18&gt;0,IF(TipoProgramaPersonalTecnico=1,ROUND(Programa!F$18*'a)Plantilla'!$C51,RedondeoPersonalTecnico),IF(TipoProgramaPersonalTecnico=2,ROUND(Programa!D$18*'a)Plantilla'!$C51,RedondeoPersonalTecnico),ROUND(Programa!D$18*Hjor*'a)Plantilla'!$C51,RedondeoPersonalTecnico))),0)</f>
        <v>0</v>
      </c>
      <c r="K103" s="6">
        <f>IF(Programa!D$19&gt;0,IF(TipoProgramaPersonalTecnico=1,ROUND(Programa!F$19*'a)Plantilla'!$C51,RedondeoPersonalTecnico),IF(TipoProgramaPersonalTecnico=2,ROUND(Programa!D$19*'a)Plantilla'!$C51,RedondeoPersonalTecnico),ROUND(Programa!D$19*Hjor*'a)Plantilla'!$C51,RedondeoPersonalTecnico))),0)</f>
        <v>0</v>
      </c>
      <c r="L103" s="6">
        <f>IF(Programa!D$20&gt;0,IF(TipoProgramaPersonalTecnico=1,ROUND(Programa!F$20*'a)Plantilla'!$C51,RedondeoPersonalTecnico),IF(TipoProgramaPersonalTecnico=2,ROUND(Programa!D$20*'a)Plantilla'!$C51,RedondeoPersonalTecnico),ROUND(Programa!D$20*Hjor*'a)Plantilla'!$C51,RedondeoPersonalTecnico))),0)</f>
        <v>0</v>
      </c>
      <c r="M103" s="6">
        <f>IF(Programa!D$21&gt;0,IF(TipoProgramaPersonalTecnico=1,ROUND(Programa!F$21*'a)Plantilla'!$C51,RedondeoPersonalTecnico),IF(TipoProgramaPersonalTecnico=2,ROUND(Programa!D$21*'a)Plantilla'!$C51,RedondeoPersonalTecnico),ROUND(Programa!D$21*Hjor*'a)Plantilla'!$C51,RedondeoPersonalTecnico))),0)</f>
        <v>0</v>
      </c>
      <c r="N103" s="6">
        <f>IF(Programa!D$22&gt;0,IF(TipoProgramaPersonalTecnico=1,ROUND(Programa!F$22*'a)Plantilla'!$C51,RedondeoPersonalTecnico),IF(TipoProgramaPersonalTecnico=2,ROUND(Programa!D$22*'a)Plantilla'!$C51,RedondeoPersonalTecnico),ROUND(Programa!D$22*Hjor*'a)Plantilla'!$C51,RedondeoPersonalTecnico))),0)</f>
        <v>0</v>
      </c>
      <c r="O103" s="6">
        <f>IF(Programa!D$23&gt;0,IF(TipoProgramaPersonalTecnico=1,ROUND(Programa!F$23*'a)Plantilla'!$C51,RedondeoPersonalTecnico),IF(TipoProgramaPersonalTecnico=2,ROUND(Programa!D$23*'a)Plantilla'!$C51,RedondeoPersonalTecnico),ROUND(Programa!D$23*Hjor*'a)Plantilla'!$C51,RedondeoPersonalTecnico))),0)</f>
        <v>0</v>
      </c>
      <c r="P103" s="78">
        <f>IF(Programa!D$24&gt;0,IF(TipoProgramaPersonalTecnico=1,ROUND(Programa!F$24*'a)Plantilla'!$C51,RedondeoPersonalTecnico),IF(TipoProgramaPersonalTecnico=2,ROUND(Programa!D$24*'a)Plantilla'!$C51,RedondeoPersonalTecnico),ROUND(Programa!D$24*Hjor*'a)Plantilla'!$C51,RedondeoPersonalTecnico))),0)</f>
        <v>0</v>
      </c>
      <c r="Q103" s="27">
        <f>IF(Programa!D$25&gt;0,IF(TipoProgramaPersonalTecnico=1,ROUND(Programa!F$25*'a)Plantilla'!$C51,RedondeoPersonalTecnico),IF(TipoProgramaPersonalTecnico=2,ROUND(Programa!D$25*'a)Plantilla'!$C51,RedondeoPersonalTecnico),ROUND(Programa!D$25*Hjor*'a)Plantilla'!$C51,RedondeoPersonalTecnico))),0)</f>
        <v>0</v>
      </c>
      <c r="R103" s="6">
        <f>IF(Programa!D$26&gt;0,IF(TipoProgramaPersonalTecnico=1,ROUND(Programa!F$26*'a)Plantilla'!$C51,RedondeoPersonalTecnico),IF(TipoProgramaPersonalTecnico=2,ROUND(Programa!D$26*'a)Plantilla'!$C51,RedondeoPersonalTecnico),ROUND(Programa!D$26*Hjor*'a)Plantilla'!$C51,RedondeoPersonalTecnico))),0)</f>
        <v>0</v>
      </c>
      <c r="S103" s="6">
        <f>IF(Programa!D$27&gt;0,IF(TipoProgramaPersonalTecnico=1,ROUND(Programa!F$27*'a)Plantilla'!$C51,RedondeoPersonalTecnico),IF(TipoProgramaPersonalTecnico=2,ROUND(Programa!D$27*'a)Plantilla'!$C51,RedondeoPersonalTecnico),ROUND(Programa!D$27*Hjor*'a)Plantilla'!$C51,RedondeoPersonalTecnico))),0)</f>
        <v>0</v>
      </c>
      <c r="T103" s="6">
        <f>IF(Programa!D$28&gt;0,IF(TipoProgramaPersonalTecnico=1,ROUND(Programa!F$28*'a)Plantilla'!$C51,RedondeoPersonalTecnico),IF(TipoProgramaPersonalTecnico=2,ROUND(Programa!D$28*'a)Plantilla'!$C51,RedondeoPersonalTecnico),ROUND(Programa!D$28*Hjor*'a)Plantilla'!$C51,RedondeoPersonalTecnico))),0)</f>
        <v>0</v>
      </c>
      <c r="U103" s="6">
        <f>IF(Programa!D$29&gt;0,IF(TipoProgramaPersonalTecnico=1,ROUND(Programa!F$29*'a)Plantilla'!$C51,RedondeoPersonalTecnico),IF(TipoProgramaPersonalTecnico=2,ROUND(Programa!D$29*'a)Plantilla'!$C51,RedondeoPersonalTecnico),ROUND(Programa!D$29*Hjor*'a)Plantilla'!$C51,RedondeoPersonalTecnico))),0)</f>
        <v>0</v>
      </c>
      <c r="V103" s="6">
        <f>IF(Programa!D$30&gt;0,IF(TipoProgramaPersonalTecnico=1,ROUND(Programa!F$30*'a)Plantilla'!$C51,RedondeoPersonalTecnico),IF(TipoProgramaPersonalTecnico=2,ROUND(Programa!D$30*'a)Plantilla'!$C51,RedondeoPersonalTecnico),ROUND(Programa!D$30*Hjor*'a)Plantilla'!$C51,RedondeoPersonalTecnico))),0)</f>
        <v>0</v>
      </c>
      <c r="W103" s="6">
        <f>IF(Programa!D$31&gt;0,IF(TipoProgramaPersonalTecnico=1,ROUND(Programa!F$31*'a)Plantilla'!$C51,RedondeoPersonalTecnico),IF(TipoProgramaPersonalTecnico=2,ROUND(Programa!D$31*'a)Plantilla'!$C51,RedondeoPersonalTecnico),ROUND(Programa!D$31*Hjor*'a)Plantilla'!$C51,RedondeoPersonalTecnico))),0)</f>
        <v>0</v>
      </c>
      <c r="X103" s="6">
        <f>IF(Programa!D$32&gt;0,IF(TipoProgramaPersonalTecnico=1,ROUND(Programa!F$32*'a)Plantilla'!$C51,RedondeoPersonalTecnico),IF(TipoProgramaPersonalTecnico=2,ROUND(Programa!D$32*'a)Plantilla'!$C51,RedondeoPersonalTecnico),ROUND(Programa!D$32*Hjor*'a)Plantilla'!$C51,RedondeoPersonalTecnico))),0)</f>
        <v>0</v>
      </c>
      <c r="Y103" s="6">
        <f>IF(Programa!D$33&gt;0,IF(TipoProgramaPersonalTecnico=1,ROUND(Programa!F$33*'a)Plantilla'!$C51,RedondeoPersonalTecnico),IF(TipoProgramaPersonalTecnico=2,ROUND(Programa!D$33*'a)Plantilla'!$C51,RedondeoPersonalTecnico),ROUND(Programa!D$33*Hjor*'a)Plantilla'!$C51,RedondeoPersonalTecnico))),0)</f>
        <v>0</v>
      </c>
      <c r="Z103" s="6">
        <f>IF(Programa!D$34&gt;0,IF(TipoProgramaPersonalTecnico=1,ROUND(Programa!F$34*'a)Plantilla'!$C51,RedondeoPersonalTecnico),IF(TipoProgramaPersonalTecnico=2,ROUND(Programa!D$34*'a)Plantilla'!$C51,RedondeoPersonalTecnico),ROUND(Programa!D$34*Hjor*'a)Plantilla'!$C51,RedondeoPersonalTecnico))),0)</f>
        <v>0</v>
      </c>
      <c r="AA103" s="6">
        <f>IF(Programa!D$35&gt;0,IF(TipoProgramaPersonalTecnico=1,ROUND(Programa!F$35*'a)Plantilla'!$C51,RedondeoPersonalTecnico),IF(TipoProgramaPersonalTecnico=2,ROUND(Programa!D$35*'a)Plantilla'!$C51,RedondeoPersonalTecnico),ROUND(Programa!D$35*Hjor*'a)Plantilla'!$C51,RedondeoPersonalTecnico))),0)</f>
        <v>0</v>
      </c>
      <c r="AB103" s="78">
        <f>IF(Programa!D$36&gt;0,IF(TipoProgramaPersonalTecnico=1,ROUND(Programa!F$36*'a)Plantilla'!$C51,RedondeoPersonalTecnico),IF(TipoProgramaPersonalTecnico=2,ROUND(Programa!D$36*'a)Plantilla'!$C51,RedondeoPersonalTecnico),ROUND(Programa!D$36*Hjor*'a)Plantilla'!$C51,RedondeoPersonalTecnico))),0)</f>
        <v>0</v>
      </c>
      <c r="AC103" s="27">
        <f>IF(Programa!D$37&gt;0,IF(TipoProgramaPersonalTecnico=1,ROUND(Programa!F$37*'a)Plantilla'!$C51,RedondeoPersonalTecnico),IF(TipoProgramaPersonalTecnico=2,ROUND(Programa!D$37*'a)Plantilla'!$C51,RedondeoPersonalTecnico),ROUND(Programa!D$37*Hjor*'a)Plantilla'!$C51,RedondeoPersonalTecnico))),0)</f>
        <v>0</v>
      </c>
      <c r="AD103" s="6">
        <f>IF(Programa!D$38&gt;0,IF(TipoProgramaPersonalTecnico=1,ROUND(Programa!F$38*'a)Plantilla'!$C51,RedondeoPersonalTecnico),IF(TipoProgramaPersonalTecnico=2,ROUND(Programa!D$38*'a)Plantilla'!$C51,RedondeoPersonalTecnico),ROUND(Programa!D$38*Hjor*'a)Plantilla'!$C51,RedondeoPersonalTecnico))),0)</f>
        <v>0</v>
      </c>
      <c r="AE103" s="6">
        <f>IF(Programa!D$39&gt;0,IF(TipoProgramaPersonalTecnico=1,ROUND(Programa!F$39*'a)Plantilla'!$C51,RedondeoPersonalTecnico),IF(TipoProgramaPersonalTecnico=2,ROUND(Programa!D$39*'a)Plantilla'!$C51,RedondeoPersonalTecnico),ROUND(Programa!D$39*Hjor*'a)Plantilla'!$C51,RedondeoPersonalTecnico))),0)</f>
        <v>0</v>
      </c>
      <c r="AF103" s="6">
        <f>IF(Programa!D$40&gt;0,IF(TipoProgramaPersonalTecnico=1,ROUND(Programa!F$40*'a)Plantilla'!$C51,RedondeoPersonalTecnico),IF(TipoProgramaPersonalTecnico=2,ROUND(Programa!D$40*'a)Plantilla'!$C51,RedondeoPersonalTecnico),ROUND(Programa!D$40*Hjor*'a)Plantilla'!$C51,RedondeoPersonalTecnico))),0)</f>
        <v>0</v>
      </c>
      <c r="AG103" s="6">
        <f>IF(Programa!D$41&gt;0,IF(TipoProgramaPersonalTecnico=1,ROUND(Programa!F$41*'a)Plantilla'!$C51,RedondeoPersonalTecnico),IF(TipoProgramaPersonalTecnico=2,ROUND(Programa!D$41*'a)Plantilla'!$C51,RedondeoPersonalTecnico),ROUND(Programa!D$41*Hjor*'a)Plantilla'!$C51,RedondeoPersonalTecnico))),0)</f>
        <v>0</v>
      </c>
      <c r="AH103" s="6">
        <f>IF(Programa!D$42&gt;0,IF(TipoProgramaPersonalTecnico=1,ROUND(Programa!F$42*'a)Plantilla'!$C51,RedondeoPersonalTecnico),IF(TipoProgramaPersonalTecnico=2,ROUND(Programa!D$42*'a)Plantilla'!$C51,RedondeoPersonalTecnico),ROUND(Programa!D$42*Hjor*'a)Plantilla'!$C51,RedondeoPersonalTecnico))),0)</f>
        <v>0</v>
      </c>
      <c r="AI103" s="6">
        <f>IF(Programa!D$43&gt;0,IF(TipoProgramaPersonalTecnico=1,ROUND(Programa!F$43*'a)Plantilla'!$C51,RedondeoPersonalTecnico),IF(TipoProgramaPersonalTecnico=2,ROUND(Programa!D$43*'a)Plantilla'!$C51,RedondeoPersonalTecnico),ROUND(Programa!D$43*Hjor*'a)Plantilla'!$C51,RedondeoPersonalTecnico))),0)</f>
        <v>0</v>
      </c>
      <c r="AJ103" s="6">
        <f>IF(Programa!D$44&gt;0,IF(TipoProgramaPersonalTecnico=1,ROUND(Programa!F$44*'a)Plantilla'!$C51,RedondeoPersonalTecnico),IF(TipoProgramaPersonalTecnico=2,ROUND(Programa!D$44*'a)Plantilla'!$C51,RedondeoPersonalTecnico),ROUND(Programa!D$44*Hjor*'a)Plantilla'!$C51,RedondeoPersonalTecnico))),0)</f>
        <v>0</v>
      </c>
      <c r="AK103" s="6">
        <f>IF(Programa!D$45&gt;0,IF(TipoProgramaPersonalTecnico=1,ROUND(Programa!F$45*'a)Plantilla'!$C51,RedondeoPersonalTecnico),IF(TipoProgramaPersonalTecnico=2,ROUND(Programa!D$45*'a)Plantilla'!$C51,RedondeoPersonalTecnico),ROUND(Programa!D$45*Hjor*'a)Plantilla'!$C51,RedondeoPersonalTecnico))),0)</f>
        <v>0</v>
      </c>
      <c r="AL103" s="6">
        <f>IF(Programa!D$46&gt;0,IF(TipoProgramaPersonalTecnico=1,ROUND(Programa!F$46*'a)Plantilla'!$C51,RedondeoPersonalTecnico),IF(TipoProgramaPersonalTecnico=2,ROUND(Programa!D$46*'a)Plantilla'!$C51,RedondeoPersonalTecnico),ROUND(Programa!D$46*Hjor*'a)Plantilla'!$C51,RedondeoPersonalTecnico))),0)</f>
        <v>0</v>
      </c>
      <c r="AM103" s="6">
        <f>IF(Programa!D$47&gt;0,IF(TipoProgramaPersonalTecnico=1,ROUND(Programa!F$47*'a)Plantilla'!$C51,RedondeoPersonalTecnico),IF(TipoProgramaPersonalTecnico=2,ROUND(Programa!D$47*'a)Plantilla'!$C51,RedondeoPersonalTecnico),ROUND(Programa!D$47*Hjor*'a)Plantilla'!$C51,RedondeoPersonalTecnico))),0)</f>
        <v>0</v>
      </c>
      <c r="AN103" s="78">
        <f>IF(Programa!D$48&gt;0,IF(TipoProgramaPersonalTecnico=1,ROUND(Programa!F$48*'a)Plantilla'!$C51,RedondeoPersonalTecnico),IF(TipoProgramaPersonalTecnico=2,ROUND(Programa!D$48*'a)Plantilla'!$C51,RedondeoPersonalTecnico),ROUND(Programa!D$48*Hjor*'a)Plantilla'!$C51,RedondeoPersonalTecnico))),0)</f>
        <v>0</v>
      </c>
      <c r="AO103" s="27">
        <f>IF(Programa!D$49&gt;0,IF(TipoProgramaPersonalTecnico=1,ROUND(Programa!F$49*'a)Plantilla'!$C51,RedondeoPersonalTecnico),IF(TipoProgramaPersonalTecnico=2,ROUND(Programa!D$49*'a)Plantilla'!$C51,RedondeoPersonalTecnico),ROUND(Programa!D$49*Hjor*'a)Plantilla'!$C51,RedondeoPersonalTecnico))),0)</f>
        <v>0</v>
      </c>
      <c r="AP103" s="6">
        <f>IF(Programa!D$50&gt;0,IF(TipoProgramaPersonalTecnico=1,ROUND(Programa!F$50*'a)Plantilla'!$C51,RedondeoPersonalTecnico),IF(TipoProgramaPersonalTecnico=2,ROUND(Programa!D$50*'a)Plantilla'!$C51,RedondeoPersonalTecnico),ROUND(Programa!D$50*Hjor*'a)Plantilla'!$C51,RedondeoPersonalTecnico))),0)</f>
        <v>0</v>
      </c>
      <c r="AQ103" s="6">
        <f>IF(Programa!D$51&gt;0,IF(TipoProgramaPersonalTecnico=1,ROUND(Programa!F$51*'a)Plantilla'!$C51,RedondeoPersonalTecnico),IF(TipoProgramaPersonalTecnico=2,ROUND(Programa!D$51*'a)Plantilla'!$C51,RedondeoPersonalTecnico),ROUND(Programa!D$51*Hjor*'a)Plantilla'!$C51,RedondeoPersonalTecnico))),0)</f>
        <v>0</v>
      </c>
      <c r="AR103" s="6">
        <f>IF(Programa!D$52&gt;0,IF(TipoProgramaPersonalTecnico=1,ROUND(Programa!F$52*'a)Plantilla'!$C51,RedondeoPersonalTecnico),IF(TipoProgramaPersonalTecnico=2,ROUND(Programa!D$52*'a)Plantilla'!$C51,RedondeoPersonalTecnico),ROUND(Programa!D$52*Hjor*'a)Plantilla'!$C51,RedondeoPersonalTecnico))),0)</f>
        <v>0</v>
      </c>
      <c r="AS103" s="6">
        <f>IF(Programa!D$53&gt;0,IF(TipoProgramaPersonalTecnico=1,ROUND(Programa!F$53*'a)Plantilla'!$C51,RedondeoPersonalTecnico),IF(TipoProgramaPersonalTecnico=2,ROUND(Programa!D$53*'a)Plantilla'!$C51,RedondeoPersonalTecnico),ROUND(Programa!D$53*Hjor*'a)Plantilla'!$C51,RedondeoPersonalTecnico))),0)</f>
        <v>0</v>
      </c>
      <c r="AT103" s="6">
        <f>IF(Programa!D$54&gt;0,IF(TipoProgramaPersonalTecnico=1,ROUND(Programa!F$54*'a)Plantilla'!$C51,RedondeoPersonalTecnico),IF(TipoProgramaPersonalTecnico=2,ROUND(Programa!D$54*'a)Plantilla'!$C51,RedondeoPersonalTecnico),ROUND(Programa!D$54*Hjor*'a)Plantilla'!$C51,RedondeoPersonalTecnico))),0)</f>
        <v>0</v>
      </c>
      <c r="AU103" s="6">
        <f>IF(Programa!D$55&gt;0,IF(TipoProgramaPersonalTecnico=1,ROUND(Programa!F$55*'a)Plantilla'!$C51,RedondeoPersonalTecnico),IF(TipoProgramaPersonalTecnico=2,ROUND(Programa!D$55*'a)Plantilla'!$C51,RedondeoPersonalTecnico),ROUND(Programa!D$55*Hjor*'a)Plantilla'!$C51,RedondeoPersonalTecnico))),0)</f>
        <v>0</v>
      </c>
      <c r="AV103" s="6">
        <f>IF(Programa!D$56&gt;0,IF(TipoProgramaPersonalTecnico=1,ROUND(Programa!F$56*'a)Plantilla'!$C51,RedondeoPersonalTecnico),IF(TipoProgramaPersonalTecnico=2,ROUND(Programa!D$56*'a)Plantilla'!$C51,RedondeoPersonalTecnico),ROUND(Programa!D$56*Hjor*'a)Plantilla'!$C51,RedondeoPersonalTecnico))),0)</f>
        <v>0</v>
      </c>
      <c r="AW103" s="6">
        <f>IF(Programa!D$57&gt;0,IF(TipoProgramaPersonalTecnico=1,ROUND(Programa!F$57*'a)Plantilla'!$C51,RedondeoPersonalTecnico),IF(TipoProgramaPersonalTecnico=2,ROUND(Programa!D$57*'a)Plantilla'!$C51,RedondeoPersonalTecnico),ROUND(Programa!D$57*Hjor*'a)Plantilla'!$C51,RedondeoPersonalTecnico))),0)</f>
        <v>0</v>
      </c>
      <c r="AX103" s="6">
        <f>IF(Programa!D$58&gt;0,IF(TipoProgramaPersonalTecnico=1,ROUND(Programa!F$58*'a)Plantilla'!$C51,RedondeoPersonalTecnico),IF(TipoProgramaPersonalTecnico=2,ROUND(Programa!D$58*'a)Plantilla'!$C51,RedondeoPersonalTecnico),ROUND(Programa!D$58*Hjor*'a)Plantilla'!$C51,RedondeoPersonalTecnico))),0)</f>
        <v>0</v>
      </c>
      <c r="AY103" s="6">
        <f>IF(Programa!D$59&gt;0,IF(TipoProgramaPersonalTecnico=1,ROUND(Programa!F$59*'a)Plantilla'!$C51,RedondeoPersonalTecnico),IF(TipoProgramaPersonalTecnico=2,ROUND(Programa!D$59*'a)Plantilla'!$C51,RedondeoPersonalTecnico),ROUND(Programa!D$59*Hjor*'a)Plantilla'!$C51,RedondeoPersonalTecnico))),0)</f>
        <v>0</v>
      </c>
      <c r="AZ103" s="6">
        <f>IF(Programa!D$60&gt;0,IF(TipoProgramaPersonalTecnico=1,ROUND(Programa!F$60*'a)Plantilla'!$C51,RedondeoPersonalTecnico),IF(TipoProgramaPersonalTecnico=2,ROUND(Programa!D$60*'a)Plantilla'!$C51,RedondeoPersonalTecnico),ROUND(Programa!D$60*Hjor*'a)Plantilla'!$C51,RedondeoPersonalTecnico))),0)</f>
        <v>0</v>
      </c>
      <c r="BA103" s="6">
        <f>IF(Programa!D$61&gt;0,IF(TipoProgramaPersonalTecnico=1,ROUND(Programa!F$61*'a)Plantilla'!$C51,RedondeoPersonalTecnico),IF(TipoProgramaPersonalTecnico=2,ROUND(Programa!D$61*'a)Plantilla'!$C51,RedondeoPersonalTecnico),ROUND(Programa!D$61*Hjor*'a)Plantilla'!$C51,RedondeoPersonalTecnico))),0)</f>
        <v>0</v>
      </c>
      <c r="BB103" s="6">
        <f>IF(Programa!D$62&gt;0,IF(TipoProgramaPersonalTecnico=1,ROUND(Programa!F$62*'a)Plantilla'!$C51,RedondeoPersonalTecnico),IF(TipoProgramaPersonalTecnico=2,ROUND(Programa!D$62*'a)Plantilla'!$C51,RedondeoPersonalTecnico),ROUND(Programa!D$62*Hjor*'a)Plantilla'!$C51,RedondeoPersonalTecnico))),0)</f>
        <v>0</v>
      </c>
      <c r="BC103" s="6">
        <f>IF(Programa!D$63&gt;0,IF(TipoProgramaPersonalTecnico=1,ROUND(Programa!F$63*'a)Plantilla'!$C51,RedondeoPersonalTecnico),IF(TipoProgramaPersonalTecnico=2,ROUND(Programa!D$63*'a)Plantilla'!$C51,RedondeoPersonalTecnico),ROUND(Programa!D$63*Hjor*'a)Plantilla'!$C51,RedondeoPersonalTecnico))),0)</f>
        <v>0</v>
      </c>
      <c r="BD103" s="6">
        <f>IF(Programa!D$64&gt;0,IF(TipoProgramaPersonalTecnico=1,ROUND(Programa!F$64*'a)Plantilla'!$C51,RedondeoPersonalTecnico),IF(TipoProgramaPersonalTecnico=2,ROUND(Programa!D$64*'a)Plantilla'!$C51,RedondeoPersonalTecnico),ROUND(Programa!D$64*Hjor*'a)Plantilla'!$C51,RedondeoPersonalTecnico))),0)</f>
        <v>0</v>
      </c>
      <c r="BE103" s="6">
        <f>IF(Programa!D$65&gt;0,IF(TipoProgramaPersonalTecnico=1,ROUND(Programa!F$65*'a)Plantilla'!$C51,RedondeoPersonalTecnico),IF(TipoProgramaPersonalTecnico=2,ROUND(Programa!D$65*'a)Plantilla'!$C51,RedondeoPersonalTecnico),ROUND(Programa!D$65*Hjor*'a)Plantilla'!$C51,RedondeoPersonalTecnico))),0)</f>
        <v>0</v>
      </c>
      <c r="BF103" s="6">
        <f>IF(Programa!D$66&gt;0,IF(TipoProgramaPersonalTecnico=1,ROUND(Programa!F$66*'a)Plantilla'!$C51,RedondeoPersonalTecnico),IF(TipoProgramaPersonalTecnico=2,ROUND(Programa!D$66*'a)Plantilla'!$C51,RedondeoPersonalTecnico),ROUND(Programa!D$66*Hjor*'a)Plantilla'!$C51,RedondeoPersonalTecnico))),0)</f>
        <v>0</v>
      </c>
      <c r="BG103" s="6">
        <f>IF(Programa!D$67&gt;0,IF(TipoProgramaPersonalTecnico=1,ROUND(Programa!F$67*'a)Plantilla'!$C51,RedondeoPersonalTecnico),IF(TipoProgramaPersonalTecnico=2,ROUND(Programa!D$67*'a)Plantilla'!$C51,RedondeoPersonalTecnico),ROUND(Programa!D$67*Hjor*'a)Plantilla'!$C51,RedondeoPersonalTecnico))),0)</f>
        <v>0</v>
      </c>
      <c r="BH103" s="6">
        <f>IF(Programa!D$68&gt;0,IF(TipoProgramaPersonalTecnico=1,ROUND(Programa!F$68*'a)Plantilla'!$C51,RedondeoPersonalTecnico),IF(TipoProgramaPersonalTecnico=2,ROUND(Programa!D$68*'a)Plantilla'!$C51,RedondeoPersonalTecnico),ROUND(Programa!D$68*Hjor*'a)Plantilla'!$C51,RedondeoPersonalTecnico))),0)</f>
        <v>0</v>
      </c>
      <c r="BI103" s="6">
        <f>IF(Programa!D$69&gt;0,IF(TipoProgramaPersonalTecnico=1,ROUND(Programa!F$69*'a)Plantilla'!$C51,RedondeoPersonalTecnico),IF(TipoProgramaPersonalTecnico=2,ROUND(Programa!D$69*'a)Plantilla'!$C51,RedondeoPersonalTecnico),ROUND(Programa!D$69*Hjor*'a)Plantilla'!$C51,RedondeoPersonalTecnico))),0)</f>
        <v>0</v>
      </c>
      <c r="BJ103" s="6">
        <f>IF(Programa!D$70&gt;0,IF(TipoProgramaPersonalTecnico=1,ROUND(Programa!F$70*'a)Plantilla'!$C51,RedondeoPersonalTecnico),IF(TipoProgramaPersonalTecnico=2,ROUND(Programa!D$70*'a)Plantilla'!$C51,RedondeoPersonalTecnico),ROUND(Programa!D$70*Hjor*'a)Plantilla'!$C51,RedondeoPersonalTecnico))),0)</f>
        <v>0</v>
      </c>
      <c r="BK103" s="6">
        <f>IF(Programa!D$71&gt;0,IF(TipoProgramaPersonalTecnico=1,ROUND(Programa!F$71*'a)Plantilla'!$C51,RedondeoPersonalTecnico),IF(TipoProgramaPersonalTecnico=2,ROUND(Programa!D$71*'a)Plantilla'!$C51,RedondeoPersonalTecnico),ROUND(Programa!D$71*Hjor*'a)Plantilla'!$C51,RedondeoPersonalTecnico))),0)</f>
        <v>0</v>
      </c>
      <c r="BL103" s="78">
        <f>IF(Programa!D$72&gt;0,IF(TipoProgramaPersonalTecnico=1,ROUND(Programa!F$72*'a)Plantilla'!$C51,RedondeoPersonalTecnico),IF(TipoProgramaPersonalTecnico=2,ROUND(Programa!D$72*'a)Plantilla'!$C51,RedondeoPersonalTecnico),ROUND(Programa!D$72*Hjor*'a)Plantilla'!$C51,RedondeoPersonalTecnico))),0)</f>
        <v>0</v>
      </c>
    </row>
    <row r="104" spans="1:64" ht="8.1" customHeight="1">
      <c r="A104" s="133"/>
      <c r="B104" s="46"/>
      <c r="C104" s="31"/>
      <c r="D104" s="22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78"/>
      <c r="Q104" s="27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78"/>
      <c r="AC104" s="27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78"/>
      <c r="AO104" s="27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78"/>
    </row>
    <row r="105" spans="1:64" ht="12.75" customHeight="1">
      <c r="A105" s="133"/>
      <c r="B105" s="46" t="str">
        <f>IF('a)Plantilla'!C52&gt;0,'a)Plantilla'!B52,"")</f>
        <v/>
      </c>
      <c r="C105" s="17" t="str">
        <f>IF('a)Plantilla'!C$52&gt;0,IF(TipoProgramaPersonalTecnico=1,"Personas",IF(TipoProgramaPersonalTecnico=2,"Jornal","horas-Hombre")),"")</f>
        <v/>
      </c>
      <c r="D105" s="226">
        <f>ROUND(SUM(E105:BL105),RedondeoPersonalTecnico)</f>
        <v>0</v>
      </c>
      <c r="E105" s="6">
        <f>IF(Programa!D$13&gt;0,IF(TipoProgramaPersonalTecnico=1,ROUND(Programa!F$13*'a)Plantilla'!$C52,RedondeoPersonalTecnico),IF(TipoProgramaPersonalTecnico=2,ROUND(Programa!D$13*'a)Plantilla'!$C52,RedondeoPersonalTecnico),ROUND(Programa!D$13*Hjor*'a)Plantilla'!$C52,RedondeoPersonalTecnico))),0)</f>
        <v>0</v>
      </c>
      <c r="F105" s="6">
        <f>IF(Programa!D$14&gt;0,IF(TipoProgramaPersonalTecnico=1,ROUND(Programa!F$14*'a)Plantilla'!$C52,RedondeoPersonalTecnico),IF(TipoProgramaPersonalTecnico=2,ROUND(Programa!D$14*'a)Plantilla'!$C52,RedondeoPersonalTecnico),ROUND(Programa!D$14*Hjor*'a)Plantilla'!$C52,RedondeoPersonalTecnico))),0)</f>
        <v>0</v>
      </c>
      <c r="G105" s="6">
        <f>IF(Programa!D$15&gt;0,IF(TipoProgramaPersonalTecnico=1,ROUND(Programa!F$15*'a)Plantilla'!$C52,RedondeoPersonalTecnico),IF(TipoProgramaPersonalTecnico=2,ROUND(Programa!D$15*'a)Plantilla'!$C52,RedondeoPersonalTecnico),ROUND(Programa!D$15*Hjor*'a)Plantilla'!$C52,RedondeoPersonalTecnico))),0)</f>
        <v>0</v>
      </c>
      <c r="H105" s="6">
        <f>IF(Programa!D$16&gt;0,IF(TipoProgramaPersonalTecnico=1,ROUND(Programa!F$16*'a)Plantilla'!$C52,RedondeoPersonalTecnico),IF(TipoProgramaPersonalTecnico=2,ROUND(Programa!D$16*'a)Plantilla'!$C52,RedondeoPersonalTecnico),ROUND(Programa!D$16*Hjor*'a)Plantilla'!$C52,RedondeoPersonalTecnico))),0)</f>
        <v>0</v>
      </c>
      <c r="I105" s="6">
        <f>IF(Programa!D$17&gt;0,IF(TipoProgramaPersonalTecnico=1,ROUND(Programa!F$17*'a)Plantilla'!$C52,RedondeoPersonalTecnico),IF(TipoProgramaPersonalTecnico=2,ROUND(Programa!D$17*'a)Plantilla'!$C52,RedondeoPersonalTecnico),ROUND(Programa!D$17*Hjor*'a)Plantilla'!$C52,RedondeoPersonalTecnico))),0)</f>
        <v>0</v>
      </c>
      <c r="J105" s="6">
        <f>IF(Programa!D$18&gt;0,IF(TipoProgramaPersonalTecnico=1,ROUND(Programa!F$18*'a)Plantilla'!$C52,RedondeoPersonalTecnico),IF(TipoProgramaPersonalTecnico=2,ROUND(Programa!D$18*'a)Plantilla'!$C52,RedondeoPersonalTecnico),ROUND(Programa!D$18*Hjor*'a)Plantilla'!$C52,RedondeoPersonalTecnico))),0)</f>
        <v>0</v>
      </c>
      <c r="K105" s="6">
        <f>IF(Programa!D$19&gt;0,IF(TipoProgramaPersonalTecnico=1,ROUND(Programa!F$19*'a)Plantilla'!$C52,RedondeoPersonalTecnico),IF(TipoProgramaPersonalTecnico=2,ROUND(Programa!D$19*'a)Plantilla'!$C52,RedondeoPersonalTecnico),ROUND(Programa!D$19*Hjor*'a)Plantilla'!$C52,RedondeoPersonalTecnico))),0)</f>
        <v>0</v>
      </c>
      <c r="L105" s="6">
        <f>IF(Programa!D$20&gt;0,IF(TipoProgramaPersonalTecnico=1,ROUND(Programa!F$20*'a)Plantilla'!$C52,RedondeoPersonalTecnico),IF(TipoProgramaPersonalTecnico=2,ROUND(Programa!D$20*'a)Plantilla'!$C52,RedondeoPersonalTecnico),ROUND(Programa!D$20*Hjor*'a)Plantilla'!$C52,RedondeoPersonalTecnico))),0)</f>
        <v>0</v>
      </c>
      <c r="M105" s="6">
        <f>IF(Programa!D$21&gt;0,IF(TipoProgramaPersonalTecnico=1,ROUND(Programa!F$21*'a)Plantilla'!$C52,RedondeoPersonalTecnico),IF(TipoProgramaPersonalTecnico=2,ROUND(Programa!D$21*'a)Plantilla'!$C52,RedondeoPersonalTecnico),ROUND(Programa!D$21*Hjor*'a)Plantilla'!$C52,RedondeoPersonalTecnico))),0)</f>
        <v>0</v>
      </c>
      <c r="N105" s="6">
        <f>IF(Programa!D$22&gt;0,IF(TipoProgramaPersonalTecnico=1,ROUND(Programa!F$22*'a)Plantilla'!$C52,RedondeoPersonalTecnico),IF(TipoProgramaPersonalTecnico=2,ROUND(Programa!D$22*'a)Plantilla'!$C52,RedondeoPersonalTecnico),ROUND(Programa!D$22*Hjor*'a)Plantilla'!$C52,RedondeoPersonalTecnico))),0)</f>
        <v>0</v>
      </c>
      <c r="O105" s="6">
        <f>IF(Programa!D$23&gt;0,IF(TipoProgramaPersonalTecnico=1,ROUND(Programa!F$23*'a)Plantilla'!$C52,RedondeoPersonalTecnico),IF(TipoProgramaPersonalTecnico=2,ROUND(Programa!D$23*'a)Plantilla'!$C52,RedondeoPersonalTecnico),ROUND(Programa!D$23*Hjor*'a)Plantilla'!$C52,RedondeoPersonalTecnico))),0)</f>
        <v>0</v>
      </c>
      <c r="P105" s="78">
        <f>IF(Programa!D$24&gt;0,IF(TipoProgramaPersonalTecnico=1,ROUND(Programa!F$24*'a)Plantilla'!$C52,RedondeoPersonalTecnico),IF(TipoProgramaPersonalTecnico=2,ROUND(Programa!D$24*'a)Plantilla'!$C52,RedondeoPersonalTecnico),ROUND(Programa!D$24*Hjor*'a)Plantilla'!$C52,RedondeoPersonalTecnico))),0)</f>
        <v>0</v>
      </c>
      <c r="Q105" s="27">
        <f>IF(Programa!D$25&gt;0,IF(TipoProgramaPersonalTecnico=1,ROUND(Programa!F$25*'a)Plantilla'!$C52,RedondeoPersonalTecnico),IF(TipoProgramaPersonalTecnico=2,ROUND(Programa!D$25*'a)Plantilla'!$C52,RedondeoPersonalTecnico),ROUND(Programa!D$25*Hjor*'a)Plantilla'!$C52,RedondeoPersonalTecnico))),0)</f>
        <v>0</v>
      </c>
      <c r="R105" s="6">
        <f>IF(Programa!D$26&gt;0,IF(TipoProgramaPersonalTecnico=1,ROUND(Programa!F$26*'a)Plantilla'!$C52,RedondeoPersonalTecnico),IF(TipoProgramaPersonalTecnico=2,ROUND(Programa!D$26*'a)Plantilla'!$C52,RedondeoPersonalTecnico),ROUND(Programa!D$26*Hjor*'a)Plantilla'!$C52,RedondeoPersonalTecnico))),0)</f>
        <v>0</v>
      </c>
      <c r="S105" s="6">
        <f>IF(Programa!D$27&gt;0,IF(TipoProgramaPersonalTecnico=1,ROUND(Programa!F$27*'a)Plantilla'!$C52,RedondeoPersonalTecnico),IF(TipoProgramaPersonalTecnico=2,ROUND(Programa!D$27*'a)Plantilla'!$C52,RedondeoPersonalTecnico),ROUND(Programa!D$27*Hjor*'a)Plantilla'!$C52,RedondeoPersonalTecnico))),0)</f>
        <v>0</v>
      </c>
      <c r="T105" s="6">
        <f>IF(Programa!D$28&gt;0,IF(TipoProgramaPersonalTecnico=1,ROUND(Programa!F$28*'a)Plantilla'!$C52,RedondeoPersonalTecnico),IF(TipoProgramaPersonalTecnico=2,ROUND(Programa!D$28*'a)Plantilla'!$C52,RedondeoPersonalTecnico),ROUND(Programa!D$28*Hjor*'a)Plantilla'!$C52,RedondeoPersonalTecnico))),0)</f>
        <v>0</v>
      </c>
      <c r="U105" s="6">
        <f>IF(Programa!D$29&gt;0,IF(TipoProgramaPersonalTecnico=1,ROUND(Programa!F$29*'a)Plantilla'!$C52,RedondeoPersonalTecnico),IF(TipoProgramaPersonalTecnico=2,ROUND(Programa!D$29*'a)Plantilla'!$C52,RedondeoPersonalTecnico),ROUND(Programa!D$29*Hjor*'a)Plantilla'!$C52,RedondeoPersonalTecnico))),0)</f>
        <v>0</v>
      </c>
      <c r="V105" s="6">
        <f>IF(Programa!D$30&gt;0,IF(TipoProgramaPersonalTecnico=1,ROUND(Programa!F$30*'a)Plantilla'!$C52,RedondeoPersonalTecnico),IF(TipoProgramaPersonalTecnico=2,ROUND(Programa!D$30*'a)Plantilla'!$C52,RedondeoPersonalTecnico),ROUND(Programa!D$30*Hjor*'a)Plantilla'!$C52,RedondeoPersonalTecnico))),0)</f>
        <v>0</v>
      </c>
      <c r="W105" s="6">
        <f>IF(Programa!D$31&gt;0,IF(TipoProgramaPersonalTecnico=1,ROUND(Programa!F$31*'a)Plantilla'!$C52,RedondeoPersonalTecnico),IF(TipoProgramaPersonalTecnico=2,ROUND(Programa!D$31*'a)Plantilla'!$C52,RedondeoPersonalTecnico),ROUND(Programa!D$31*Hjor*'a)Plantilla'!$C52,RedondeoPersonalTecnico))),0)</f>
        <v>0</v>
      </c>
      <c r="X105" s="6">
        <f>IF(Programa!D$32&gt;0,IF(TipoProgramaPersonalTecnico=1,ROUND(Programa!F$32*'a)Plantilla'!$C52,RedondeoPersonalTecnico),IF(TipoProgramaPersonalTecnico=2,ROUND(Programa!D$32*'a)Plantilla'!$C52,RedondeoPersonalTecnico),ROUND(Programa!D$32*Hjor*'a)Plantilla'!$C52,RedondeoPersonalTecnico))),0)</f>
        <v>0</v>
      </c>
      <c r="Y105" s="6">
        <f>IF(Programa!D$33&gt;0,IF(TipoProgramaPersonalTecnico=1,ROUND(Programa!F$33*'a)Plantilla'!$C52,RedondeoPersonalTecnico),IF(TipoProgramaPersonalTecnico=2,ROUND(Programa!D$33*'a)Plantilla'!$C52,RedondeoPersonalTecnico),ROUND(Programa!D$33*Hjor*'a)Plantilla'!$C52,RedondeoPersonalTecnico))),0)</f>
        <v>0</v>
      </c>
      <c r="Z105" s="6">
        <f>IF(Programa!D$34&gt;0,IF(TipoProgramaPersonalTecnico=1,ROUND(Programa!F$34*'a)Plantilla'!$C52,RedondeoPersonalTecnico),IF(TipoProgramaPersonalTecnico=2,ROUND(Programa!D$34*'a)Plantilla'!$C52,RedondeoPersonalTecnico),ROUND(Programa!D$34*Hjor*'a)Plantilla'!$C52,RedondeoPersonalTecnico))),0)</f>
        <v>0</v>
      </c>
      <c r="AA105" s="6">
        <f>IF(Programa!D$35&gt;0,IF(TipoProgramaPersonalTecnico=1,ROUND(Programa!F$35*'a)Plantilla'!$C52,RedondeoPersonalTecnico),IF(TipoProgramaPersonalTecnico=2,ROUND(Programa!D$35*'a)Plantilla'!$C52,RedondeoPersonalTecnico),ROUND(Programa!D$35*Hjor*'a)Plantilla'!$C52,RedondeoPersonalTecnico))),0)</f>
        <v>0</v>
      </c>
      <c r="AB105" s="78">
        <f>IF(Programa!D$36&gt;0,IF(TipoProgramaPersonalTecnico=1,ROUND(Programa!F$36*'a)Plantilla'!$C52,RedondeoPersonalTecnico),IF(TipoProgramaPersonalTecnico=2,ROUND(Programa!D$36*'a)Plantilla'!$C52,RedondeoPersonalTecnico),ROUND(Programa!D$36*Hjor*'a)Plantilla'!$C52,RedondeoPersonalTecnico))),0)</f>
        <v>0</v>
      </c>
      <c r="AC105" s="27">
        <f>IF(Programa!D$37&gt;0,IF(TipoProgramaPersonalTecnico=1,ROUND(Programa!F$37*'a)Plantilla'!$C52,RedondeoPersonalTecnico),IF(TipoProgramaPersonalTecnico=2,ROUND(Programa!D$37*'a)Plantilla'!$C52,RedondeoPersonalTecnico),ROUND(Programa!D$37*Hjor*'a)Plantilla'!$C52,RedondeoPersonalTecnico))),0)</f>
        <v>0</v>
      </c>
      <c r="AD105" s="6">
        <f>IF(Programa!D$38&gt;0,IF(TipoProgramaPersonalTecnico=1,ROUND(Programa!F$38*'a)Plantilla'!$C52,RedondeoPersonalTecnico),IF(TipoProgramaPersonalTecnico=2,ROUND(Programa!D$38*'a)Plantilla'!$C52,RedondeoPersonalTecnico),ROUND(Programa!D$38*Hjor*'a)Plantilla'!$C52,RedondeoPersonalTecnico))),0)</f>
        <v>0</v>
      </c>
      <c r="AE105" s="6">
        <f>IF(Programa!D$39&gt;0,IF(TipoProgramaPersonalTecnico=1,ROUND(Programa!F$39*'a)Plantilla'!$C52,RedondeoPersonalTecnico),IF(TipoProgramaPersonalTecnico=2,ROUND(Programa!D$39*'a)Plantilla'!$C52,RedondeoPersonalTecnico),ROUND(Programa!D$39*Hjor*'a)Plantilla'!$C52,RedondeoPersonalTecnico))),0)</f>
        <v>0</v>
      </c>
      <c r="AF105" s="6">
        <f>IF(Programa!D$40&gt;0,IF(TipoProgramaPersonalTecnico=1,ROUND(Programa!F$40*'a)Plantilla'!$C52,RedondeoPersonalTecnico),IF(TipoProgramaPersonalTecnico=2,ROUND(Programa!D$40*'a)Plantilla'!$C52,RedondeoPersonalTecnico),ROUND(Programa!D$40*Hjor*'a)Plantilla'!$C52,RedondeoPersonalTecnico))),0)</f>
        <v>0</v>
      </c>
      <c r="AG105" s="6">
        <f>IF(Programa!D$41&gt;0,IF(TipoProgramaPersonalTecnico=1,ROUND(Programa!F$41*'a)Plantilla'!$C52,RedondeoPersonalTecnico),IF(TipoProgramaPersonalTecnico=2,ROUND(Programa!D$41*'a)Plantilla'!$C52,RedondeoPersonalTecnico),ROUND(Programa!D$41*Hjor*'a)Plantilla'!$C52,RedondeoPersonalTecnico))),0)</f>
        <v>0</v>
      </c>
      <c r="AH105" s="6">
        <f>IF(Programa!D$42&gt;0,IF(TipoProgramaPersonalTecnico=1,ROUND(Programa!F$42*'a)Plantilla'!$C52,RedondeoPersonalTecnico),IF(TipoProgramaPersonalTecnico=2,ROUND(Programa!D$42*'a)Plantilla'!$C52,RedondeoPersonalTecnico),ROUND(Programa!D$42*Hjor*'a)Plantilla'!$C52,RedondeoPersonalTecnico))),0)</f>
        <v>0</v>
      </c>
      <c r="AI105" s="6">
        <f>IF(Programa!D$43&gt;0,IF(TipoProgramaPersonalTecnico=1,ROUND(Programa!F$43*'a)Plantilla'!$C52,RedondeoPersonalTecnico),IF(TipoProgramaPersonalTecnico=2,ROUND(Programa!D$43*'a)Plantilla'!$C52,RedondeoPersonalTecnico),ROUND(Programa!D$43*Hjor*'a)Plantilla'!$C52,RedondeoPersonalTecnico))),0)</f>
        <v>0</v>
      </c>
      <c r="AJ105" s="6">
        <f>IF(Programa!D$44&gt;0,IF(TipoProgramaPersonalTecnico=1,ROUND(Programa!F$44*'a)Plantilla'!$C52,RedondeoPersonalTecnico),IF(TipoProgramaPersonalTecnico=2,ROUND(Programa!D$44*'a)Plantilla'!$C52,RedondeoPersonalTecnico),ROUND(Programa!D$44*Hjor*'a)Plantilla'!$C52,RedondeoPersonalTecnico))),0)</f>
        <v>0</v>
      </c>
      <c r="AK105" s="6">
        <f>IF(Programa!D$45&gt;0,IF(TipoProgramaPersonalTecnico=1,ROUND(Programa!F$45*'a)Plantilla'!$C52,RedondeoPersonalTecnico),IF(TipoProgramaPersonalTecnico=2,ROUND(Programa!D$45*'a)Plantilla'!$C52,RedondeoPersonalTecnico),ROUND(Programa!D$45*Hjor*'a)Plantilla'!$C52,RedondeoPersonalTecnico))),0)</f>
        <v>0</v>
      </c>
      <c r="AL105" s="6">
        <f>IF(Programa!D$46&gt;0,IF(TipoProgramaPersonalTecnico=1,ROUND(Programa!F$46*'a)Plantilla'!$C52,RedondeoPersonalTecnico),IF(TipoProgramaPersonalTecnico=2,ROUND(Programa!D$46*'a)Plantilla'!$C52,RedondeoPersonalTecnico),ROUND(Programa!D$46*Hjor*'a)Plantilla'!$C52,RedondeoPersonalTecnico))),0)</f>
        <v>0</v>
      </c>
      <c r="AM105" s="6">
        <f>IF(Programa!D$47&gt;0,IF(TipoProgramaPersonalTecnico=1,ROUND(Programa!F$47*'a)Plantilla'!$C52,RedondeoPersonalTecnico),IF(TipoProgramaPersonalTecnico=2,ROUND(Programa!D$47*'a)Plantilla'!$C52,RedondeoPersonalTecnico),ROUND(Programa!D$47*Hjor*'a)Plantilla'!$C52,RedondeoPersonalTecnico))),0)</f>
        <v>0</v>
      </c>
      <c r="AN105" s="78">
        <f>IF(Programa!D$48&gt;0,IF(TipoProgramaPersonalTecnico=1,ROUND(Programa!F$48*'a)Plantilla'!$C52,RedondeoPersonalTecnico),IF(TipoProgramaPersonalTecnico=2,ROUND(Programa!D$48*'a)Plantilla'!$C52,RedondeoPersonalTecnico),ROUND(Programa!D$48*Hjor*'a)Plantilla'!$C52,RedondeoPersonalTecnico))),0)</f>
        <v>0</v>
      </c>
      <c r="AO105" s="27">
        <f>IF(Programa!D$49&gt;0,IF(TipoProgramaPersonalTecnico=1,ROUND(Programa!F$49*'a)Plantilla'!$C52,RedondeoPersonalTecnico),IF(TipoProgramaPersonalTecnico=2,ROUND(Programa!D$49*'a)Plantilla'!$C52,RedondeoPersonalTecnico),ROUND(Programa!D$49*Hjor*'a)Plantilla'!$C52,RedondeoPersonalTecnico))),0)</f>
        <v>0</v>
      </c>
      <c r="AP105" s="6">
        <f>IF(Programa!D$50&gt;0,IF(TipoProgramaPersonalTecnico=1,ROUND(Programa!F$50*'a)Plantilla'!$C52,RedondeoPersonalTecnico),IF(TipoProgramaPersonalTecnico=2,ROUND(Programa!D$50*'a)Plantilla'!$C52,RedondeoPersonalTecnico),ROUND(Programa!D$50*Hjor*'a)Plantilla'!$C52,RedondeoPersonalTecnico))),0)</f>
        <v>0</v>
      </c>
      <c r="AQ105" s="6">
        <f>IF(Programa!D$51&gt;0,IF(TipoProgramaPersonalTecnico=1,ROUND(Programa!F$51*'a)Plantilla'!$C52,RedondeoPersonalTecnico),IF(TipoProgramaPersonalTecnico=2,ROUND(Programa!D$51*'a)Plantilla'!$C52,RedondeoPersonalTecnico),ROUND(Programa!D$51*Hjor*'a)Plantilla'!$C52,RedondeoPersonalTecnico))),0)</f>
        <v>0</v>
      </c>
      <c r="AR105" s="6">
        <f>IF(Programa!D$52&gt;0,IF(TipoProgramaPersonalTecnico=1,ROUND(Programa!F$52*'a)Plantilla'!$C52,RedondeoPersonalTecnico),IF(TipoProgramaPersonalTecnico=2,ROUND(Programa!D$52*'a)Plantilla'!$C52,RedondeoPersonalTecnico),ROUND(Programa!D$52*Hjor*'a)Plantilla'!$C52,RedondeoPersonalTecnico))),0)</f>
        <v>0</v>
      </c>
      <c r="AS105" s="6">
        <f>IF(Programa!D$53&gt;0,IF(TipoProgramaPersonalTecnico=1,ROUND(Programa!F$53*'a)Plantilla'!$C52,RedondeoPersonalTecnico),IF(TipoProgramaPersonalTecnico=2,ROUND(Programa!D$53*'a)Plantilla'!$C52,RedondeoPersonalTecnico),ROUND(Programa!D$53*Hjor*'a)Plantilla'!$C52,RedondeoPersonalTecnico))),0)</f>
        <v>0</v>
      </c>
      <c r="AT105" s="6">
        <f>IF(Programa!D$54&gt;0,IF(TipoProgramaPersonalTecnico=1,ROUND(Programa!F$54*'a)Plantilla'!$C52,RedondeoPersonalTecnico),IF(TipoProgramaPersonalTecnico=2,ROUND(Programa!D$54*'a)Plantilla'!$C52,RedondeoPersonalTecnico),ROUND(Programa!D$54*Hjor*'a)Plantilla'!$C52,RedondeoPersonalTecnico))),0)</f>
        <v>0</v>
      </c>
      <c r="AU105" s="6">
        <f>IF(Programa!D$55&gt;0,IF(TipoProgramaPersonalTecnico=1,ROUND(Programa!F$55*'a)Plantilla'!$C52,RedondeoPersonalTecnico),IF(TipoProgramaPersonalTecnico=2,ROUND(Programa!D$55*'a)Plantilla'!$C52,RedondeoPersonalTecnico),ROUND(Programa!D$55*Hjor*'a)Plantilla'!$C52,RedondeoPersonalTecnico))),0)</f>
        <v>0</v>
      </c>
      <c r="AV105" s="6">
        <f>IF(Programa!D$56&gt;0,IF(TipoProgramaPersonalTecnico=1,ROUND(Programa!F$56*'a)Plantilla'!$C52,RedondeoPersonalTecnico),IF(TipoProgramaPersonalTecnico=2,ROUND(Programa!D$56*'a)Plantilla'!$C52,RedondeoPersonalTecnico),ROUND(Programa!D$56*Hjor*'a)Plantilla'!$C52,RedondeoPersonalTecnico))),0)</f>
        <v>0</v>
      </c>
      <c r="AW105" s="6">
        <f>IF(Programa!D$57&gt;0,IF(TipoProgramaPersonalTecnico=1,ROUND(Programa!F$57*'a)Plantilla'!$C52,RedondeoPersonalTecnico),IF(TipoProgramaPersonalTecnico=2,ROUND(Programa!D$57*'a)Plantilla'!$C52,RedondeoPersonalTecnico),ROUND(Programa!D$57*Hjor*'a)Plantilla'!$C52,RedondeoPersonalTecnico))),0)</f>
        <v>0</v>
      </c>
      <c r="AX105" s="6">
        <f>IF(Programa!D$58&gt;0,IF(TipoProgramaPersonalTecnico=1,ROUND(Programa!F$58*'a)Plantilla'!$C52,RedondeoPersonalTecnico),IF(TipoProgramaPersonalTecnico=2,ROUND(Programa!D$58*'a)Plantilla'!$C52,RedondeoPersonalTecnico),ROUND(Programa!D$58*Hjor*'a)Plantilla'!$C52,RedondeoPersonalTecnico))),0)</f>
        <v>0</v>
      </c>
      <c r="AY105" s="6">
        <f>IF(Programa!D$59&gt;0,IF(TipoProgramaPersonalTecnico=1,ROUND(Programa!F$59*'a)Plantilla'!$C52,RedondeoPersonalTecnico),IF(TipoProgramaPersonalTecnico=2,ROUND(Programa!D$59*'a)Plantilla'!$C52,RedondeoPersonalTecnico),ROUND(Programa!D$59*Hjor*'a)Plantilla'!$C52,RedondeoPersonalTecnico))),0)</f>
        <v>0</v>
      </c>
      <c r="AZ105" s="6">
        <f>IF(Programa!D$60&gt;0,IF(TipoProgramaPersonalTecnico=1,ROUND(Programa!F$60*'a)Plantilla'!$C52,RedondeoPersonalTecnico),IF(TipoProgramaPersonalTecnico=2,ROUND(Programa!D$60*'a)Plantilla'!$C52,RedondeoPersonalTecnico),ROUND(Programa!D$60*Hjor*'a)Plantilla'!$C52,RedondeoPersonalTecnico))),0)</f>
        <v>0</v>
      </c>
      <c r="BA105" s="6">
        <f>IF(Programa!D$61&gt;0,IF(TipoProgramaPersonalTecnico=1,ROUND(Programa!F$61*'a)Plantilla'!$C52,RedondeoPersonalTecnico),IF(TipoProgramaPersonalTecnico=2,ROUND(Programa!D$61*'a)Plantilla'!$C52,RedondeoPersonalTecnico),ROUND(Programa!D$61*Hjor*'a)Plantilla'!$C52,RedondeoPersonalTecnico))),0)</f>
        <v>0</v>
      </c>
      <c r="BB105" s="6">
        <f>IF(Programa!D$62&gt;0,IF(TipoProgramaPersonalTecnico=1,ROUND(Programa!F$62*'a)Plantilla'!$C52,RedondeoPersonalTecnico),IF(TipoProgramaPersonalTecnico=2,ROUND(Programa!D$62*'a)Plantilla'!$C52,RedondeoPersonalTecnico),ROUND(Programa!D$62*Hjor*'a)Plantilla'!$C52,RedondeoPersonalTecnico))),0)</f>
        <v>0</v>
      </c>
      <c r="BC105" s="6">
        <f>IF(Programa!D$63&gt;0,IF(TipoProgramaPersonalTecnico=1,ROUND(Programa!F$63*'a)Plantilla'!$C52,RedondeoPersonalTecnico),IF(TipoProgramaPersonalTecnico=2,ROUND(Programa!D$63*'a)Plantilla'!$C52,RedondeoPersonalTecnico),ROUND(Programa!D$63*Hjor*'a)Plantilla'!$C52,RedondeoPersonalTecnico))),0)</f>
        <v>0</v>
      </c>
      <c r="BD105" s="6">
        <f>IF(Programa!D$64&gt;0,IF(TipoProgramaPersonalTecnico=1,ROUND(Programa!F$64*'a)Plantilla'!$C52,RedondeoPersonalTecnico),IF(TipoProgramaPersonalTecnico=2,ROUND(Programa!D$64*'a)Plantilla'!$C52,RedondeoPersonalTecnico),ROUND(Programa!D$64*Hjor*'a)Plantilla'!$C52,RedondeoPersonalTecnico))),0)</f>
        <v>0</v>
      </c>
      <c r="BE105" s="6">
        <f>IF(Programa!D$65&gt;0,IF(TipoProgramaPersonalTecnico=1,ROUND(Programa!F$65*'a)Plantilla'!$C52,RedondeoPersonalTecnico),IF(TipoProgramaPersonalTecnico=2,ROUND(Programa!D$65*'a)Plantilla'!$C52,RedondeoPersonalTecnico),ROUND(Programa!D$65*Hjor*'a)Plantilla'!$C52,RedondeoPersonalTecnico))),0)</f>
        <v>0</v>
      </c>
      <c r="BF105" s="6">
        <f>IF(Programa!D$66&gt;0,IF(TipoProgramaPersonalTecnico=1,ROUND(Programa!F$66*'a)Plantilla'!$C52,RedondeoPersonalTecnico),IF(TipoProgramaPersonalTecnico=2,ROUND(Programa!D$66*'a)Plantilla'!$C52,RedondeoPersonalTecnico),ROUND(Programa!D$66*Hjor*'a)Plantilla'!$C52,RedondeoPersonalTecnico))),0)</f>
        <v>0</v>
      </c>
      <c r="BG105" s="6">
        <f>IF(Programa!D$67&gt;0,IF(TipoProgramaPersonalTecnico=1,ROUND(Programa!F$67*'a)Plantilla'!$C52,RedondeoPersonalTecnico),IF(TipoProgramaPersonalTecnico=2,ROUND(Programa!D$67*'a)Plantilla'!$C52,RedondeoPersonalTecnico),ROUND(Programa!D$67*Hjor*'a)Plantilla'!$C52,RedondeoPersonalTecnico))),0)</f>
        <v>0</v>
      </c>
      <c r="BH105" s="6">
        <f>IF(Programa!D$68&gt;0,IF(TipoProgramaPersonalTecnico=1,ROUND(Programa!F$68*'a)Plantilla'!$C52,RedondeoPersonalTecnico),IF(TipoProgramaPersonalTecnico=2,ROUND(Programa!D$68*'a)Plantilla'!$C52,RedondeoPersonalTecnico),ROUND(Programa!D$68*Hjor*'a)Plantilla'!$C52,RedondeoPersonalTecnico))),0)</f>
        <v>0</v>
      </c>
      <c r="BI105" s="6">
        <f>IF(Programa!D$69&gt;0,IF(TipoProgramaPersonalTecnico=1,ROUND(Programa!F$69*'a)Plantilla'!$C52,RedondeoPersonalTecnico),IF(TipoProgramaPersonalTecnico=2,ROUND(Programa!D$69*'a)Plantilla'!$C52,RedondeoPersonalTecnico),ROUND(Programa!D$69*Hjor*'a)Plantilla'!$C52,RedondeoPersonalTecnico))),0)</f>
        <v>0</v>
      </c>
      <c r="BJ105" s="6">
        <f>IF(Programa!D$70&gt;0,IF(TipoProgramaPersonalTecnico=1,ROUND(Programa!F$70*'a)Plantilla'!$C52,RedondeoPersonalTecnico),IF(TipoProgramaPersonalTecnico=2,ROUND(Programa!D$70*'a)Plantilla'!$C52,RedondeoPersonalTecnico),ROUND(Programa!D$70*Hjor*'a)Plantilla'!$C52,RedondeoPersonalTecnico))),0)</f>
        <v>0</v>
      </c>
      <c r="BK105" s="6">
        <f>IF(Programa!D$71&gt;0,IF(TipoProgramaPersonalTecnico=1,ROUND(Programa!F$71*'a)Plantilla'!$C52,RedondeoPersonalTecnico),IF(TipoProgramaPersonalTecnico=2,ROUND(Programa!D$71*'a)Plantilla'!$C52,RedondeoPersonalTecnico),ROUND(Programa!D$71*Hjor*'a)Plantilla'!$C52,RedondeoPersonalTecnico))),0)</f>
        <v>0</v>
      </c>
      <c r="BL105" s="78">
        <f>IF(Programa!D$72&gt;0,IF(TipoProgramaPersonalTecnico=1,ROUND(Programa!F$72*'a)Plantilla'!$C52,RedondeoPersonalTecnico),IF(TipoProgramaPersonalTecnico=2,ROUND(Programa!D$72*'a)Plantilla'!$C52,RedondeoPersonalTecnico),ROUND(Programa!D$72*Hjor*'a)Plantilla'!$C52,RedondeoPersonalTecnico))),0)</f>
        <v>0</v>
      </c>
    </row>
    <row r="106" spans="1:64" ht="8.1" customHeight="1">
      <c r="A106" s="133"/>
      <c r="B106" s="46"/>
      <c r="C106" s="31"/>
      <c r="D106" s="22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78"/>
      <c r="Q106" s="27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8"/>
      <c r="AC106" s="27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78"/>
      <c r="AO106" s="27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78"/>
    </row>
    <row r="107" spans="1:64" ht="12.75" customHeight="1">
      <c r="A107" s="133"/>
      <c r="B107" s="46" t="str">
        <f>IF('a)Plantilla'!C53&gt;0,'a)Plantilla'!B53,"")</f>
        <v/>
      </c>
      <c r="C107" s="17" t="str">
        <f>IF('a)Plantilla'!C$53&gt;0,IF(TipoProgramaPersonalTecnico=1,"Personas",IF(TipoProgramaPersonalTecnico=2,"Jornal","horas-Hombre")),"")</f>
        <v/>
      </c>
      <c r="D107" s="226">
        <f>ROUND(SUM(E107:BL107),RedondeoPersonalTecnico)</f>
        <v>0</v>
      </c>
      <c r="E107" s="6">
        <f>IF(Programa!D$13&gt;0,IF(TipoProgramaPersonalTecnico=1,ROUND(Programa!F$13*'a)Plantilla'!$C53,RedondeoPersonalTecnico),IF(TipoProgramaPersonalTecnico=2,ROUND(Programa!D$13*'a)Plantilla'!$C53,RedondeoPersonalTecnico),ROUND(Programa!D$13*Hjor*'a)Plantilla'!$C53,RedondeoPersonalTecnico))),0)</f>
        <v>0</v>
      </c>
      <c r="F107" s="6">
        <f>IF(Programa!D$14&gt;0,IF(TipoProgramaPersonalTecnico=1,ROUND(Programa!F$14*'a)Plantilla'!$C53,RedondeoPersonalTecnico),IF(TipoProgramaPersonalTecnico=2,ROUND(Programa!D$14*'a)Plantilla'!$C53,RedondeoPersonalTecnico),ROUND(Programa!D$14*Hjor*'a)Plantilla'!$C53,RedondeoPersonalTecnico))),0)</f>
        <v>0</v>
      </c>
      <c r="G107" s="6">
        <f>IF(Programa!D$15&gt;0,IF(TipoProgramaPersonalTecnico=1,ROUND(Programa!F$15*'a)Plantilla'!$C53,RedondeoPersonalTecnico),IF(TipoProgramaPersonalTecnico=2,ROUND(Programa!D$15*'a)Plantilla'!$C53,RedondeoPersonalTecnico),ROUND(Programa!D$15*Hjor*'a)Plantilla'!$C53,RedondeoPersonalTecnico))),0)</f>
        <v>0</v>
      </c>
      <c r="H107" s="6">
        <f>IF(Programa!D$16&gt;0,IF(TipoProgramaPersonalTecnico=1,ROUND(Programa!F$16*'a)Plantilla'!$C53,RedondeoPersonalTecnico),IF(TipoProgramaPersonalTecnico=2,ROUND(Programa!D$16*'a)Plantilla'!$C53,RedondeoPersonalTecnico),ROUND(Programa!D$16*Hjor*'a)Plantilla'!$C53,RedondeoPersonalTecnico))),0)</f>
        <v>0</v>
      </c>
      <c r="I107" s="6">
        <f>IF(Programa!D$17&gt;0,IF(TipoProgramaPersonalTecnico=1,ROUND(Programa!F$17*'a)Plantilla'!$C53,RedondeoPersonalTecnico),IF(TipoProgramaPersonalTecnico=2,ROUND(Programa!D$17*'a)Plantilla'!$C53,RedondeoPersonalTecnico),ROUND(Programa!D$17*Hjor*'a)Plantilla'!$C53,RedondeoPersonalTecnico))),0)</f>
        <v>0</v>
      </c>
      <c r="J107" s="6">
        <f>IF(Programa!D$18&gt;0,IF(TipoProgramaPersonalTecnico=1,ROUND(Programa!F$18*'a)Plantilla'!$C53,RedondeoPersonalTecnico),IF(TipoProgramaPersonalTecnico=2,ROUND(Programa!D$18*'a)Plantilla'!$C53,RedondeoPersonalTecnico),ROUND(Programa!D$18*Hjor*'a)Plantilla'!$C53,RedondeoPersonalTecnico))),0)</f>
        <v>0</v>
      </c>
      <c r="K107" s="6">
        <f>IF(Programa!D$19&gt;0,IF(TipoProgramaPersonalTecnico=1,ROUND(Programa!F$19*'a)Plantilla'!$C53,RedondeoPersonalTecnico),IF(TipoProgramaPersonalTecnico=2,ROUND(Programa!D$19*'a)Plantilla'!$C53,RedondeoPersonalTecnico),ROUND(Programa!D$19*Hjor*'a)Plantilla'!$C53,RedondeoPersonalTecnico))),0)</f>
        <v>0</v>
      </c>
      <c r="L107" s="6">
        <f>IF(Programa!D$20&gt;0,IF(TipoProgramaPersonalTecnico=1,ROUND(Programa!F$20*'a)Plantilla'!$C53,RedondeoPersonalTecnico),IF(TipoProgramaPersonalTecnico=2,ROUND(Programa!D$20*'a)Plantilla'!$C53,RedondeoPersonalTecnico),ROUND(Programa!D$20*Hjor*'a)Plantilla'!$C53,RedondeoPersonalTecnico))),0)</f>
        <v>0</v>
      </c>
      <c r="M107" s="6">
        <f>IF(Programa!D$21&gt;0,IF(TipoProgramaPersonalTecnico=1,ROUND(Programa!F$21*'a)Plantilla'!$C53,RedondeoPersonalTecnico),IF(TipoProgramaPersonalTecnico=2,ROUND(Programa!D$21*'a)Plantilla'!$C53,RedondeoPersonalTecnico),ROUND(Programa!D$21*Hjor*'a)Plantilla'!$C53,RedondeoPersonalTecnico))),0)</f>
        <v>0</v>
      </c>
      <c r="N107" s="6">
        <f>IF(Programa!D$22&gt;0,IF(TipoProgramaPersonalTecnico=1,ROUND(Programa!F$22*'a)Plantilla'!$C53,RedondeoPersonalTecnico),IF(TipoProgramaPersonalTecnico=2,ROUND(Programa!D$22*'a)Plantilla'!$C53,RedondeoPersonalTecnico),ROUND(Programa!D$22*Hjor*'a)Plantilla'!$C53,RedondeoPersonalTecnico))),0)</f>
        <v>0</v>
      </c>
      <c r="O107" s="6">
        <f>IF(Programa!D$23&gt;0,IF(TipoProgramaPersonalTecnico=1,ROUND(Programa!F$23*'a)Plantilla'!$C53,RedondeoPersonalTecnico),IF(TipoProgramaPersonalTecnico=2,ROUND(Programa!D$23*'a)Plantilla'!$C53,RedondeoPersonalTecnico),ROUND(Programa!D$23*Hjor*'a)Plantilla'!$C53,RedondeoPersonalTecnico))),0)</f>
        <v>0</v>
      </c>
      <c r="P107" s="78">
        <f>IF(Programa!D$24&gt;0,IF(TipoProgramaPersonalTecnico=1,ROUND(Programa!F$24*'a)Plantilla'!$C53,RedondeoPersonalTecnico),IF(TipoProgramaPersonalTecnico=2,ROUND(Programa!D$24*'a)Plantilla'!$C53,RedondeoPersonalTecnico),ROUND(Programa!D$24*Hjor*'a)Plantilla'!$C53,RedondeoPersonalTecnico))),0)</f>
        <v>0</v>
      </c>
      <c r="Q107" s="27">
        <f>IF(Programa!D$25&gt;0,IF(TipoProgramaPersonalTecnico=1,ROUND(Programa!F$25*'a)Plantilla'!$C53,RedondeoPersonalTecnico),IF(TipoProgramaPersonalTecnico=2,ROUND(Programa!D$25*'a)Plantilla'!$C53,RedondeoPersonalTecnico),ROUND(Programa!D$25*Hjor*'a)Plantilla'!$C53,RedondeoPersonalTecnico))),0)</f>
        <v>0</v>
      </c>
      <c r="R107" s="6">
        <f>IF(Programa!D$26&gt;0,IF(TipoProgramaPersonalTecnico=1,ROUND(Programa!F$26*'a)Plantilla'!$C53,RedondeoPersonalTecnico),IF(TipoProgramaPersonalTecnico=2,ROUND(Programa!D$26*'a)Plantilla'!$C53,RedondeoPersonalTecnico),ROUND(Programa!D$26*Hjor*'a)Plantilla'!$C53,RedondeoPersonalTecnico))),0)</f>
        <v>0</v>
      </c>
      <c r="S107" s="6">
        <f>IF(Programa!D$27&gt;0,IF(TipoProgramaPersonalTecnico=1,ROUND(Programa!F$27*'a)Plantilla'!$C53,RedondeoPersonalTecnico),IF(TipoProgramaPersonalTecnico=2,ROUND(Programa!D$27*'a)Plantilla'!$C53,RedondeoPersonalTecnico),ROUND(Programa!D$27*Hjor*'a)Plantilla'!$C53,RedondeoPersonalTecnico))),0)</f>
        <v>0</v>
      </c>
      <c r="T107" s="6">
        <f>IF(Programa!D$28&gt;0,IF(TipoProgramaPersonalTecnico=1,ROUND(Programa!F$28*'a)Plantilla'!$C53,RedondeoPersonalTecnico),IF(TipoProgramaPersonalTecnico=2,ROUND(Programa!D$28*'a)Plantilla'!$C53,RedondeoPersonalTecnico),ROUND(Programa!D$28*Hjor*'a)Plantilla'!$C53,RedondeoPersonalTecnico))),0)</f>
        <v>0</v>
      </c>
      <c r="U107" s="6">
        <f>IF(Programa!D$29&gt;0,IF(TipoProgramaPersonalTecnico=1,ROUND(Programa!F$29*'a)Plantilla'!$C53,RedondeoPersonalTecnico),IF(TipoProgramaPersonalTecnico=2,ROUND(Programa!D$29*'a)Plantilla'!$C53,RedondeoPersonalTecnico),ROUND(Programa!D$29*Hjor*'a)Plantilla'!$C53,RedondeoPersonalTecnico))),0)</f>
        <v>0</v>
      </c>
      <c r="V107" s="6">
        <f>IF(Programa!D$30&gt;0,IF(TipoProgramaPersonalTecnico=1,ROUND(Programa!F$30*'a)Plantilla'!$C53,RedondeoPersonalTecnico),IF(TipoProgramaPersonalTecnico=2,ROUND(Programa!D$30*'a)Plantilla'!$C53,RedondeoPersonalTecnico),ROUND(Programa!D$30*Hjor*'a)Plantilla'!$C53,RedondeoPersonalTecnico))),0)</f>
        <v>0</v>
      </c>
      <c r="W107" s="6">
        <f>IF(Programa!D$31&gt;0,IF(TipoProgramaPersonalTecnico=1,ROUND(Programa!F$31*'a)Plantilla'!$C53,RedondeoPersonalTecnico),IF(TipoProgramaPersonalTecnico=2,ROUND(Programa!D$31*'a)Plantilla'!$C53,RedondeoPersonalTecnico),ROUND(Programa!D$31*Hjor*'a)Plantilla'!$C53,RedondeoPersonalTecnico))),0)</f>
        <v>0</v>
      </c>
      <c r="X107" s="6">
        <f>IF(Programa!D$32&gt;0,IF(TipoProgramaPersonalTecnico=1,ROUND(Programa!F$32*'a)Plantilla'!$C53,RedondeoPersonalTecnico),IF(TipoProgramaPersonalTecnico=2,ROUND(Programa!D$32*'a)Plantilla'!$C53,RedondeoPersonalTecnico),ROUND(Programa!D$32*Hjor*'a)Plantilla'!$C53,RedondeoPersonalTecnico))),0)</f>
        <v>0</v>
      </c>
      <c r="Y107" s="6">
        <f>IF(Programa!D$33&gt;0,IF(TipoProgramaPersonalTecnico=1,ROUND(Programa!F$33*'a)Plantilla'!$C53,RedondeoPersonalTecnico),IF(TipoProgramaPersonalTecnico=2,ROUND(Programa!D$33*'a)Plantilla'!$C53,RedondeoPersonalTecnico),ROUND(Programa!D$33*Hjor*'a)Plantilla'!$C53,RedondeoPersonalTecnico))),0)</f>
        <v>0</v>
      </c>
      <c r="Z107" s="6">
        <f>IF(Programa!D$34&gt;0,IF(TipoProgramaPersonalTecnico=1,ROUND(Programa!F$34*'a)Plantilla'!$C53,RedondeoPersonalTecnico),IF(TipoProgramaPersonalTecnico=2,ROUND(Programa!D$34*'a)Plantilla'!$C53,RedondeoPersonalTecnico),ROUND(Programa!D$34*Hjor*'a)Plantilla'!$C53,RedondeoPersonalTecnico))),0)</f>
        <v>0</v>
      </c>
      <c r="AA107" s="6">
        <f>IF(Programa!D$35&gt;0,IF(TipoProgramaPersonalTecnico=1,ROUND(Programa!F$35*'a)Plantilla'!$C53,RedondeoPersonalTecnico),IF(TipoProgramaPersonalTecnico=2,ROUND(Programa!D$35*'a)Plantilla'!$C53,RedondeoPersonalTecnico),ROUND(Programa!D$35*Hjor*'a)Plantilla'!$C53,RedondeoPersonalTecnico))),0)</f>
        <v>0</v>
      </c>
      <c r="AB107" s="78">
        <f>IF(Programa!D$36&gt;0,IF(TipoProgramaPersonalTecnico=1,ROUND(Programa!F$36*'a)Plantilla'!$C53,RedondeoPersonalTecnico),IF(TipoProgramaPersonalTecnico=2,ROUND(Programa!D$36*'a)Plantilla'!$C53,RedondeoPersonalTecnico),ROUND(Programa!D$36*Hjor*'a)Plantilla'!$C53,RedondeoPersonalTecnico))),0)</f>
        <v>0</v>
      </c>
      <c r="AC107" s="27">
        <f>IF(Programa!D$37&gt;0,IF(TipoProgramaPersonalTecnico=1,ROUND(Programa!F$37*'a)Plantilla'!$C53,RedondeoPersonalTecnico),IF(TipoProgramaPersonalTecnico=2,ROUND(Programa!D$37*'a)Plantilla'!$C53,RedondeoPersonalTecnico),ROUND(Programa!D$37*Hjor*'a)Plantilla'!$C53,RedondeoPersonalTecnico))),0)</f>
        <v>0</v>
      </c>
      <c r="AD107" s="6">
        <f>IF(Programa!D$38&gt;0,IF(TipoProgramaPersonalTecnico=1,ROUND(Programa!F$38*'a)Plantilla'!$C53,RedondeoPersonalTecnico),IF(TipoProgramaPersonalTecnico=2,ROUND(Programa!D$38*'a)Plantilla'!$C53,RedondeoPersonalTecnico),ROUND(Programa!D$38*Hjor*'a)Plantilla'!$C53,RedondeoPersonalTecnico))),0)</f>
        <v>0</v>
      </c>
      <c r="AE107" s="6">
        <f>IF(Programa!D$39&gt;0,IF(TipoProgramaPersonalTecnico=1,ROUND(Programa!F$39*'a)Plantilla'!$C53,RedondeoPersonalTecnico),IF(TipoProgramaPersonalTecnico=2,ROUND(Programa!D$39*'a)Plantilla'!$C53,RedondeoPersonalTecnico),ROUND(Programa!D$39*Hjor*'a)Plantilla'!$C53,RedondeoPersonalTecnico))),0)</f>
        <v>0</v>
      </c>
      <c r="AF107" s="6">
        <f>IF(Programa!D$40&gt;0,IF(TipoProgramaPersonalTecnico=1,ROUND(Programa!F$40*'a)Plantilla'!$C53,RedondeoPersonalTecnico),IF(TipoProgramaPersonalTecnico=2,ROUND(Programa!D$40*'a)Plantilla'!$C53,RedondeoPersonalTecnico),ROUND(Programa!D$40*Hjor*'a)Plantilla'!$C53,RedondeoPersonalTecnico))),0)</f>
        <v>0</v>
      </c>
      <c r="AG107" s="6">
        <f>IF(Programa!D$41&gt;0,IF(TipoProgramaPersonalTecnico=1,ROUND(Programa!F$41*'a)Plantilla'!$C53,RedondeoPersonalTecnico),IF(TipoProgramaPersonalTecnico=2,ROUND(Programa!D$41*'a)Plantilla'!$C53,RedondeoPersonalTecnico),ROUND(Programa!D$41*Hjor*'a)Plantilla'!$C53,RedondeoPersonalTecnico))),0)</f>
        <v>0</v>
      </c>
      <c r="AH107" s="6">
        <f>IF(Programa!D$42&gt;0,IF(TipoProgramaPersonalTecnico=1,ROUND(Programa!F$42*'a)Plantilla'!$C53,RedondeoPersonalTecnico),IF(TipoProgramaPersonalTecnico=2,ROUND(Programa!D$42*'a)Plantilla'!$C53,RedondeoPersonalTecnico),ROUND(Programa!D$42*Hjor*'a)Plantilla'!$C53,RedondeoPersonalTecnico))),0)</f>
        <v>0</v>
      </c>
      <c r="AI107" s="6">
        <f>IF(Programa!D$43&gt;0,IF(TipoProgramaPersonalTecnico=1,ROUND(Programa!F$43*'a)Plantilla'!$C53,RedondeoPersonalTecnico),IF(TipoProgramaPersonalTecnico=2,ROUND(Programa!D$43*'a)Plantilla'!$C53,RedondeoPersonalTecnico),ROUND(Programa!D$43*Hjor*'a)Plantilla'!$C53,RedondeoPersonalTecnico))),0)</f>
        <v>0</v>
      </c>
      <c r="AJ107" s="6">
        <f>IF(Programa!D$44&gt;0,IF(TipoProgramaPersonalTecnico=1,ROUND(Programa!F$44*'a)Plantilla'!$C53,RedondeoPersonalTecnico),IF(TipoProgramaPersonalTecnico=2,ROUND(Programa!D$44*'a)Plantilla'!$C53,RedondeoPersonalTecnico),ROUND(Programa!D$44*Hjor*'a)Plantilla'!$C53,RedondeoPersonalTecnico))),0)</f>
        <v>0</v>
      </c>
      <c r="AK107" s="6">
        <f>IF(Programa!D$45&gt;0,IF(TipoProgramaPersonalTecnico=1,ROUND(Programa!F$45*'a)Plantilla'!$C53,RedondeoPersonalTecnico),IF(TipoProgramaPersonalTecnico=2,ROUND(Programa!D$45*'a)Plantilla'!$C53,RedondeoPersonalTecnico),ROUND(Programa!D$45*Hjor*'a)Plantilla'!$C53,RedondeoPersonalTecnico))),0)</f>
        <v>0</v>
      </c>
      <c r="AL107" s="6">
        <f>IF(Programa!D$46&gt;0,IF(TipoProgramaPersonalTecnico=1,ROUND(Programa!F$46*'a)Plantilla'!$C53,RedondeoPersonalTecnico),IF(TipoProgramaPersonalTecnico=2,ROUND(Programa!D$46*'a)Plantilla'!$C53,RedondeoPersonalTecnico),ROUND(Programa!D$46*Hjor*'a)Plantilla'!$C53,RedondeoPersonalTecnico))),0)</f>
        <v>0</v>
      </c>
      <c r="AM107" s="6">
        <f>IF(Programa!D$47&gt;0,IF(TipoProgramaPersonalTecnico=1,ROUND(Programa!F$47*'a)Plantilla'!$C53,RedondeoPersonalTecnico),IF(TipoProgramaPersonalTecnico=2,ROUND(Programa!D$47*'a)Plantilla'!$C53,RedondeoPersonalTecnico),ROUND(Programa!D$47*Hjor*'a)Plantilla'!$C53,RedondeoPersonalTecnico))),0)</f>
        <v>0</v>
      </c>
      <c r="AN107" s="78">
        <f>IF(Programa!D$48&gt;0,IF(TipoProgramaPersonalTecnico=1,ROUND(Programa!F$48*'a)Plantilla'!$C53,RedondeoPersonalTecnico),IF(TipoProgramaPersonalTecnico=2,ROUND(Programa!D$48*'a)Plantilla'!$C53,RedondeoPersonalTecnico),ROUND(Programa!D$48*Hjor*'a)Plantilla'!$C53,RedondeoPersonalTecnico))),0)</f>
        <v>0</v>
      </c>
      <c r="AO107" s="27">
        <f>IF(Programa!D$49&gt;0,IF(TipoProgramaPersonalTecnico=1,ROUND(Programa!F$49*'a)Plantilla'!$C53,RedondeoPersonalTecnico),IF(TipoProgramaPersonalTecnico=2,ROUND(Programa!D$49*'a)Plantilla'!$C53,RedondeoPersonalTecnico),ROUND(Programa!D$49*Hjor*'a)Plantilla'!$C53,RedondeoPersonalTecnico))),0)</f>
        <v>0</v>
      </c>
      <c r="AP107" s="6">
        <f>IF(Programa!D$50&gt;0,IF(TipoProgramaPersonalTecnico=1,ROUND(Programa!F$50*'a)Plantilla'!$C53,RedondeoPersonalTecnico),IF(TipoProgramaPersonalTecnico=2,ROUND(Programa!D$50*'a)Plantilla'!$C53,RedondeoPersonalTecnico),ROUND(Programa!D$50*Hjor*'a)Plantilla'!$C53,RedondeoPersonalTecnico))),0)</f>
        <v>0</v>
      </c>
      <c r="AQ107" s="6">
        <f>IF(Programa!D$51&gt;0,IF(TipoProgramaPersonalTecnico=1,ROUND(Programa!F$51*'a)Plantilla'!$C53,RedondeoPersonalTecnico),IF(TipoProgramaPersonalTecnico=2,ROUND(Programa!D$51*'a)Plantilla'!$C53,RedondeoPersonalTecnico),ROUND(Programa!D$51*Hjor*'a)Plantilla'!$C53,RedondeoPersonalTecnico))),0)</f>
        <v>0</v>
      </c>
      <c r="AR107" s="6">
        <f>IF(Programa!D$52&gt;0,IF(TipoProgramaPersonalTecnico=1,ROUND(Programa!F$52*'a)Plantilla'!$C53,RedondeoPersonalTecnico),IF(TipoProgramaPersonalTecnico=2,ROUND(Programa!D$52*'a)Plantilla'!$C53,RedondeoPersonalTecnico),ROUND(Programa!D$52*Hjor*'a)Plantilla'!$C53,RedondeoPersonalTecnico))),0)</f>
        <v>0</v>
      </c>
      <c r="AS107" s="6">
        <f>IF(Programa!D$53&gt;0,IF(TipoProgramaPersonalTecnico=1,ROUND(Programa!F$53*'a)Plantilla'!$C53,RedondeoPersonalTecnico),IF(TipoProgramaPersonalTecnico=2,ROUND(Programa!D$53*'a)Plantilla'!$C53,RedondeoPersonalTecnico),ROUND(Programa!D$53*Hjor*'a)Plantilla'!$C53,RedondeoPersonalTecnico))),0)</f>
        <v>0</v>
      </c>
      <c r="AT107" s="6">
        <f>IF(Programa!D$54&gt;0,IF(TipoProgramaPersonalTecnico=1,ROUND(Programa!F$54*'a)Plantilla'!$C53,RedondeoPersonalTecnico),IF(TipoProgramaPersonalTecnico=2,ROUND(Programa!D$54*'a)Plantilla'!$C53,RedondeoPersonalTecnico),ROUND(Programa!D$54*Hjor*'a)Plantilla'!$C53,RedondeoPersonalTecnico))),0)</f>
        <v>0</v>
      </c>
      <c r="AU107" s="6">
        <f>IF(Programa!D$55&gt;0,IF(TipoProgramaPersonalTecnico=1,ROUND(Programa!F$55*'a)Plantilla'!$C53,RedondeoPersonalTecnico),IF(TipoProgramaPersonalTecnico=2,ROUND(Programa!D$55*'a)Plantilla'!$C53,RedondeoPersonalTecnico),ROUND(Programa!D$55*Hjor*'a)Plantilla'!$C53,RedondeoPersonalTecnico))),0)</f>
        <v>0</v>
      </c>
      <c r="AV107" s="6">
        <f>IF(Programa!D$56&gt;0,IF(TipoProgramaPersonalTecnico=1,ROUND(Programa!F$56*'a)Plantilla'!$C53,RedondeoPersonalTecnico),IF(TipoProgramaPersonalTecnico=2,ROUND(Programa!D$56*'a)Plantilla'!$C53,RedondeoPersonalTecnico),ROUND(Programa!D$56*Hjor*'a)Plantilla'!$C53,RedondeoPersonalTecnico))),0)</f>
        <v>0</v>
      </c>
      <c r="AW107" s="6">
        <f>IF(Programa!D$57&gt;0,IF(TipoProgramaPersonalTecnico=1,ROUND(Programa!F$57*'a)Plantilla'!$C53,RedondeoPersonalTecnico),IF(TipoProgramaPersonalTecnico=2,ROUND(Programa!D$57*'a)Plantilla'!$C53,RedondeoPersonalTecnico),ROUND(Programa!D$57*Hjor*'a)Plantilla'!$C53,RedondeoPersonalTecnico))),0)</f>
        <v>0</v>
      </c>
      <c r="AX107" s="6">
        <f>IF(Programa!D$58&gt;0,IF(TipoProgramaPersonalTecnico=1,ROUND(Programa!F$58*'a)Plantilla'!$C53,RedondeoPersonalTecnico),IF(TipoProgramaPersonalTecnico=2,ROUND(Programa!D$58*'a)Plantilla'!$C53,RedondeoPersonalTecnico),ROUND(Programa!D$58*Hjor*'a)Plantilla'!$C53,RedondeoPersonalTecnico))),0)</f>
        <v>0</v>
      </c>
      <c r="AY107" s="6">
        <f>IF(Programa!D$59&gt;0,IF(TipoProgramaPersonalTecnico=1,ROUND(Programa!F$59*'a)Plantilla'!$C53,RedondeoPersonalTecnico),IF(TipoProgramaPersonalTecnico=2,ROUND(Programa!D$59*'a)Plantilla'!$C53,RedondeoPersonalTecnico),ROUND(Programa!D$59*Hjor*'a)Plantilla'!$C53,RedondeoPersonalTecnico))),0)</f>
        <v>0</v>
      </c>
      <c r="AZ107" s="6">
        <f>IF(Programa!D$60&gt;0,IF(TipoProgramaPersonalTecnico=1,ROUND(Programa!F$60*'a)Plantilla'!$C53,RedondeoPersonalTecnico),IF(TipoProgramaPersonalTecnico=2,ROUND(Programa!D$60*'a)Plantilla'!$C53,RedondeoPersonalTecnico),ROUND(Programa!D$60*Hjor*'a)Plantilla'!$C53,RedondeoPersonalTecnico))),0)</f>
        <v>0</v>
      </c>
      <c r="BA107" s="6">
        <f>IF(Programa!D$61&gt;0,IF(TipoProgramaPersonalTecnico=1,ROUND(Programa!F$61*'a)Plantilla'!$C53,RedondeoPersonalTecnico),IF(TipoProgramaPersonalTecnico=2,ROUND(Programa!D$61*'a)Plantilla'!$C53,RedondeoPersonalTecnico),ROUND(Programa!D$61*Hjor*'a)Plantilla'!$C53,RedondeoPersonalTecnico))),0)</f>
        <v>0</v>
      </c>
      <c r="BB107" s="6">
        <f>IF(Programa!D$62&gt;0,IF(TipoProgramaPersonalTecnico=1,ROUND(Programa!F$62*'a)Plantilla'!$C53,RedondeoPersonalTecnico),IF(TipoProgramaPersonalTecnico=2,ROUND(Programa!D$62*'a)Plantilla'!$C53,RedondeoPersonalTecnico),ROUND(Programa!D$62*Hjor*'a)Plantilla'!$C53,RedondeoPersonalTecnico))),0)</f>
        <v>0</v>
      </c>
      <c r="BC107" s="6">
        <f>IF(Programa!D$63&gt;0,IF(TipoProgramaPersonalTecnico=1,ROUND(Programa!F$63*'a)Plantilla'!$C53,RedondeoPersonalTecnico),IF(TipoProgramaPersonalTecnico=2,ROUND(Programa!D$63*'a)Plantilla'!$C53,RedondeoPersonalTecnico),ROUND(Programa!D$63*Hjor*'a)Plantilla'!$C53,RedondeoPersonalTecnico))),0)</f>
        <v>0</v>
      </c>
      <c r="BD107" s="6">
        <f>IF(Programa!D$64&gt;0,IF(TipoProgramaPersonalTecnico=1,ROUND(Programa!F$64*'a)Plantilla'!$C53,RedondeoPersonalTecnico),IF(TipoProgramaPersonalTecnico=2,ROUND(Programa!D$64*'a)Plantilla'!$C53,RedondeoPersonalTecnico),ROUND(Programa!D$64*Hjor*'a)Plantilla'!$C53,RedondeoPersonalTecnico))),0)</f>
        <v>0</v>
      </c>
      <c r="BE107" s="6">
        <f>IF(Programa!D$65&gt;0,IF(TipoProgramaPersonalTecnico=1,ROUND(Programa!F$65*'a)Plantilla'!$C53,RedondeoPersonalTecnico),IF(TipoProgramaPersonalTecnico=2,ROUND(Programa!D$65*'a)Plantilla'!$C53,RedondeoPersonalTecnico),ROUND(Programa!D$65*Hjor*'a)Plantilla'!$C53,RedondeoPersonalTecnico))),0)</f>
        <v>0</v>
      </c>
      <c r="BF107" s="6">
        <f>IF(Programa!D$66&gt;0,IF(TipoProgramaPersonalTecnico=1,ROUND(Programa!F$66*'a)Plantilla'!$C53,RedondeoPersonalTecnico),IF(TipoProgramaPersonalTecnico=2,ROUND(Programa!D$66*'a)Plantilla'!$C53,RedondeoPersonalTecnico),ROUND(Programa!D$66*Hjor*'a)Plantilla'!$C53,RedondeoPersonalTecnico))),0)</f>
        <v>0</v>
      </c>
      <c r="BG107" s="6">
        <f>IF(Programa!D$67&gt;0,IF(TipoProgramaPersonalTecnico=1,ROUND(Programa!F$67*'a)Plantilla'!$C53,RedondeoPersonalTecnico),IF(TipoProgramaPersonalTecnico=2,ROUND(Programa!D$67*'a)Plantilla'!$C53,RedondeoPersonalTecnico),ROUND(Programa!D$67*Hjor*'a)Plantilla'!$C53,RedondeoPersonalTecnico))),0)</f>
        <v>0</v>
      </c>
      <c r="BH107" s="6">
        <f>IF(Programa!D$68&gt;0,IF(TipoProgramaPersonalTecnico=1,ROUND(Programa!F$68*'a)Plantilla'!$C53,RedondeoPersonalTecnico),IF(TipoProgramaPersonalTecnico=2,ROUND(Programa!D$68*'a)Plantilla'!$C53,RedondeoPersonalTecnico),ROUND(Programa!D$68*Hjor*'a)Plantilla'!$C53,RedondeoPersonalTecnico))),0)</f>
        <v>0</v>
      </c>
      <c r="BI107" s="6">
        <f>IF(Programa!D$69&gt;0,IF(TipoProgramaPersonalTecnico=1,ROUND(Programa!F$69*'a)Plantilla'!$C53,RedondeoPersonalTecnico),IF(TipoProgramaPersonalTecnico=2,ROUND(Programa!D$69*'a)Plantilla'!$C53,RedondeoPersonalTecnico),ROUND(Programa!D$69*Hjor*'a)Plantilla'!$C53,RedondeoPersonalTecnico))),0)</f>
        <v>0</v>
      </c>
      <c r="BJ107" s="6">
        <f>IF(Programa!D$70&gt;0,IF(TipoProgramaPersonalTecnico=1,ROUND(Programa!F$70*'a)Plantilla'!$C53,RedondeoPersonalTecnico),IF(TipoProgramaPersonalTecnico=2,ROUND(Programa!D$70*'a)Plantilla'!$C53,RedondeoPersonalTecnico),ROUND(Programa!D$70*Hjor*'a)Plantilla'!$C53,RedondeoPersonalTecnico))),0)</f>
        <v>0</v>
      </c>
      <c r="BK107" s="6">
        <f>IF(Programa!D$71&gt;0,IF(TipoProgramaPersonalTecnico=1,ROUND(Programa!F$71*'a)Plantilla'!$C53,RedondeoPersonalTecnico),IF(TipoProgramaPersonalTecnico=2,ROUND(Programa!D$71*'a)Plantilla'!$C53,RedondeoPersonalTecnico),ROUND(Programa!D$71*Hjor*'a)Plantilla'!$C53,RedondeoPersonalTecnico))),0)</f>
        <v>0</v>
      </c>
      <c r="BL107" s="78">
        <f>IF(Programa!D$72&gt;0,IF(TipoProgramaPersonalTecnico=1,ROUND(Programa!F$72*'a)Plantilla'!$C53,RedondeoPersonalTecnico),IF(TipoProgramaPersonalTecnico=2,ROUND(Programa!D$72*'a)Plantilla'!$C53,RedondeoPersonalTecnico),ROUND(Programa!D$72*Hjor*'a)Plantilla'!$C53,RedondeoPersonalTecnico))),0)</f>
        <v>0</v>
      </c>
    </row>
    <row r="108" spans="1:64" ht="8.1" customHeight="1">
      <c r="A108" s="133"/>
      <c r="B108" s="46"/>
      <c r="C108" s="31"/>
      <c r="D108" s="22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78"/>
      <c r="Q108" s="27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78"/>
      <c r="AC108" s="27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78"/>
      <c r="AO108" s="27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78"/>
    </row>
    <row r="109" spans="1:64" ht="12.75" customHeight="1">
      <c r="A109" s="133"/>
      <c r="B109" s="46" t="str">
        <f>IF('a)Plantilla'!C54&gt;0,'a)Plantilla'!B54,"")</f>
        <v/>
      </c>
      <c r="C109" s="17" t="str">
        <f>IF('a)Plantilla'!C$54&gt;0,IF(TipoProgramaPersonalTecnico=1,"Personas",IF(TipoProgramaPersonalTecnico=2,"Jornal","horas-Hombre")),"")</f>
        <v/>
      </c>
      <c r="D109" s="226">
        <f>ROUND(SUM(E109:BL109),RedondeoPersonalTecnico)</f>
        <v>0</v>
      </c>
      <c r="E109" s="6">
        <f>IF(Programa!D$13&gt;0,IF(TipoProgramaPersonalTecnico=1,ROUND(Programa!F$13*'a)Plantilla'!$C54,RedondeoPersonalTecnico),IF(TipoProgramaPersonalTecnico=2,ROUND(Programa!D$13*'a)Plantilla'!$C54,RedondeoPersonalTecnico),ROUND(Programa!D$13*Hjor*'a)Plantilla'!$C54,RedondeoPersonalTecnico))),0)</f>
        <v>0</v>
      </c>
      <c r="F109" s="6">
        <f>IF(Programa!D$14&gt;0,IF(TipoProgramaPersonalTecnico=1,ROUND(Programa!F$14*'a)Plantilla'!$C54,RedondeoPersonalTecnico),IF(TipoProgramaPersonalTecnico=2,ROUND(Programa!D$14*'a)Plantilla'!$C54,RedondeoPersonalTecnico),ROUND(Programa!D$14*Hjor*'a)Plantilla'!$C54,RedondeoPersonalTecnico))),0)</f>
        <v>0</v>
      </c>
      <c r="G109" s="6">
        <f>IF(Programa!D$15&gt;0,IF(TipoProgramaPersonalTecnico=1,ROUND(Programa!F$15*'a)Plantilla'!$C54,RedondeoPersonalTecnico),IF(TipoProgramaPersonalTecnico=2,ROUND(Programa!D$15*'a)Plantilla'!$C54,RedondeoPersonalTecnico),ROUND(Programa!D$15*Hjor*'a)Plantilla'!$C54,RedondeoPersonalTecnico))),0)</f>
        <v>0</v>
      </c>
      <c r="H109" s="6">
        <f>IF(Programa!D$16&gt;0,IF(TipoProgramaPersonalTecnico=1,ROUND(Programa!F$16*'a)Plantilla'!$C54,RedondeoPersonalTecnico),IF(TipoProgramaPersonalTecnico=2,ROUND(Programa!D$16*'a)Plantilla'!$C54,RedondeoPersonalTecnico),ROUND(Programa!D$16*Hjor*'a)Plantilla'!$C54,RedondeoPersonalTecnico))),0)</f>
        <v>0</v>
      </c>
      <c r="I109" s="6">
        <f>IF(Programa!D$17&gt;0,IF(TipoProgramaPersonalTecnico=1,ROUND(Programa!F$17*'a)Plantilla'!$C54,RedondeoPersonalTecnico),IF(TipoProgramaPersonalTecnico=2,ROUND(Programa!D$17*'a)Plantilla'!$C54,RedondeoPersonalTecnico),ROUND(Programa!D$17*Hjor*'a)Plantilla'!$C54,RedondeoPersonalTecnico))),0)</f>
        <v>0</v>
      </c>
      <c r="J109" s="6">
        <f>IF(Programa!D$18&gt;0,IF(TipoProgramaPersonalTecnico=1,ROUND(Programa!F$18*'a)Plantilla'!$C54,RedondeoPersonalTecnico),IF(TipoProgramaPersonalTecnico=2,ROUND(Programa!D$18*'a)Plantilla'!$C54,RedondeoPersonalTecnico),ROUND(Programa!D$18*Hjor*'a)Plantilla'!$C54,RedondeoPersonalTecnico))),0)</f>
        <v>0</v>
      </c>
      <c r="K109" s="6">
        <f>IF(Programa!D$19&gt;0,IF(TipoProgramaPersonalTecnico=1,ROUND(Programa!F$19*'a)Plantilla'!$C54,RedondeoPersonalTecnico),IF(TipoProgramaPersonalTecnico=2,ROUND(Programa!D$19*'a)Plantilla'!$C54,RedondeoPersonalTecnico),ROUND(Programa!D$19*Hjor*'a)Plantilla'!$C54,RedondeoPersonalTecnico))),0)</f>
        <v>0</v>
      </c>
      <c r="L109" s="6">
        <f>IF(Programa!D$20&gt;0,IF(TipoProgramaPersonalTecnico=1,ROUND(Programa!F$20*'a)Plantilla'!$C54,RedondeoPersonalTecnico),IF(TipoProgramaPersonalTecnico=2,ROUND(Programa!D$20*'a)Plantilla'!$C54,RedondeoPersonalTecnico),ROUND(Programa!D$20*Hjor*'a)Plantilla'!$C54,RedondeoPersonalTecnico))),0)</f>
        <v>0</v>
      </c>
      <c r="M109" s="6">
        <f>IF(Programa!D$21&gt;0,IF(TipoProgramaPersonalTecnico=1,ROUND(Programa!F$21*'a)Plantilla'!$C54,RedondeoPersonalTecnico),IF(TipoProgramaPersonalTecnico=2,ROUND(Programa!D$21*'a)Plantilla'!$C54,RedondeoPersonalTecnico),ROUND(Programa!D$21*Hjor*'a)Plantilla'!$C54,RedondeoPersonalTecnico))),0)</f>
        <v>0</v>
      </c>
      <c r="N109" s="6">
        <f>IF(Programa!D$22&gt;0,IF(TipoProgramaPersonalTecnico=1,ROUND(Programa!F$22*'a)Plantilla'!$C54,RedondeoPersonalTecnico),IF(TipoProgramaPersonalTecnico=2,ROUND(Programa!D$22*'a)Plantilla'!$C54,RedondeoPersonalTecnico),ROUND(Programa!D$22*Hjor*'a)Plantilla'!$C54,RedondeoPersonalTecnico))),0)</f>
        <v>0</v>
      </c>
      <c r="O109" s="6">
        <f>IF(Programa!D$23&gt;0,IF(TipoProgramaPersonalTecnico=1,ROUND(Programa!F$23*'a)Plantilla'!$C54,RedondeoPersonalTecnico),IF(TipoProgramaPersonalTecnico=2,ROUND(Programa!D$23*'a)Plantilla'!$C54,RedondeoPersonalTecnico),ROUND(Programa!D$23*Hjor*'a)Plantilla'!$C54,RedondeoPersonalTecnico))),0)</f>
        <v>0</v>
      </c>
      <c r="P109" s="78">
        <f>IF(Programa!D$24&gt;0,IF(TipoProgramaPersonalTecnico=1,ROUND(Programa!F$24*'a)Plantilla'!$C54,RedondeoPersonalTecnico),IF(TipoProgramaPersonalTecnico=2,ROUND(Programa!D$24*'a)Plantilla'!$C54,RedondeoPersonalTecnico),ROUND(Programa!D$24*Hjor*'a)Plantilla'!$C54,RedondeoPersonalTecnico))),0)</f>
        <v>0</v>
      </c>
      <c r="Q109" s="27">
        <f>IF(Programa!D$25&gt;0,IF(TipoProgramaPersonalTecnico=1,ROUND(Programa!F$25*'a)Plantilla'!$C54,RedondeoPersonalTecnico),IF(TipoProgramaPersonalTecnico=2,ROUND(Programa!D$25*'a)Plantilla'!$C54,RedondeoPersonalTecnico),ROUND(Programa!D$25*Hjor*'a)Plantilla'!$C54,RedondeoPersonalTecnico))),0)</f>
        <v>0</v>
      </c>
      <c r="R109" s="6">
        <f>IF(Programa!D$26&gt;0,IF(TipoProgramaPersonalTecnico=1,ROUND(Programa!F$26*'a)Plantilla'!$C54,RedondeoPersonalTecnico),IF(TipoProgramaPersonalTecnico=2,ROUND(Programa!D$26*'a)Plantilla'!$C54,RedondeoPersonalTecnico),ROUND(Programa!D$26*Hjor*'a)Plantilla'!$C54,RedondeoPersonalTecnico))),0)</f>
        <v>0</v>
      </c>
      <c r="S109" s="6">
        <f>IF(Programa!D$27&gt;0,IF(TipoProgramaPersonalTecnico=1,ROUND(Programa!F$27*'a)Plantilla'!$C54,RedondeoPersonalTecnico),IF(TipoProgramaPersonalTecnico=2,ROUND(Programa!D$27*'a)Plantilla'!$C54,RedondeoPersonalTecnico),ROUND(Programa!D$27*Hjor*'a)Plantilla'!$C54,RedondeoPersonalTecnico))),0)</f>
        <v>0</v>
      </c>
      <c r="T109" s="6">
        <f>IF(Programa!D$28&gt;0,IF(TipoProgramaPersonalTecnico=1,ROUND(Programa!F$28*'a)Plantilla'!$C54,RedondeoPersonalTecnico),IF(TipoProgramaPersonalTecnico=2,ROUND(Programa!D$28*'a)Plantilla'!$C54,RedondeoPersonalTecnico),ROUND(Programa!D$28*Hjor*'a)Plantilla'!$C54,RedondeoPersonalTecnico))),0)</f>
        <v>0</v>
      </c>
      <c r="U109" s="6">
        <f>IF(Programa!D$29&gt;0,IF(TipoProgramaPersonalTecnico=1,ROUND(Programa!F$29*'a)Plantilla'!$C54,RedondeoPersonalTecnico),IF(TipoProgramaPersonalTecnico=2,ROUND(Programa!D$29*'a)Plantilla'!$C54,RedondeoPersonalTecnico),ROUND(Programa!D$29*Hjor*'a)Plantilla'!$C54,RedondeoPersonalTecnico))),0)</f>
        <v>0</v>
      </c>
      <c r="V109" s="6">
        <f>IF(Programa!D$30&gt;0,IF(TipoProgramaPersonalTecnico=1,ROUND(Programa!F$30*'a)Plantilla'!$C54,RedondeoPersonalTecnico),IF(TipoProgramaPersonalTecnico=2,ROUND(Programa!D$30*'a)Plantilla'!$C54,RedondeoPersonalTecnico),ROUND(Programa!D$30*Hjor*'a)Plantilla'!$C54,RedondeoPersonalTecnico))),0)</f>
        <v>0</v>
      </c>
      <c r="W109" s="6">
        <f>IF(Programa!D$31&gt;0,IF(TipoProgramaPersonalTecnico=1,ROUND(Programa!F$31*'a)Plantilla'!$C54,RedondeoPersonalTecnico),IF(TipoProgramaPersonalTecnico=2,ROUND(Programa!D$31*'a)Plantilla'!$C54,RedondeoPersonalTecnico),ROUND(Programa!D$31*Hjor*'a)Plantilla'!$C54,RedondeoPersonalTecnico))),0)</f>
        <v>0</v>
      </c>
      <c r="X109" s="6">
        <f>IF(Programa!D$32&gt;0,IF(TipoProgramaPersonalTecnico=1,ROUND(Programa!F$32*'a)Plantilla'!$C54,RedondeoPersonalTecnico),IF(TipoProgramaPersonalTecnico=2,ROUND(Programa!D$32*'a)Plantilla'!$C54,RedondeoPersonalTecnico),ROUND(Programa!D$32*Hjor*'a)Plantilla'!$C54,RedondeoPersonalTecnico))),0)</f>
        <v>0</v>
      </c>
      <c r="Y109" s="6">
        <f>IF(Programa!D$33&gt;0,IF(TipoProgramaPersonalTecnico=1,ROUND(Programa!F$33*'a)Plantilla'!$C54,RedondeoPersonalTecnico),IF(TipoProgramaPersonalTecnico=2,ROUND(Programa!D$33*'a)Plantilla'!$C54,RedondeoPersonalTecnico),ROUND(Programa!D$33*Hjor*'a)Plantilla'!$C54,RedondeoPersonalTecnico))),0)</f>
        <v>0</v>
      </c>
      <c r="Z109" s="6">
        <f>IF(Programa!D$34&gt;0,IF(TipoProgramaPersonalTecnico=1,ROUND(Programa!F$34*'a)Plantilla'!$C54,RedondeoPersonalTecnico),IF(TipoProgramaPersonalTecnico=2,ROUND(Programa!D$34*'a)Plantilla'!$C54,RedondeoPersonalTecnico),ROUND(Programa!D$34*Hjor*'a)Plantilla'!$C54,RedondeoPersonalTecnico))),0)</f>
        <v>0</v>
      </c>
      <c r="AA109" s="6">
        <f>IF(Programa!D$35&gt;0,IF(TipoProgramaPersonalTecnico=1,ROUND(Programa!F$35*'a)Plantilla'!$C54,RedondeoPersonalTecnico),IF(TipoProgramaPersonalTecnico=2,ROUND(Programa!D$35*'a)Plantilla'!$C54,RedondeoPersonalTecnico),ROUND(Programa!D$35*Hjor*'a)Plantilla'!$C54,RedondeoPersonalTecnico))),0)</f>
        <v>0</v>
      </c>
      <c r="AB109" s="78">
        <f>IF(Programa!D$36&gt;0,IF(TipoProgramaPersonalTecnico=1,ROUND(Programa!F$36*'a)Plantilla'!$C54,RedondeoPersonalTecnico),IF(TipoProgramaPersonalTecnico=2,ROUND(Programa!D$36*'a)Plantilla'!$C54,RedondeoPersonalTecnico),ROUND(Programa!D$36*Hjor*'a)Plantilla'!$C54,RedondeoPersonalTecnico))),0)</f>
        <v>0</v>
      </c>
      <c r="AC109" s="27">
        <f>IF(Programa!D$37&gt;0,IF(TipoProgramaPersonalTecnico=1,ROUND(Programa!F$37*'a)Plantilla'!$C54,RedondeoPersonalTecnico),IF(TipoProgramaPersonalTecnico=2,ROUND(Programa!D$37*'a)Plantilla'!$C54,RedondeoPersonalTecnico),ROUND(Programa!D$37*Hjor*'a)Plantilla'!$C54,RedondeoPersonalTecnico))),0)</f>
        <v>0</v>
      </c>
      <c r="AD109" s="6">
        <f>IF(Programa!D$38&gt;0,IF(TipoProgramaPersonalTecnico=1,ROUND(Programa!F$38*'a)Plantilla'!$C54,RedondeoPersonalTecnico),IF(TipoProgramaPersonalTecnico=2,ROUND(Programa!D$38*'a)Plantilla'!$C54,RedondeoPersonalTecnico),ROUND(Programa!D$38*Hjor*'a)Plantilla'!$C54,RedondeoPersonalTecnico))),0)</f>
        <v>0</v>
      </c>
      <c r="AE109" s="6">
        <f>IF(Programa!D$39&gt;0,IF(TipoProgramaPersonalTecnico=1,ROUND(Programa!F$39*'a)Plantilla'!$C54,RedondeoPersonalTecnico),IF(TipoProgramaPersonalTecnico=2,ROUND(Programa!D$39*'a)Plantilla'!$C54,RedondeoPersonalTecnico),ROUND(Programa!D$39*Hjor*'a)Plantilla'!$C54,RedondeoPersonalTecnico))),0)</f>
        <v>0</v>
      </c>
      <c r="AF109" s="6">
        <f>IF(Programa!D$40&gt;0,IF(TipoProgramaPersonalTecnico=1,ROUND(Programa!F$40*'a)Plantilla'!$C54,RedondeoPersonalTecnico),IF(TipoProgramaPersonalTecnico=2,ROUND(Programa!D$40*'a)Plantilla'!$C54,RedondeoPersonalTecnico),ROUND(Programa!D$40*Hjor*'a)Plantilla'!$C54,RedondeoPersonalTecnico))),0)</f>
        <v>0</v>
      </c>
      <c r="AG109" s="6">
        <f>IF(Programa!D$41&gt;0,IF(TipoProgramaPersonalTecnico=1,ROUND(Programa!F$41*'a)Plantilla'!$C54,RedondeoPersonalTecnico),IF(TipoProgramaPersonalTecnico=2,ROUND(Programa!D$41*'a)Plantilla'!$C54,RedondeoPersonalTecnico),ROUND(Programa!D$41*Hjor*'a)Plantilla'!$C54,RedondeoPersonalTecnico))),0)</f>
        <v>0</v>
      </c>
      <c r="AH109" s="6">
        <f>IF(Programa!D$42&gt;0,IF(TipoProgramaPersonalTecnico=1,ROUND(Programa!F$42*'a)Plantilla'!$C54,RedondeoPersonalTecnico),IF(TipoProgramaPersonalTecnico=2,ROUND(Programa!D$42*'a)Plantilla'!$C54,RedondeoPersonalTecnico),ROUND(Programa!D$42*Hjor*'a)Plantilla'!$C54,RedondeoPersonalTecnico))),0)</f>
        <v>0</v>
      </c>
      <c r="AI109" s="6">
        <f>IF(Programa!D$43&gt;0,IF(TipoProgramaPersonalTecnico=1,ROUND(Programa!F$43*'a)Plantilla'!$C54,RedondeoPersonalTecnico),IF(TipoProgramaPersonalTecnico=2,ROUND(Programa!D$43*'a)Plantilla'!$C54,RedondeoPersonalTecnico),ROUND(Programa!D$43*Hjor*'a)Plantilla'!$C54,RedondeoPersonalTecnico))),0)</f>
        <v>0</v>
      </c>
      <c r="AJ109" s="6">
        <f>IF(Programa!D$44&gt;0,IF(TipoProgramaPersonalTecnico=1,ROUND(Programa!F$44*'a)Plantilla'!$C54,RedondeoPersonalTecnico),IF(TipoProgramaPersonalTecnico=2,ROUND(Programa!D$44*'a)Plantilla'!$C54,RedondeoPersonalTecnico),ROUND(Programa!D$44*Hjor*'a)Plantilla'!$C54,RedondeoPersonalTecnico))),0)</f>
        <v>0</v>
      </c>
      <c r="AK109" s="6">
        <f>IF(Programa!D$45&gt;0,IF(TipoProgramaPersonalTecnico=1,ROUND(Programa!F$45*'a)Plantilla'!$C54,RedondeoPersonalTecnico),IF(TipoProgramaPersonalTecnico=2,ROUND(Programa!D$45*'a)Plantilla'!$C54,RedondeoPersonalTecnico),ROUND(Programa!D$45*Hjor*'a)Plantilla'!$C54,RedondeoPersonalTecnico))),0)</f>
        <v>0</v>
      </c>
      <c r="AL109" s="6">
        <f>IF(Programa!D$46&gt;0,IF(TipoProgramaPersonalTecnico=1,ROUND(Programa!F$46*'a)Plantilla'!$C54,RedondeoPersonalTecnico),IF(TipoProgramaPersonalTecnico=2,ROUND(Programa!D$46*'a)Plantilla'!$C54,RedondeoPersonalTecnico),ROUND(Programa!D$46*Hjor*'a)Plantilla'!$C54,RedondeoPersonalTecnico))),0)</f>
        <v>0</v>
      </c>
      <c r="AM109" s="6">
        <f>IF(Programa!D$47&gt;0,IF(TipoProgramaPersonalTecnico=1,ROUND(Programa!F$47*'a)Plantilla'!$C54,RedondeoPersonalTecnico),IF(TipoProgramaPersonalTecnico=2,ROUND(Programa!D$47*'a)Plantilla'!$C54,RedondeoPersonalTecnico),ROUND(Programa!D$47*Hjor*'a)Plantilla'!$C54,RedondeoPersonalTecnico))),0)</f>
        <v>0</v>
      </c>
      <c r="AN109" s="78">
        <f>IF(Programa!D$48&gt;0,IF(TipoProgramaPersonalTecnico=1,ROUND(Programa!F$48*'a)Plantilla'!$C54,RedondeoPersonalTecnico),IF(TipoProgramaPersonalTecnico=2,ROUND(Programa!D$48*'a)Plantilla'!$C54,RedondeoPersonalTecnico),ROUND(Programa!D$48*Hjor*'a)Plantilla'!$C54,RedondeoPersonalTecnico))),0)</f>
        <v>0</v>
      </c>
      <c r="AO109" s="27">
        <f>IF(Programa!D$49&gt;0,IF(TipoProgramaPersonalTecnico=1,ROUND(Programa!F$49*'a)Plantilla'!$C54,RedondeoPersonalTecnico),IF(TipoProgramaPersonalTecnico=2,ROUND(Programa!D$49*'a)Plantilla'!$C54,RedondeoPersonalTecnico),ROUND(Programa!D$49*Hjor*'a)Plantilla'!$C54,RedondeoPersonalTecnico))),0)</f>
        <v>0</v>
      </c>
      <c r="AP109" s="6">
        <f>IF(Programa!D$50&gt;0,IF(TipoProgramaPersonalTecnico=1,ROUND(Programa!F$50*'a)Plantilla'!$C54,RedondeoPersonalTecnico),IF(TipoProgramaPersonalTecnico=2,ROUND(Programa!D$50*'a)Plantilla'!$C54,RedondeoPersonalTecnico),ROUND(Programa!D$50*Hjor*'a)Plantilla'!$C54,RedondeoPersonalTecnico))),0)</f>
        <v>0</v>
      </c>
      <c r="AQ109" s="6">
        <f>IF(Programa!D$51&gt;0,IF(TipoProgramaPersonalTecnico=1,ROUND(Programa!F$51*'a)Plantilla'!$C54,RedondeoPersonalTecnico),IF(TipoProgramaPersonalTecnico=2,ROUND(Programa!D$51*'a)Plantilla'!$C54,RedondeoPersonalTecnico),ROUND(Programa!D$51*Hjor*'a)Plantilla'!$C54,RedondeoPersonalTecnico))),0)</f>
        <v>0</v>
      </c>
      <c r="AR109" s="6">
        <f>IF(Programa!D$52&gt;0,IF(TipoProgramaPersonalTecnico=1,ROUND(Programa!F$52*'a)Plantilla'!$C54,RedondeoPersonalTecnico),IF(TipoProgramaPersonalTecnico=2,ROUND(Programa!D$52*'a)Plantilla'!$C54,RedondeoPersonalTecnico),ROUND(Programa!D$52*Hjor*'a)Plantilla'!$C54,RedondeoPersonalTecnico))),0)</f>
        <v>0</v>
      </c>
      <c r="AS109" s="6">
        <f>IF(Programa!D$53&gt;0,IF(TipoProgramaPersonalTecnico=1,ROUND(Programa!F$53*'a)Plantilla'!$C54,RedondeoPersonalTecnico),IF(TipoProgramaPersonalTecnico=2,ROUND(Programa!D$53*'a)Plantilla'!$C54,RedondeoPersonalTecnico),ROUND(Programa!D$53*Hjor*'a)Plantilla'!$C54,RedondeoPersonalTecnico))),0)</f>
        <v>0</v>
      </c>
      <c r="AT109" s="6">
        <f>IF(Programa!D$54&gt;0,IF(TipoProgramaPersonalTecnico=1,ROUND(Programa!F$54*'a)Plantilla'!$C54,RedondeoPersonalTecnico),IF(TipoProgramaPersonalTecnico=2,ROUND(Programa!D$54*'a)Plantilla'!$C54,RedondeoPersonalTecnico),ROUND(Programa!D$54*Hjor*'a)Plantilla'!$C54,RedondeoPersonalTecnico))),0)</f>
        <v>0</v>
      </c>
      <c r="AU109" s="6">
        <f>IF(Programa!D$55&gt;0,IF(TipoProgramaPersonalTecnico=1,ROUND(Programa!F$55*'a)Plantilla'!$C54,RedondeoPersonalTecnico),IF(TipoProgramaPersonalTecnico=2,ROUND(Programa!D$55*'a)Plantilla'!$C54,RedondeoPersonalTecnico),ROUND(Programa!D$55*Hjor*'a)Plantilla'!$C54,RedondeoPersonalTecnico))),0)</f>
        <v>0</v>
      </c>
      <c r="AV109" s="6">
        <f>IF(Programa!D$56&gt;0,IF(TipoProgramaPersonalTecnico=1,ROUND(Programa!F$56*'a)Plantilla'!$C54,RedondeoPersonalTecnico),IF(TipoProgramaPersonalTecnico=2,ROUND(Programa!D$56*'a)Plantilla'!$C54,RedondeoPersonalTecnico),ROUND(Programa!D$56*Hjor*'a)Plantilla'!$C54,RedondeoPersonalTecnico))),0)</f>
        <v>0</v>
      </c>
      <c r="AW109" s="6">
        <f>IF(Programa!D$57&gt;0,IF(TipoProgramaPersonalTecnico=1,ROUND(Programa!F$57*'a)Plantilla'!$C54,RedondeoPersonalTecnico),IF(TipoProgramaPersonalTecnico=2,ROUND(Programa!D$57*'a)Plantilla'!$C54,RedondeoPersonalTecnico),ROUND(Programa!D$57*Hjor*'a)Plantilla'!$C54,RedondeoPersonalTecnico))),0)</f>
        <v>0</v>
      </c>
      <c r="AX109" s="6">
        <f>IF(Programa!D$58&gt;0,IF(TipoProgramaPersonalTecnico=1,ROUND(Programa!F$58*'a)Plantilla'!$C54,RedondeoPersonalTecnico),IF(TipoProgramaPersonalTecnico=2,ROUND(Programa!D$58*'a)Plantilla'!$C54,RedondeoPersonalTecnico),ROUND(Programa!D$58*Hjor*'a)Plantilla'!$C54,RedondeoPersonalTecnico))),0)</f>
        <v>0</v>
      </c>
      <c r="AY109" s="6">
        <f>IF(Programa!D$59&gt;0,IF(TipoProgramaPersonalTecnico=1,ROUND(Programa!F$59*'a)Plantilla'!$C54,RedondeoPersonalTecnico),IF(TipoProgramaPersonalTecnico=2,ROUND(Programa!D$59*'a)Plantilla'!$C54,RedondeoPersonalTecnico),ROUND(Programa!D$59*Hjor*'a)Plantilla'!$C54,RedondeoPersonalTecnico))),0)</f>
        <v>0</v>
      </c>
      <c r="AZ109" s="6">
        <f>IF(Programa!D$60&gt;0,IF(TipoProgramaPersonalTecnico=1,ROUND(Programa!F$60*'a)Plantilla'!$C54,RedondeoPersonalTecnico),IF(TipoProgramaPersonalTecnico=2,ROUND(Programa!D$60*'a)Plantilla'!$C54,RedondeoPersonalTecnico),ROUND(Programa!D$60*Hjor*'a)Plantilla'!$C54,RedondeoPersonalTecnico))),0)</f>
        <v>0</v>
      </c>
      <c r="BA109" s="6">
        <f>IF(Programa!D$61&gt;0,IF(TipoProgramaPersonalTecnico=1,ROUND(Programa!F$61*'a)Plantilla'!$C54,RedondeoPersonalTecnico),IF(TipoProgramaPersonalTecnico=2,ROUND(Programa!D$61*'a)Plantilla'!$C54,RedondeoPersonalTecnico),ROUND(Programa!D$61*Hjor*'a)Plantilla'!$C54,RedondeoPersonalTecnico))),0)</f>
        <v>0</v>
      </c>
      <c r="BB109" s="6">
        <f>IF(Programa!D$62&gt;0,IF(TipoProgramaPersonalTecnico=1,ROUND(Programa!F$62*'a)Plantilla'!$C54,RedondeoPersonalTecnico),IF(TipoProgramaPersonalTecnico=2,ROUND(Programa!D$62*'a)Plantilla'!$C54,RedondeoPersonalTecnico),ROUND(Programa!D$62*Hjor*'a)Plantilla'!$C54,RedondeoPersonalTecnico))),0)</f>
        <v>0</v>
      </c>
      <c r="BC109" s="6">
        <f>IF(Programa!D$63&gt;0,IF(TipoProgramaPersonalTecnico=1,ROUND(Programa!F$63*'a)Plantilla'!$C54,RedondeoPersonalTecnico),IF(TipoProgramaPersonalTecnico=2,ROUND(Programa!D$63*'a)Plantilla'!$C54,RedondeoPersonalTecnico),ROUND(Programa!D$63*Hjor*'a)Plantilla'!$C54,RedondeoPersonalTecnico))),0)</f>
        <v>0</v>
      </c>
      <c r="BD109" s="6">
        <f>IF(Programa!D$64&gt;0,IF(TipoProgramaPersonalTecnico=1,ROUND(Programa!F$64*'a)Plantilla'!$C54,RedondeoPersonalTecnico),IF(TipoProgramaPersonalTecnico=2,ROUND(Programa!D$64*'a)Plantilla'!$C54,RedondeoPersonalTecnico),ROUND(Programa!D$64*Hjor*'a)Plantilla'!$C54,RedondeoPersonalTecnico))),0)</f>
        <v>0</v>
      </c>
      <c r="BE109" s="6">
        <f>IF(Programa!D$65&gt;0,IF(TipoProgramaPersonalTecnico=1,ROUND(Programa!F$65*'a)Plantilla'!$C54,RedondeoPersonalTecnico),IF(TipoProgramaPersonalTecnico=2,ROUND(Programa!D$65*'a)Plantilla'!$C54,RedondeoPersonalTecnico),ROUND(Programa!D$65*Hjor*'a)Plantilla'!$C54,RedondeoPersonalTecnico))),0)</f>
        <v>0</v>
      </c>
      <c r="BF109" s="6">
        <f>IF(Programa!D$66&gt;0,IF(TipoProgramaPersonalTecnico=1,ROUND(Programa!F$66*'a)Plantilla'!$C54,RedondeoPersonalTecnico),IF(TipoProgramaPersonalTecnico=2,ROUND(Programa!D$66*'a)Plantilla'!$C54,RedondeoPersonalTecnico),ROUND(Programa!D$66*Hjor*'a)Plantilla'!$C54,RedondeoPersonalTecnico))),0)</f>
        <v>0</v>
      </c>
      <c r="BG109" s="6">
        <f>IF(Programa!D$67&gt;0,IF(TipoProgramaPersonalTecnico=1,ROUND(Programa!F$67*'a)Plantilla'!$C54,RedondeoPersonalTecnico),IF(TipoProgramaPersonalTecnico=2,ROUND(Programa!D$67*'a)Plantilla'!$C54,RedondeoPersonalTecnico),ROUND(Programa!D$67*Hjor*'a)Plantilla'!$C54,RedondeoPersonalTecnico))),0)</f>
        <v>0</v>
      </c>
      <c r="BH109" s="6">
        <f>IF(Programa!D$68&gt;0,IF(TipoProgramaPersonalTecnico=1,ROUND(Programa!F$68*'a)Plantilla'!$C54,RedondeoPersonalTecnico),IF(TipoProgramaPersonalTecnico=2,ROUND(Programa!D$68*'a)Plantilla'!$C54,RedondeoPersonalTecnico),ROUND(Programa!D$68*Hjor*'a)Plantilla'!$C54,RedondeoPersonalTecnico))),0)</f>
        <v>0</v>
      </c>
      <c r="BI109" s="6">
        <f>IF(Programa!D$69&gt;0,IF(TipoProgramaPersonalTecnico=1,ROUND(Programa!F$69*'a)Plantilla'!$C54,RedondeoPersonalTecnico),IF(TipoProgramaPersonalTecnico=2,ROUND(Programa!D$69*'a)Plantilla'!$C54,RedondeoPersonalTecnico),ROUND(Programa!D$69*Hjor*'a)Plantilla'!$C54,RedondeoPersonalTecnico))),0)</f>
        <v>0</v>
      </c>
      <c r="BJ109" s="6">
        <f>IF(Programa!D$70&gt;0,IF(TipoProgramaPersonalTecnico=1,ROUND(Programa!F$70*'a)Plantilla'!$C54,RedondeoPersonalTecnico),IF(TipoProgramaPersonalTecnico=2,ROUND(Programa!D$70*'a)Plantilla'!$C54,RedondeoPersonalTecnico),ROUND(Programa!D$70*Hjor*'a)Plantilla'!$C54,RedondeoPersonalTecnico))),0)</f>
        <v>0</v>
      </c>
      <c r="BK109" s="6">
        <f>IF(Programa!D$71&gt;0,IF(TipoProgramaPersonalTecnico=1,ROUND(Programa!F$71*'a)Plantilla'!$C54,RedondeoPersonalTecnico),IF(TipoProgramaPersonalTecnico=2,ROUND(Programa!D$71*'a)Plantilla'!$C54,RedondeoPersonalTecnico),ROUND(Programa!D$71*Hjor*'a)Plantilla'!$C54,RedondeoPersonalTecnico))),0)</f>
        <v>0</v>
      </c>
      <c r="BL109" s="78">
        <f>IF(Programa!D$72&gt;0,IF(TipoProgramaPersonalTecnico=1,ROUND(Programa!F$72*'a)Plantilla'!$C54,RedondeoPersonalTecnico),IF(TipoProgramaPersonalTecnico=2,ROUND(Programa!D$72*'a)Plantilla'!$C54,RedondeoPersonalTecnico),ROUND(Programa!D$72*Hjor*'a)Plantilla'!$C54,RedondeoPersonalTecnico))),0)</f>
        <v>0</v>
      </c>
    </row>
    <row r="110" spans="1:64" ht="8.1" customHeight="1">
      <c r="A110" s="133"/>
      <c r="B110" s="46"/>
      <c r="C110" s="31"/>
      <c r="D110" s="22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78"/>
      <c r="Q110" s="27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78"/>
      <c r="AC110" s="27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78"/>
      <c r="AO110" s="27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78"/>
    </row>
    <row r="111" spans="1:64" ht="12.75" customHeight="1">
      <c r="A111" s="133"/>
      <c r="B111" s="46" t="str">
        <f>IF('a)Plantilla'!C55&gt;0,'a)Plantilla'!B55,"")</f>
        <v/>
      </c>
      <c r="C111" s="17" t="str">
        <f>IF('a)Plantilla'!C$55&gt;0,IF(TipoProgramaPersonalTecnico=1,"Personas",IF(TipoProgramaPersonalTecnico=2,"Jornal","horas-Hombre")),"")</f>
        <v/>
      </c>
      <c r="D111" s="226">
        <f>ROUND(SUM(E111:BL111),RedondeoPersonalTecnico)</f>
        <v>0</v>
      </c>
      <c r="E111" s="6">
        <f>IF(Programa!D$13&gt;0,IF(TipoProgramaPersonalTecnico=1,ROUND(Programa!F$13*'a)Plantilla'!$C55,RedondeoPersonalTecnico),IF(TipoProgramaPersonalTecnico=2,ROUND(Programa!D$13*'a)Plantilla'!$C55,RedondeoPersonalTecnico),ROUND(Programa!D$13*Hjor*'a)Plantilla'!$C55,RedondeoPersonalTecnico))),0)</f>
        <v>0</v>
      </c>
      <c r="F111" s="6">
        <f>IF(Programa!D$14&gt;0,IF(TipoProgramaPersonalTecnico=1,ROUND(Programa!F$14*'a)Plantilla'!$C55,RedondeoPersonalTecnico),IF(TipoProgramaPersonalTecnico=2,ROUND(Programa!D$14*'a)Plantilla'!$C55,RedondeoPersonalTecnico),ROUND(Programa!D$14*Hjor*'a)Plantilla'!$C55,RedondeoPersonalTecnico))),0)</f>
        <v>0</v>
      </c>
      <c r="G111" s="6">
        <f>IF(Programa!D$15&gt;0,IF(TipoProgramaPersonalTecnico=1,ROUND(Programa!F$15*'a)Plantilla'!$C55,RedondeoPersonalTecnico),IF(TipoProgramaPersonalTecnico=2,ROUND(Programa!D$15*'a)Plantilla'!$C55,RedondeoPersonalTecnico),ROUND(Programa!D$15*Hjor*'a)Plantilla'!$C55,RedondeoPersonalTecnico))),0)</f>
        <v>0</v>
      </c>
      <c r="H111" s="6">
        <f>IF(Programa!D$16&gt;0,IF(TipoProgramaPersonalTecnico=1,ROUND(Programa!F$16*'a)Plantilla'!$C55,RedondeoPersonalTecnico),IF(TipoProgramaPersonalTecnico=2,ROUND(Programa!D$16*'a)Plantilla'!$C55,RedondeoPersonalTecnico),ROUND(Programa!D$16*Hjor*'a)Plantilla'!$C55,RedondeoPersonalTecnico))),0)</f>
        <v>0</v>
      </c>
      <c r="I111" s="6">
        <f>IF(Programa!D$17&gt;0,IF(TipoProgramaPersonalTecnico=1,ROUND(Programa!F$17*'a)Plantilla'!$C55,RedondeoPersonalTecnico),IF(TipoProgramaPersonalTecnico=2,ROUND(Programa!D$17*'a)Plantilla'!$C55,RedondeoPersonalTecnico),ROUND(Programa!D$17*Hjor*'a)Plantilla'!$C55,RedondeoPersonalTecnico))),0)</f>
        <v>0</v>
      </c>
      <c r="J111" s="6">
        <f>IF(Programa!D$18&gt;0,IF(TipoProgramaPersonalTecnico=1,ROUND(Programa!F$18*'a)Plantilla'!$C55,RedondeoPersonalTecnico),IF(TipoProgramaPersonalTecnico=2,ROUND(Programa!D$18*'a)Plantilla'!$C55,RedondeoPersonalTecnico),ROUND(Programa!D$18*Hjor*'a)Plantilla'!$C55,RedondeoPersonalTecnico))),0)</f>
        <v>0</v>
      </c>
      <c r="K111" s="6">
        <f>IF(Programa!D$19&gt;0,IF(TipoProgramaPersonalTecnico=1,ROUND(Programa!F$19*'a)Plantilla'!$C55,RedondeoPersonalTecnico),IF(TipoProgramaPersonalTecnico=2,ROUND(Programa!D$19*'a)Plantilla'!$C55,RedondeoPersonalTecnico),ROUND(Programa!D$19*Hjor*'a)Plantilla'!$C55,RedondeoPersonalTecnico))),0)</f>
        <v>0</v>
      </c>
      <c r="L111" s="6">
        <f>IF(Programa!D$20&gt;0,IF(TipoProgramaPersonalTecnico=1,ROUND(Programa!F$20*'a)Plantilla'!$C55,RedondeoPersonalTecnico),IF(TipoProgramaPersonalTecnico=2,ROUND(Programa!D$20*'a)Plantilla'!$C55,RedondeoPersonalTecnico),ROUND(Programa!D$20*Hjor*'a)Plantilla'!$C55,RedondeoPersonalTecnico))),0)</f>
        <v>0</v>
      </c>
      <c r="M111" s="6">
        <f>IF(Programa!D$21&gt;0,IF(TipoProgramaPersonalTecnico=1,ROUND(Programa!F$21*'a)Plantilla'!$C55,RedondeoPersonalTecnico),IF(TipoProgramaPersonalTecnico=2,ROUND(Programa!D$21*'a)Plantilla'!$C55,RedondeoPersonalTecnico),ROUND(Programa!D$21*Hjor*'a)Plantilla'!$C55,RedondeoPersonalTecnico))),0)</f>
        <v>0</v>
      </c>
      <c r="N111" s="6">
        <f>IF(Programa!D$22&gt;0,IF(TipoProgramaPersonalTecnico=1,ROUND(Programa!F$22*'a)Plantilla'!$C55,RedondeoPersonalTecnico),IF(TipoProgramaPersonalTecnico=2,ROUND(Programa!D$22*'a)Plantilla'!$C55,RedondeoPersonalTecnico),ROUND(Programa!D$22*Hjor*'a)Plantilla'!$C55,RedondeoPersonalTecnico))),0)</f>
        <v>0</v>
      </c>
      <c r="O111" s="6">
        <f>IF(Programa!D$23&gt;0,IF(TipoProgramaPersonalTecnico=1,ROUND(Programa!F$23*'a)Plantilla'!$C55,RedondeoPersonalTecnico),IF(TipoProgramaPersonalTecnico=2,ROUND(Programa!D$23*'a)Plantilla'!$C55,RedondeoPersonalTecnico),ROUND(Programa!D$23*Hjor*'a)Plantilla'!$C55,RedondeoPersonalTecnico))),0)</f>
        <v>0</v>
      </c>
      <c r="P111" s="78">
        <f>IF(Programa!D$24&gt;0,IF(TipoProgramaPersonalTecnico=1,ROUND(Programa!F$24*'a)Plantilla'!$C55,RedondeoPersonalTecnico),IF(TipoProgramaPersonalTecnico=2,ROUND(Programa!D$24*'a)Plantilla'!$C55,RedondeoPersonalTecnico),ROUND(Programa!D$24*Hjor*'a)Plantilla'!$C55,RedondeoPersonalTecnico))),0)</f>
        <v>0</v>
      </c>
      <c r="Q111" s="27">
        <f>IF(Programa!D$25&gt;0,IF(TipoProgramaPersonalTecnico=1,ROUND(Programa!F$25*'a)Plantilla'!$C55,RedondeoPersonalTecnico),IF(TipoProgramaPersonalTecnico=2,ROUND(Programa!D$25*'a)Plantilla'!$C55,RedondeoPersonalTecnico),ROUND(Programa!D$25*Hjor*'a)Plantilla'!$C55,RedondeoPersonalTecnico))),0)</f>
        <v>0</v>
      </c>
      <c r="R111" s="6">
        <f>IF(Programa!D$26&gt;0,IF(TipoProgramaPersonalTecnico=1,ROUND(Programa!F$26*'a)Plantilla'!$C55,RedondeoPersonalTecnico),IF(TipoProgramaPersonalTecnico=2,ROUND(Programa!D$26*'a)Plantilla'!$C55,RedondeoPersonalTecnico),ROUND(Programa!D$26*Hjor*'a)Plantilla'!$C55,RedondeoPersonalTecnico))),0)</f>
        <v>0</v>
      </c>
      <c r="S111" s="6">
        <f>IF(Programa!D$27&gt;0,IF(TipoProgramaPersonalTecnico=1,ROUND(Programa!F$27*'a)Plantilla'!$C55,RedondeoPersonalTecnico),IF(TipoProgramaPersonalTecnico=2,ROUND(Programa!D$27*'a)Plantilla'!$C55,RedondeoPersonalTecnico),ROUND(Programa!D$27*Hjor*'a)Plantilla'!$C55,RedondeoPersonalTecnico))),0)</f>
        <v>0</v>
      </c>
      <c r="T111" s="6">
        <f>IF(Programa!D$28&gt;0,IF(TipoProgramaPersonalTecnico=1,ROUND(Programa!F$28*'a)Plantilla'!$C55,RedondeoPersonalTecnico),IF(TipoProgramaPersonalTecnico=2,ROUND(Programa!D$28*'a)Plantilla'!$C55,RedondeoPersonalTecnico),ROUND(Programa!D$28*Hjor*'a)Plantilla'!$C55,RedondeoPersonalTecnico))),0)</f>
        <v>0</v>
      </c>
      <c r="U111" s="6">
        <f>IF(Programa!D$29&gt;0,IF(TipoProgramaPersonalTecnico=1,ROUND(Programa!F$29*'a)Plantilla'!$C55,RedondeoPersonalTecnico),IF(TipoProgramaPersonalTecnico=2,ROUND(Programa!D$29*'a)Plantilla'!$C55,RedondeoPersonalTecnico),ROUND(Programa!D$29*Hjor*'a)Plantilla'!$C55,RedondeoPersonalTecnico))),0)</f>
        <v>0</v>
      </c>
      <c r="V111" s="6">
        <f>IF(Programa!D$30&gt;0,IF(TipoProgramaPersonalTecnico=1,ROUND(Programa!F$30*'a)Plantilla'!$C55,RedondeoPersonalTecnico),IF(TipoProgramaPersonalTecnico=2,ROUND(Programa!D$30*'a)Plantilla'!$C55,RedondeoPersonalTecnico),ROUND(Programa!D$30*Hjor*'a)Plantilla'!$C55,RedondeoPersonalTecnico))),0)</f>
        <v>0</v>
      </c>
      <c r="W111" s="6">
        <f>IF(Programa!D$31&gt;0,IF(TipoProgramaPersonalTecnico=1,ROUND(Programa!F$31*'a)Plantilla'!$C55,RedondeoPersonalTecnico),IF(TipoProgramaPersonalTecnico=2,ROUND(Programa!D$31*'a)Plantilla'!$C55,RedondeoPersonalTecnico),ROUND(Programa!D$31*Hjor*'a)Plantilla'!$C55,RedondeoPersonalTecnico))),0)</f>
        <v>0</v>
      </c>
      <c r="X111" s="6">
        <f>IF(Programa!D$32&gt;0,IF(TipoProgramaPersonalTecnico=1,ROUND(Programa!F$32*'a)Plantilla'!$C55,RedondeoPersonalTecnico),IF(TipoProgramaPersonalTecnico=2,ROUND(Programa!D$32*'a)Plantilla'!$C55,RedondeoPersonalTecnico),ROUND(Programa!D$32*Hjor*'a)Plantilla'!$C55,RedondeoPersonalTecnico))),0)</f>
        <v>0</v>
      </c>
      <c r="Y111" s="6">
        <f>IF(Programa!D$33&gt;0,IF(TipoProgramaPersonalTecnico=1,ROUND(Programa!F$33*'a)Plantilla'!$C55,RedondeoPersonalTecnico),IF(TipoProgramaPersonalTecnico=2,ROUND(Programa!D$33*'a)Plantilla'!$C55,RedondeoPersonalTecnico),ROUND(Programa!D$33*Hjor*'a)Plantilla'!$C55,RedondeoPersonalTecnico))),0)</f>
        <v>0</v>
      </c>
      <c r="Z111" s="6">
        <f>IF(Programa!D$34&gt;0,IF(TipoProgramaPersonalTecnico=1,ROUND(Programa!F$34*'a)Plantilla'!$C55,RedondeoPersonalTecnico),IF(TipoProgramaPersonalTecnico=2,ROUND(Programa!D$34*'a)Plantilla'!$C55,RedondeoPersonalTecnico),ROUND(Programa!D$34*Hjor*'a)Plantilla'!$C55,RedondeoPersonalTecnico))),0)</f>
        <v>0</v>
      </c>
      <c r="AA111" s="6">
        <f>IF(Programa!D$35&gt;0,IF(TipoProgramaPersonalTecnico=1,ROUND(Programa!F$35*'a)Plantilla'!$C55,RedondeoPersonalTecnico),IF(TipoProgramaPersonalTecnico=2,ROUND(Programa!D$35*'a)Plantilla'!$C55,RedondeoPersonalTecnico),ROUND(Programa!D$35*Hjor*'a)Plantilla'!$C55,RedondeoPersonalTecnico))),0)</f>
        <v>0</v>
      </c>
      <c r="AB111" s="78">
        <f>IF(Programa!D$36&gt;0,IF(TipoProgramaPersonalTecnico=1,ROUND(Programa!F$36*'a)Plantilla'!$C55,RedondeoPersonalTecnico),IF(TipoProgramaPersonalTecnico=2,ROUND(Programa!D$36*'a)Plantilla'!$C55,RedondeoPersonalTecnico),ROUND(Programa!D$36*Hjor*'a)Plantilla'!$C55,RedondeoPersonalTecnico))),0)</f>
        <v>0</v>
      </c>
      <c r="AC111" s="27">
        <f>IF(Programa!D$37&gt;0,IF(TipoProgramaPersonalTecnico=1,ROUND(Programa!F$37*'a)Plantilla'!$C55,RedondeoPersonalTecnico),IF(TipoProgramaPersonalTecnico=2,ROUND(Programa!D$37*'a)Plantilla'!$C55,RedondeoPersonalTecnico),ROUND(Programa!D$37*Hjor*'a)Plantilla'!$C55,RedondeoPersonalTecnico))),0)</f>
        <v>0</v>
      </c>
      <c r="AD111" s="6">
        <f>IF(Programa!D$38&gt;0,IF(TipoProgramaPersonalTecnico=1,ROUND(Programa!F$38*'a)Plantilla'!$C55,RedondeoPersonalTecnico),IF(TipoProgramaPersonalTecnico=2,ROUND(Programa!D$38*'a)Plantilla'!$C55,RedondeoPersonalTecnico),ROUND(Programa!D$38*Hjor*'a)Plantilla'!$C55,RedondeoPersonalTecnico))),0)</f>
        <v>0</v>
      </c>
      <c r="AE111" s="6">
        <f>IF(Programa!D$39&gt;0,IF(TipoProgramaPersonalTecnico=1,ROUND(Programa!F$39*'a)Plantilla'!$C55,RedondeoPersonalTecnico),IF(TipoProgramaPersonalTecnico=2,ROUND(Programa!D$39*'a)Plantilla'!$C55,RedondeoPersonalTecnico),ROUND(Programa!D$39*Hjor*'a)Plantilla'!$C55,RedondeoPersonalTecnico))),0)</f>
        <v>0</v>
      </c>
      <c r="AF111" s="6">
        <f>IF(Programa!D$40&gt;0,IF(TipoProgramaPersonalTecnico=1,ROUND(Programa!F$40*'a)Plantilla'!$C55,RedondeoPersonalTecnico),IF(TipoProgramaPersonalTecnico=2,ROUND(Programa!D$40*'a)Plantilla'!$C55,RedondeoPersonalTecnico),ROUND(Programa!D$40*Hjor*'a)Plantilla'!$C55,RedondeoPersonalTecnico))),0)</f>
        <v>0</v>
      </c>
      <c r="AG111" s="6">
        <f>IF(Programa!D$41&gt;0,IF(TipoProgramaPersonalTecnico=1,ROUND(Programa!F$41*'a)Plantilla'!$C55,RedondeoPersonalTecnico),IF(TipoProgramaPersonalTecnico=2,ROUND(Programa!D$41*'a)Plantilla'!$C55,RedondeoPersonalTecnico),ROUND(Programa!D$41*Hjor*'a)Plantilla'!$C55,RedondeoPersonalTecnico))),0)</f>
        <v>0</v>
      </c>
      <c r="AH111" s="6">
        <f>IF(Programa!D$42&gt;0,IF(TipoProgramaPersonalTecnico=1,ROUND(Programa!F$42*'a)Plantilla'!$C55,RedondeoPersonalTecnico),IF(TipoProgramaPersonalTecnico=2,ROUND(Programa!D$42*'a)Plantilla'!$C55,RedondeoPersonalTecnico),ROUND(Programa!D$42*Hjor*'a)Plantilla'!$C55,RedondeoPersonalTecnico))),0)</f>
        <v>0</v>
      </c>
      <c r="AI111" s="6">
        <f>IF(Programa!D$43&gt;0,IF(TipoProgramaPersonalTecnico=1,ROUND(Programa!F$43*'a)Plantilla'!$C55,RedondeoPersonalTecnico),IF(TipoProgramaPersonalTecnico=2,ROUND(Programa!D$43*'a)Plantilla'!$C55,RedondeoPersonalTecnico),ROUND(Programa!D$43*Hjor*'a)Plantilla'!$C55,RedondeoPersonalTecnico))),0)</f>
        <v>0</v>
      </c>
      <c r="AJ111" s="6">
        <f>IF(Programa!D$44&gt;0,IF(TipoProgramaPersonalTecnico=1,ROUND(Programa!F$44*'a)Plantilla'!$C55,RedondeoPersonalTecnico),IF(TipoProgramaPersonalTecnico=2,ROUND(Programa!D$44*'a)Plantilla'!$C55,RedondeoPersonalTecnico),ROUND(Programa!D$44*Hjor*'a)Plantilla'!$C55,RedondeoPersonalTecnico))),0)</f>
        <v>0</v>
      </c>
      <c r="AK111" s="6">
        <f>IF(Programa!D$45&gt;0,IF(TipoProgramaPersonalTecnico=1,ROUND(Programa!F$45*'a)Plantilla'!$C55,RedondeoPersonalTecnico),IF(TipoProgramaPersonalTecnico=2,ROUND(Programa!D$45*'a)Plantilla'!$C55,RedondeoPersonalTecnico),ROUND(Programa!D$45*Hjor*'a)Plantilla'!$C55,RedondeoPersonalTecnico))),0)</f>
        <v>0</v>
      </c>
      <c r="AL111" s="6">
        <f>IF(Programa!D$46&gt;0,IF(TipoProgramaPersonalTecnico=1,ROUND(Programa!F$46*'a)Plantilla'!$C55,RedondeoPersonalTecnico),IF(TipoProgramaPersonalTecnico=2,ROUND(Programa!D$46*'a)Plantilla'!$C55,RedondeoPersonalTecnico),ROUND(Programa!D$46*Hjor*'a)Plantilla'!$C55,RedondeoPersonalTecnico))),0)</f>
        <v>0</v>
      </c>
      <c r="AM111" s="6">
        <f>IF(Programa!D$47&gt;0,IF(TipoProgramaPersonalTecnico=1,ROUND(Programa!F$47*'a)Plantilla'!$C55,RedondeoPersonalTecnico),IF(TipoProgramaPersonalTecnico=2,ROUND(Programa!D$47*'a)Plantilla'!$C55,RedondeoPersonalTecnico),ROUND(Programa!D$47*Hjor*'a)Plantilla'!$C55,RedondeoPersonalTecnico))),0)</f>
        <v>0</v>
      </c>
      <c r="AN111" s="78">
        <f>IF(Programa!D$48&gt;0,IF(TipoProgramaPersonalTecnico=1,ROUND(Programa!F$48*'a)Plantilla'!$C55,RedondeoPersonalTecnico),IF(TipoProgramaPersonalTecnico=2,ROUND(Programa!D$48*'a)Plantilla'!$C55,RedondeoPersonalTecnico),ROUND(Programa!D$48*Hjor*'a)Plantilla'!$C55,RedondeoPersonalTecnico))),0)</f>
        <v>0</v>
      </c>
      <c r="AO111" s="27">
        <f>IF(Programa!D$49&gt;0,IF(TipoProgramaPersonalTecnico=1,ROUND(Programa!F$49*'a)Plantilla'!$C55,RedondeoPersonalTecnico),IF(TipoProgramaPersonalTecnico=2,ROUND(Programa!D$49*'a)Plantilla'!$C55,RedondeoPersonalTecnico),ROUND(Programa!D$49*Hjor*'a)Plantilla'!$C55,RedondeoPersonalTecnico))),0)</f>
        <v>0</v>
      </c>
      <c r="AP111" s="6">
        <f>IF(Programa!D$50&gt;0,IF(TipoProgramaPersonalTecnico=1,ROUND(Programa!F$50*'a)Plantilla'!$C55,RedondeoPersonalTecnico),IF(TipoProgramaPersonalTecnico=2,ROUND(Programa!D$50*'a)Plantilla'!$C55,RedondeoPersonalTecnico),ROUND(Programa!D$50*Hjor*'a)Plantilla'!$C55,RedondeoPersonalTecnico))),0)</f>
        <v>0</v>
      </c>
      <c r="AQ111" s="6">
        <f>IF(Programa!D$51&gt;0,IF(TipoProgramaPersonalTecnico=1,ROUND(Programa!F$51*'a)Plantilla'!$C55,RedondeoPersonalTecnico),IF(TipoProgramaPersonalTecnico=2,ROUND(Programa!D$51*'a)Plantilla'!$C55,RedondeoPersonalTecnico),ROUND(Programa!D$51*Hjor*'a)Plantilla'!$C55,RedondeoPersonalTecnico))),0)</f>
        <v>0</v>
      </c>
      <c r="AR111" s="6">
        <f>IF(Programa!D$52&gt;0,IF(TipoProgramaPersonalTecnico=1,ROUND(Programa!F$52*'a)Plantilla'!$C55,RedondeoPersonalTecnico),IF(TipoProgramaPersonalTecnico=2,ROUND(Programa!D$52*'a)Plantilla'!$C55,RedondeoPersonalTecnico),ROUND(Programa!D$52*Hjor*'a)Plantilla'!$C55,RedondeoPersonalTecnico))),0)</f>
        <v>0</v>
      </c>
      <c r="AS111" s="6">
        <f>IF(Programa!D$53&gt;0,IF(TipoProgramaPersonalTecnico=1,ROUND(Programa!F$53*'a)Plantilla'!$C55,RedondeoPersonalTecnico),IF(TipoProgramaPersonalTecnico=2,ROUND(Programa!D$53*'a)Plantilla'!$C55,RedondeoPersonalTecnico),ROUND(Programa!D$53*Hjor*'a)Plantilla'!$C55,RedondeoPersonalTecnico))),0)</f>
        <v>0</v>
      </c>
      <c r="AT111" s="6">
        <f>IF(Programa!D$54&gt;0,IF(TipoProgramaPersonalTecnico=1,ROUND(Programa!F$54*'a)Plantilla'!$C55,RedondeoPersonalTecnico),IF(TipoProgramaPersonalTecnico=2,ROUND(Programa!D$54*'a)Plantilla'!$C55,RedondeoPersonalTecnico),ROUND(Programa!D$54*Hjor*'a)Plantilla'!$C55,RedondeoPersonalTecnico))),0)</f>
        <v>0</v>
      </c>
      <c r="AU111" s="6">
        <f>IF(Programa!D$55&gt;0,IF(TipoProgramaPersonalTecnico=1,ROUND(Programa!F$55*'a)Plantilla'!$C55,RedondeoPersonalTecnico),IF(TipoProgramaPersonalTecnico=2,ROUND(Programa!D$55*'a)Plantilla'!$C55,RedondeoPersonalTecnico),ROUND(Programa!D$55*Hjor*'a)Plantilla'!$C55,RedondeoPersonalTecnico))),0)</f>
        <v>0</v>
      </c>
      <c r="AV111" s="6">
        <f>IF(Programa!D$56&gt;0,IF(TipoProgramaPersonalTecnico=1,ROUND(Programa!F$56*'a)Plantilla'!$C55,RedondeoPersonalTecnico),IF(TipoProgramaPersonalTecnico=2,ROUND(Programa!D$56*'a)Plantilla'!$C55,RedondeoPersonalTecnico),ROUND(Programa!D$56*Hjor*'a)Plantilla'!$C55,RedondeoPersonalTecnico))),0)</f>
        <v>0</v>
      </c>
      <c r="AW111" s="6">
        <f>IF(Programa!D$57&gt;0,IF(TipoProgramaPersonalTecnico=1,ROUND(Programa!F$57*'a)Plantilla'!$C55,RedondeoPersonalTecnico),IF(TipoProgramaPersonalTecnico=2,ROUND(Programa!D$57*'a)Plantilla'!$C55,RedondeoPersonalTecnico),ROUND(Programa!D$57*Hjor*'a)Plantilla'!$C55,RedondeoPersonalTecnico))),0)</f>
        <v>0</v>
      </c>
      <c r="AX111" s="6">
        <f>IF(Programa!D$58&gt;0,IF(TipoProgramaPersonalTecnico=1,ROUND(Programa!F$58*'a)Plantilla'!$C55,RedondeoPersonalTecnico),IF(TipoProgramaPersonalTecnico=2,ROUND(Programa!D$58*'a)Plantilla'!$C55,RedondeoPersonalTecnico),ROUND(Programa!D$58*Hjor*'a)Plantilla'!$C55,RedondeoPersonalTecnico))),0)</f>
        <v>0</v>
      </c>
      <c r="AY111" s="6">
        <f>IF(Programa!D$59&gt;0,IF(TipoProgramaPersonalTecnico=1,ROUND(Programa!F$59*'a)Plantilla'!$C55,RedondeoPersonalTecnico),IF(TipoProgramaPersonalTecnico=2,ROUND(Programa!D$59*'a)Plantilla'!$C55,RedondeoPersonalTecnico),ROUND(Programa!D$59*Hjor*'a)Plantilla'!$C55,RedondeoPersonalTecnico))),0)</f>
        <v>0</v>
      </c>
      <c r="AZ111" s="6">
        <f>IF(Programa!D$60&gt;0,IF(TipoProgramaPersonalTecnico=1,ROUND(Programa!F$60*'a)Plantilla'!$C55,RedondeoPersonalTecnico),IF(TipoProgramaPersonalTecnico=2,ROUND(Programa!D$60*'a)Plantilla'!$C55,RedondeoPersonalTecnico),ROUND(Programa!D$60*Hjor*'a)Plantilla'!$C55,RedondeoPersonalTecnico))),0)</f>
        <v>0</v>
      </c>
      <c r="BA111" s="6">
        <f>IF(Programa!D$61&gt;0,IF(TipoProgramaPersonalTecnico=1,ROUND(Programa!F$61*'a)Plantilla'!$C55,RedondeoPersonalTecnico),IF(TipoProgramaPersonalTecnico=2,ROUND(Programa!D$61*'a)Plantilla'!$C55,RedondeoPersonalTecnico),ROUND(Programa!D$61*Hjor*'a)Plantilla'!$C55,RedondeoPersonalTecnico))),0)</f>
        <v>0</v>
      </c>
      <c r="BB111" s="6">
        <f>IF(Programa!D$62&gt;0,IF(TipoProgramaPersonalTecnico=1,ROUND(Programa!F$62*'a)Plantilla'!$C55,RedondeoPersonalTecnico),IF(TipoProgramaPersonalTecnico=2,ROUND(Programa!D$62*'a)Plantilla'!$C55,RedondeoPersonalTecnico),ROUND(Programa!D$62*Hjor*'a)Plantilla'!$C55,RedondeoPersonalTecnico))),0)</f>
        <v>0</v>
      </c>
      <c r="BC111" s="6">
        <f>IF(Programa!D$63&gt;0,IF(TipoProgramaPersonalTecnico=1,ROUND(Programa!F$63*'a)Plantilla'!$C55,RedondeoPersonalTecnico),IF(TipoProgramaPersonalTecnico=2,ROUND(Programa!D$63*'a)Plantilla'!$C55,RedondeoPersonalTecnico),ROUND(Programa!D$63*Hjor*'a)Plantilla'!$C55,RedondeoPersonalTecnico))),0)</f>
        <v>0</v>
      </c>
      <c r="BD111" s="6">
        <f>IF(Programa!D$64&gt;0,IF(TipoProgramaPersonalTecnico=1,ROUND(Programa!F$64*'a)Plantilla'!$C55,RedondeoPersonalTecnico),IF(TipoProgramaPersonalTecnico=2,ROUND(Programa!D$64*'a)Plantilla'!$C55,RedondeoPersonalTecnico),ROUND(Programa!D$64*Hjor*'a)Plantilla'!$C55,RedondeoPersonalTecnico))),0)</f>
        <v>0</v>
      </c>
      <c r="BE111" s="6">
        <f>IF(Programa!D$65&gt;0,IF(TipoProgramaPersonalTecnico=1,ROUND(Programa!F$65*'a)Plantilla'!$C55,RedondeoPersonalTecnico),IF(TipoProgramaPersonalTecnico=2,ROUND(Programa!D$65*'a)Plantilla'!$C55,RedondeoPersonalTecnico),ROUND(Programa!D$65*Hjor*'a)Plantilla'!$C55,RedondeoPersonalTecnico))),0)</f>
        <v>0</v>
      </c>
      <c r="BF111" s="6">
        <f>IF(Programa!D$66&gt;0,IF(TipoProgramaPersonalTecnico=1,ROUND(Programa!F$66*'a)Plantilla'!$C55,RedondeoPersonalTecnico),IF(TipoProgramaPersonalTecnico=2,ROUND(Programa!D$66*'a)Plantilla'!$C55,RedondeoPersonalTecnico),ROUND(Programa!D$66*Hjor*'a)Plantilla'!$C55,RedondeoPersonalTecnico))),0)</f>
        <v>0</v>
      </c>
      <c r="BG111" s="6">
        <f>IF(Programa!D$67&gt;0,IF(TipoProgramaPersonalTecnico=1,ROUND(Programa!F$67*'a)Plantilla'!$C55,RedondeoPersonalTecnico),IF(TipoProgramaPersonalTecnico=2,ROUND(Programa!D$67*'a)Plantilla'!$C55,RedondeoPersonalTecnico),ROUND(Programa!D$67*Hjor*'a)Plantilla'!$C55,RedondeoPersonalTecnico))),0)</f>
        <v>0</v>
      </c>
      <c r="BH111" s="6">
        <f>IF(Programa!D$68&gt;0,IF(TipoProgramaPersonalTecnico=1,ROUND(Programa!F$68*'a)Plantilla'!$C55,RedondeoPersonalTecnico),IF(TipoProgramaPersonalTecnico=2,ROUND(Programa!D$68*'a)Plantilla'!$C55,RedondeoPersonalTecnico),ROUND(Programa!D$68*Hjor*'a)Plantilla'!$C55,RedondeoPersonalTecnico))),0)</f>
        <v>0</v>
      </c>
      <c r="BI111" s="6">
        <f>IF(Programa!D$69&gt;0,IF(TipoProgramaPersonalTecnico=1,ROUND(Programa!F$69*'a)Plantilla'!$C55,RedondeoPersonalTecnico),IF(TipoProgramaPersonalTecnico=2,ROUND(Programa!D$69*'a)Plantilla'!$C55,RedondeoPersonalTecnico),ROUND(Programa!D$69*Hjor*'a)Plantilla'!$C55,RedondeoPersonalTecnico))),0)</f>
        <v>0</v>
      </c>
      <c r="BJ111" s="6">
        <f>IF(Programa!D$70&gt;0,IF(TipoProgramaPersonalTecnico=1,ROUND(Programa!F$70*'a)Plantilla'!$C55,RedondeoPersonalTecnico),IF(TipoProgramaPersonalTecnico=2,ROUND(Programa!D$70*'a)Plantilla'!$C55,RedondeoPersonalTecnico),ROUND(Programa!D$70*Hjor*'a)Plantilla'!$C55,RedondeoPersonalTecnico))),0)</f>
        <v>0</v>
      </c>
      <c r="BK111" s="6">
        <f>IF(Programa!D$71&gt;0,IF(TipoProgramaPersonalTecnico=1,ROUND(Programa!F$71*'a)Plantilla'!$C55,RedondeoPersonalTecnico),IF(TipoProgramaPersonalTecnico=2,ROUND(Programa!D$71*'a)Plantilla'!$C55,RedondeoPersonalTecnico),ROUND(Programa!D$71*Hjor*'a)Plantilla'!$C55,RedondeoPersonalTecnico))),0)</f>
        <v>0</v>
      </c>
      <c r="BL111" s="78">
        <f>IF(Programa!D$72&gt;0,IF(TipoProgramaPersonalTecnico=1,ROUND(Programa!F$72*'a)Plantilla'!$C55,RedondeoPersonalTecnico),IF(TipoProgramaPersonalTecnico=2,ROUND(Programa!D$72*'a)Plantilla'!$C55,RedondeoPersonalTecnico),ROUND(Programa!D$72*Hjor*'a)Plantilla'!$C55,RedondeoPersonalTecnico))),0)</f>
        <v>0</v>
      </c>
    </row>
    <row r="112" spans="1:64" ht="8.1" customHeight="1">
      <c r="A112" s="133"/>
      <c r="B112" s="46"/>
      <c r="C112" s="31"/>
      <c r="D112" s="22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78"/>
      <c r="Q112" s="27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78"/>
      <c r="AC112" s="27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78"/>
      <c r="AO112" s="27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78"/>
    </row>
    <row r="113" spans="1:64" ht="12.75" customHeight="1">
      <c r="A113" s="133"/>
      <c r="B113" s="46" t="str">
        <f>IF('a)Plantilla'!C56&gt;0,'a)Plantilla'!B56,"")</f>
        <v/>
      </c>
      <c r="C113" s="17" t="str">
        <f>IF('a)Plantilla'!C$56&gt;0,IF(TipoProgramaPersonalTecnico=1,"Personas",IF(TipoProgramaPersonalTecnico=2,"Jornal","horas-Hombre")),"")</f>
        <v/>
      </c>
      <c r="D113" s="226">
        <f>ROUND(SUM(E113:BL113),RedondeoPersonalTecnico)</f>
        <v>0</v>
      </c>
      <c r="E113" s="6">
        <f>IF(Programa!D$13&gt;0,IF(TipoProgramaPersonalTecnico=1,ROUND(Programa!F$13*'a)Plantilla'!$C56,RedondeoPersonalTecnico),IF(TipoProgramaPersonalTecnico=2,ROUND(Programa!D$13*'a)Plantilla'!$C56,RedondeoPersonalTecnico),ROUND(Programa!D$13*Hjor*'a)Plantilla'!$C56,RedondeoPersonalTecnico))),0)</f>
        <v>0</v>
      </c>
      <c r="F113" s="6">
        <f>IF(Programa!D$14&gt;0,IF(TipoProgramaPersonalTecnico=1,ROUND(Programa!F$14*'a)Plantilla'!$C56,RedondeoPersonalTecnico),IF(TipoProgramaPersonalTecnico=2,ROUND(Programa!D$14*'a)Plantilla'!$C56,RedondeoPersonalTecnico),ROUND(Programa!D$14*Hjor*'a)Plantilla'!$C56,RedondeoPersonalTecnico))),0)</f>
        <v>0</v>
      </c>
      <c r="G113" s="6">
        <f>IF(Programa!D$15&gt;0,IF(TipoProgramaPersonalTecnico=1,ROUND(Programa!F$15*'a)Plantilla'!$C56,RedondeoPersonalTecnico),IF(TipoProgramaPersonalTecnico=2,ROUND(Programa!D$15*'a)Plantilla'!$C56,RedondeoPersonalTecnico),ROUND(Programa!D$15*Hjor*'a)Plantilla'!$C56,RedondeoPersonalTecnico))),0)</f>
        <v>0</v>
      </c>
      <c r="H113" s="6">
        <f>IF(Programa!D$16&gt;0,IF(TipoProgramaPersonalTecnico=1,ROUND(Programa!F$16*'a)Plantilla'!$C56,RedondeoPersonalTecnico),IF(TipoProgramaPersonalTecnico=2,ROUND(Programa!D$16*'a)Plantilla'!$C56,RedondeoPersonalTecnico),ROUND(Programa!D$16*Hjor*'a)Plantilla'!$C56,RedondeoPersonalTecnico))),0)</f>
        <v>0</v>
      </c>
      <c r="I113" s="6">
        <f>IF(Programa!D$17&gt;0,IF(TipoProgramaPersonalTecnico=1,ROUND(Programa!F$17*'a)Plantilla'!$C56,RedondeoPersonalTecnico),IF(TipoProgramaPersonalTecnico=2,ROUND(Programa!D$17*'a)Plantilla'!$C56,RedondeoPersonalTecnico),ROUND(Programa!D$17*Hjor*'a)Plantilla'!$C56,RedondeoPersonalTecnico))),0)</f>
        <v>0</v>
      </c>
      <c r="J113" s="6">
        <f>IF(Programa!D$18&gt;0,IF(TipoProgramaPersonalTecnico=1,ROUND(Programa!F$18*'a)Plantilla'!$C56,RedondeoPersonalTecnico),IF(TipoProgramaPersonalTecnico=2,ROUND(Programa!D$18*'a)Plantilla'!$C56,RedondeoPersonalTecnico),ROUND(Programa!D$18*Hjor*'a)Plantilla'!$C56,RedondeoPersonalTecnico))),0)</f>
        <v>0</v>
      </c>
      <c r="K113" s="6">
        <f>IF(Programa!D$19&gt;0,IF(TipoProgramaPersonalTecnico=1,ROUND(Programa!F$19*'a)Plantilla'!$C56,RedondeoPersonalTecnico),IF(TipoProgramaPersonalTecnico=2,ROUND(Programa!D$19*'a)Plantilla'!$C56,RedondeoPersonalTecnico),ROUND(Programa!D$19*Hjor*'a)Plantilla'!$C56,RedondeoPersonalTecnico))),0)</f>
        <v>0</v>
      </c>
      <c r="L113" s="6">
        <f>IF(Programa!D$20&gt;0,IF(TipoProgramaPersonalTecnico=1,ROUND(Programa!F$20*'a)Plantilla'!$C56,RedondeoPersonalTecnico),IF(TipoProgramaPersonalTecnico=2,ROUND(Programa!D$20*'a)Plantilla'!$C56,RedondeoPersonalTecnico),ROUND(Programa!D$20*Hjor*'a)Plantilla'!$C56,RedondeoPersonalTecnico))),0)</f>
        <v>0</v>
      </c>
      <c r="M113" s="6">
        <f>IF(Programa!D$21&gt;0,IF(TipoProgramaPersonalTecnico=1,ROUND(Programa!F$21*'a)Plantilla'!$C56,RedondeoPersonalTecnico),IF(TipoProgramaPersonalTecnico=2,ROUND(Programa!D$21*'a)Plantilla'!$C56,RedondeoPersonalTecnico),ROUND(Programa!D$21*Hjor*'a)Plantilla'!$C56,RedondeoPersonalTecnico))),0)</f>
        <v>0</v>
      </c>
      <c r="N113" s="6">
        <f>IF(Programa!D$22&gt;0,IF(TipoProgramaPersonalTecnico=1,ROUND(Programa!F$22*'a)Plantilla'!$C56,RedondeoPersonalTecnico),IF(TipoProgramaPersonalTecnico=2,ROUND(Programa!D$22*'a)Plantilla'!$C56,RedondeoPersonalTecnico),ROUND(Programa!D$22*Hjor*'a)Plantilla'!$C56,RedondeoPersonalTecnico))),0)</f>
        <v>0</v>
      </c>
      <c r="O113" s="6">
        <f>IF(Programa!D$23&gt;0,IF(TipoProgramaPersonalTecnico=1,ROUND(Programa!F$23*'a)Plantilla'!$C56,RedondeoPersonalTecnico),IF(TipoProgramaPersonalTecnico=2,ROUND(Programa!D$23*'a)Plantilla'!$C56,RedondeoPersonalTecnico),ROUND(Programa!D$23*Hjor*'a)Plantilla'!$C56,RedondeoPersonalTecnico))),0)</f>
        <v>0</v>
      </c>
      <c r="P113" s="78">
        <f>IF(Programa!D$24&gt;0,IF(TipoProgramaPersonalTecnico=1,ROUND(Programa!F$24*'a)Plantilla'!$C56,RedondeoPersonalTecnico),IF(TipoProgramaPersonalTecnico=2,ROUND(Programa!D$24*'a)Plantilla'!$C56,RedondeoPersonalTecnico),ROUND(Programa!D$24*Hjor*'a)Plantilla'!$C56,RedondeoPersonalTecnico))),0)</f>
        <v>0</v>
      </c>
      <c r="Q113" s="27">
        <f>IF(Programa!D$25&gt;0,IF(TipoProgramaPersonalTecnico=1,ROUND(Programa!F$25*'a)Plantilla'!$C56,RedondeoPersonalTecnico),IF(TipoProgramaPersonalTecnico=2,ROUND(Programa!D$25*'a)Plantilla'!$C56,RedondeoPersonalTecnico),ROUND(Programa!D$25*Hjor*'a)Plantilla'!$C56,RedondeoPersonalTecnico))),0)</f>
        <v>0</v>
      </c>
      <c r="R113" s="6">
        <f>IF(Programa!D$26&gt;0,IF(TipoProgramaPersonalTecnico=1,ROUND(Programa!F$26*'a)Plantilla'!$C56,RedondeoPersonalTecnico),IF(TipoProgramaPersonalTecnico=2,ROUND(Programa!D$26*'a)Plantilla'!$C56,RedondeoPersonalTecnico),ROUND(Programa!D$26*Hjor*'a)Plantilla'!$C56,RedondeoPersonalTecnico))),0)</f>
        <v>0</v>
      </c>
      <c r="S113" s="6">
        <f>IF(Programa!D$27&gt;0,IF(TipoProgramaPersonalTecnico=1,ROUND(Programa!F$27*'a)Plantilla'!$C56,RedondeoPersonalTecnico),IF(TipoProgramaPersonalTecnico=2,ROUND(Programa!D$27*'a)Plantilla'!$C56,RedondeoPersonalTecnico),ROUND(Programa!D$27*Hjor*'a)Plantilla'!$C56,RedondeoPersonalTecnico))),0)</f>
        <v>0</v>
      </c>
      <c r="T113" s="6">
        <f>IF(Programa!D$28&gt;0,IF(TipoProgramaPersonalTecnico=1,ROUND(Programa!F$28*'a)Plantilla'!$C56,RedondeoPersonalTecnico),IF(TipoProgramaPersonalTecnico=2,ROUND(Programa!D$28*'a)Plantilla'!$C56,RedondeoPersonalTecnico),ROUND(Programa!D$28*Hjor*'a)Plantilla'!$C56,RedondeoPersonalTecnico))),0)</f>
        <v>0</v>
      </c>
      <c r="U113" s="6">
        <f>IF(Programa!D$29&gt;0,IF(TipoProgramaPersonalTecnico=1,ROUND(Programa!F$29*'a)Plantilla'!$C56,RedondeoPersonalTecnico),IF(TipoProgramaPersonalTecnico=2,ROUND(Programa!D$29*'a)Plantilla'!$C56,RedondeoPersonalTecnico),ROUND(Programa!D$29*Hjor*'a)Plantilla'!$C56,RedondeoPersonalTecnico))),0)</f>
        <v>0</v>
      </c>
      <c r="V113" s="6">
        <f>IF(Programa!D$30&gt;0,IF(TipoProgramaPersonalTecnico=1,ROUND(Programa!F$30*'a)Plantilla'!$C56,RedondeoPersonalTecnico),IF(TipoProgramaPersonalTecnico=2,ROUND(Programa!D$30*'a)Plantilla'!$C56,RedondeoPersonalTecnico),ROUND(Programa!D$30*Hjor*'a)Plantilla'!$C56,RedondeoPersonalTecnico))),0)</f>
        <v>0</v>
      </c>
      <c r="W113" s="6">
        <f>IF(Programa!D$31&gt;0,IF(TipoProgramaPersonalTecnico=1,ROUND(Programa!F$31*'a)Plantilla'!$C56,RedondeoPersonalTecnico),IF(TipoProgramaPersonalTecnico=2,ROUND(Programa!D$31*'a)Plantilla'!$C56,RedondeoPersonalTecnico),ROUND(Programa!D$31*Hjor*'a)Plantilla'!$C56,RedondeoPersonalTecnico))),0)</f>
        <v>0</v>
      </c>
      <c r="X113" s="6">
        <f>IF(Programa!D$32&gt;0,IF(TipoProgramaPersonalTecnico=1,ROUND(Programa!F$32*'a)Plantilla'!$C56,RedondeoPersonalTecnico),IF(TipoProgramaPersonalTecnico=2,ROUND(Programa!D$32*'a)Plantilla'!$C56,RedondeoPersonalTecnico),ROUND(Programa!D$32*Hjor*'a)Plantilla'!$C56,RedondeoPersonalTecnico))),0)</f>
        <v>0</v>
      </c>
      <c r="Y113" s="6">
        <f>IF(Programa!D$33&gt;0,IF(TipoProgramaPersonalTecnico=1,ROUND(Programa!F$33*'a)Plantilla'!$C56,RedondeoPersonalTecnico),IF(TipoProgramaPersonalTecnico=2,ROUND(Programa!D$33*'a)Plantilla'!$C56,RedondeoPersonalTecnico),ROUND(Programa!D$33*Hjor*'a)Plantilla'!$C56,RedondeoPersonalTecnico))),0)</f>
        <v>0</v>
      </c>
      <c r="Z113" s="6">
        <f>IF(Programa!D$34&gt;0,IF(TipoProgramaPersonalTecnico=1,ROUND(Programa!F$34*'a)Plantilla'!$C56,RedondeoPersonalTecnico),IF(TipoProgramaPersonalTecnico=2,ROUND(Programa!D$34*'a)Plantilla'!$C56,RedondeoPersonalTecnico),ROUND(Programa!D$34*Hjor*'a)Plantilla'!$C56,RedondeoPersonalTecnico))),0)</f>
        <v>0</v>
      </c>
      <c r="AA113" s="6">
        <f>IF(Programa!D$35&gt;0,IF(TipoProgramaPersonalTecnico=1,ROUND(Programa!F$35*'a)Plantilla'!$C56,RedondeoPersonalTecnico),IF(TipoProgramaPersonalTecnico=2,ROUND(Programa!D$35*'a)Plantilla'!$C56,RedondeoPersonalTecnico),ROUND(Programa!D$35*Hjor*'a)Plantilla'!$C56,RedondeoPersonalTecnico))),0)</f>
        <v>0</v>
      </c>
      <c r="AB113" s="78">
        <f>IF(Programa!D$36&gt;0,IF(TipoProgramaPersonalTecnico=1,ROUND(Programa!F$36*'a)Plantilla'!$C56,RedondeoPersonalTecnico),IF(TipoProgramaPersonalTecnico=2,ROUND(Programa!D$36*'a)Plantilla'!$C56,RedondeoPersonalTecnico),ROUND(Programa!D$36*Hjor*'a)Plantilla'!$C56,RedondeoPersonalTecnico))),0)</f>
        <v>0</v>
      </c>
      <c r="AC113" s="27">
        <f>IF(Programa!D$37&gt;0,IF(TipoProgramaPersonalTecnico=1,ROUND(Programa!F$37*'a)Plantilla'!$C56,RedondeoPersonalTecnico),IF(TipoProgramaPersonalTecnico=2,ROUND(Programa!D$37*'a)Plantilla'!$C56,RedondeoPersonalTecnico),ROUND(Programa!D$37*Hjor*'a)Plantilla'!$C56,RedondeoPersonalTecnico))),0)</f>
        <v>0</v>
      </c>
      <c r="AD113" s="6">
        <f>IF(Programa!D$38&gt;0,IF(TipoProgramaPersonalTecnico=1,ROUND(Programa!F$38*'a)Plantilla'!$C56,RedondeoPersonalTecnico),IF(TipoProgramaPersonalTecnico=2,ROUND(Programa!D$38*'a)Plantilla'!$C56,RedondeoPersonalTecnico),ROUND(Programa!D$38*Hjor*'a)Plantilla'!$C56,RedondeoPersonalTecnico))),0)</f>
        <v>0</v>
      </c>
      <c r="AE113" s="6">
        <f>IF(Programa!D$39&gt;0,IF(TipoProgramaPersonalTecnico=1,ROUND(Programa!F$39*'a)Plantilla'!$C56,RedondeoPersonalTecnico),IF(TipoProgramaPersonalTecnico=2,ROUND(Programa!D$39*'a)Plantilla'!$C56,RedondeoPersonalTecnico),ROUND(Programa!D$39*Hjor*'a)Plantilla'!$C56,RedondeoPersonalTecnico))),0)</f>
        <v>0</v>
      </c>
      <c r="AF113" s="6">
        <f>IF(Programa!D$40&gt;0,IF(TipoProgramaPersonalTecnico=1,ROUND(Programa!F$40*'a)Plantilla'!$C56,RedondeoPersonalTecnico),IF(TipoProgramaPersonalTecnico=2,ROUND(Programa!D$40*'a)Plantilla'!$C56,RedondeoPersonalTecnico),ROUND(Programa!D$40*Hjor*'a)Plantilla'!$C56,RedondeoPersonalTecnico))),0)</f>
        <v>0</v>
      </c>
      <c r="AG113" s="6">
        <f>IF(Programa!D$41&gt;0,IF(TipoProgramaPersonalTecnico=1,ROUND(Programa!F$41*'a)Plantilla'!$C56,RedondeoPersonalTecnico),IF(TipoProgramaPersonalTecnico=2,ROUND(Programa!D$41*'a)Plantilla'!$C56,RedondeoPersonalTecnico),ROUND(Programa!D$41*Hjor*'a)Plantilla'!$C56,RedondeoPersonalTecnico))),0)</f>
        <v>0</v>
      </c>
      <c r="AH113" s="6">
        <f>IF(Programa!D$42&gt;0,IF(TipoProgramaPersonalTecnico=1,ROUND(Programa!F$42*'a)Plantilla'!$C56,RedondeoPersonalTecnico),IF(TipoProgramaPersonalTecnico=2,ROUND(Programa!D$42*'a)Plantilla'!$C56,RedondeoPersonalTecnico),ROUND(Programa!D$42*Hjor*'a)Plantilla'!$C56,RedondeoPersonalTecnico))),0)</f>
        <v>0</v>
      </c>
      <c r="AI113" s="6">
        <f>IF(Programa!D$43&gt;0,IF(TipoProgramaPersonalTecnico=1,ROUND(Programa!F$43*'a)Plantilla'!$C56,RedondeoPersonalTecnico),IF(TipoProgramaPersonalTecnico=2,ROUND(Programa!D$43*'a)Plantilla'!$C56,RedondeoPersonalTecnico),ROUND(Programa!D$43*Hjor*'a)Plantilla'!$C56,RedondeoPersonalTecnico))),0)</f>
        <v>0</v>
      </c>
      <c r="AJ113" s="6">
        <f>IF(Programa!D$44&gt;0,IF(TipoProgramaPersonalTecnico=1,ROUND(Programa!F$44*'a)Plantilla'!$C56,RedondeoPersonalTecnico),IF(TipoProgramaPersonalTecnico=2,ROUND(Programa!D$44*'a)Plantilla'!$C56,RedondeoPersonalTecnico),ROUND(Programa!D$44*Hjor*'a)Plantilla'!$C56,RedondeoPersonalTecnico))),0)</f>
        <v>0</v>
      </c>
      <c r="AK113" s="6">
        <f>IF(Programa!D$45&gt;0,IF(TipoProgramaPersonalTecnico=1,ROUND(Programa!F$45*'a)Plantilla'!$C56,RedondeoPersonalTecnico),IF(TipoProgramaPersonalTecnico=2,ROUND(Programa!D$45*'a)Plantilla'!$C56,RedondeoPersonalTecnico),ROUND(Programa!D$45*Hjor*'a)Plantilla'!$C56,RedondeoPersonalTecnico))),0)</f>
        <v>0</v>
      </c>
      <c r="AL113" s="6">
        <f>IF(Programa!D$46&gt;0,IF(TipoProgramaPersonalTecnico=1,ROUND(Programa!F$46*'a)Plantilla'!$C56,RedondeoPersonalTecnico),IF(TipoProgramaPersonalTecnico=2,ROUND(Programa!D$46*'a)Plantilla'!$C56,RedondeoPersonalTecnico),ROUND(Programa!D$46*Hjor*'a)Plantilla'!$C56,RedondeoPersonalTecnico))),0)</f>
        <v>0</v>
      </c>
      <c r="AM113" s="6">
        <f>IF(Programa!D$47&gt;0,IF(TipoProgramaPersonalTecnico=1,ROUND(Programa!F$47*'a)Plantilla'!$C56,RedondeoPersonalTecnico),IF(TipoProgramaPersonalTecnico=2,ROUND(Programa!D$47*'a)Plantilla'!$C56,RedondeoPersonalTecnico),ROUND(Programa!D$47*Hjor*'a)Plantilla'!$C56,RedondeoPersonalTecnico))),0)</f>
        <v>0</v>
      </c>
      <c r="AN113" s="78">
        <f>IF(Programa!D$48&gt;0,IF(TipoProgramaPersonalTecnico=1,ROUND(Programa!F$48*'a)Plantilla'!$C56,RedondeoPersonalTecnico),IF(TipoProgramaPersonalTecnico=2,ROUND(Programa!D$48*'a)Plantilla'!$C56,RedondeoPersonalTecnico),ROUND(Programa!D$48*Hjor*'a)Plantilla'!$C56,RedondeoPersonalTecnico))),0)</f>
        <v>0</v>
      </c>
      <c r="AO113" s="27">
        <f>IF(Programa!D$49&gt;0,IF(TipoProgramaPersonalTecnico=1,ROUND(Programa!F$49*'a)Plantilla'!$C56,RedondeoPersonalTecnico),IF(TipoProgramaPersonalTecnico=2,ROUND(Programa!D$49*'a)Plantilla'!$C56,RedondeoPersonalTecnico),ROUND(Programa!D$49*Hjor*'a)Plantilla'!$C56,RedondeoPersonalTecnico))),0)</f>
        <v>0</v>
      </c>
      <c r="AP113" s="6">
        <f>IF(Programa!D$50&gt;0,IF(TipoProgramaPersonalTecnico=1,ROUND(Programa!F$50*'a)Plantilla'!$C56,RedondeoPersonalTecnico),IF(TipoProgramaPersonalTecnico=2,ROUND(Programa!D$50*'a)Plantilla'!$C56,RedondeoPersonalTecnico),ROUND(Programa!D$50*Hjor*'a)Plantilla'!$C56,RedondeoPersonalTecnico))),0)</f>
        <v>0</v>
      </c>
      <c r="AQ113" s="6">
        <f>IF(Programa!D$51&gt;0,IF(TipoProgramaPersonalTecnico=1,ROUND(Programa!F$51*'a)Plantilla'!$C56,RedondeoPersonalTecnico),IF(TipoProgramaPersonalTecnico=2,ROUND(Programa!D$51*'a)Plantilla'!$C56,RedondeoPersonalTecnico),ROUND(Programa!D$51*Hjor*'a)Plantilla'!$C56,RedondeoPersonalTecnico))),0)</f>
        <v>0</v>
      </c>
      <c r="AR113" s="6">
        <f>IF(Programa!D$52&gt;0,IF(TipoProgramaPersonalTecnico=1,ROUND(Programa!F$52*'a)Plantilla'!$C56,RedondeoPersonalTecnico),IF(TipoProgramaPersonalTecnico=2,ROUND(Programa!D$52*'a)Plantilla'!$C56,RedondeoPersonalTecnico),ROUND(Programa!D$52*Hjor*'a)Plantilla'!$C56,RedondeoPersonalTecnico))),0)</f>
        <v>0</v>
      </c>
      <c r="AS113" s="6">
        <f>IF(Programa!D$53&gt;0,IF(TipoProgramaPersonalTecnico=1,ROUND(Programa!F$53*'a)Plantilla'!$C56,RedondeoPersonalTecnico),IF(TipoProgramaPersonalTecnico=2,ROUND(Programa!D$53*'a)Plantilla'!$C56,RedondeoPersonalTecnico),ROUND(Programa!D$53*Hjor*'a)Plantilla'!$C56,RedondeoPersonalTecnico))),0)</f>
        <v>0</v>
      </c>
      <c r="AT113" s="6">
        <f>IF(Programa!D$54&gt;0,IF(TipoProgramaPersonalTecnico=1,ROUND(Programa!F$54*'a)Plantilla'!$C56,RedondeoPersonalTecnico),IF(TipoProgramaPersonalTecnico=2,ROUND(Programa!D$54*'a)Plantilla'!$C56,RedondeoPersonalTecnico),ROUND(Programa!D$54*Hjor*'a)Plantilla'!$C56,RedondeoPersonalTecnico))),0)</f>
        <v>0</v>
      </c>
      <c r="AU113" s="6">
        <f>IF(Programa!D$55&gt;0,IF(TipoProgramaPersonalTecnico=1,ROUND(Programa!F$55*'a)Plantilla'!$C56,RedondeoPersonalTecnico),IF(TipoProgramaPersonalTecnico=2,ROUND(Programa!D$55*'a)Plantilla'!$C56,RedondeoPersonalTecnico),ROUND(Programa!D$55*Hjor*'a)Plantilla'!$C56,RedondeoPersonalTecnico))),0)</f>
        <v>0</v>
      </c>
      <c r="AV113" s="6">
        <f>IF(Programa!D$56&gt;0,IF(TipoProgramaPersonalTecnico=1,ROUND(Programa!F$56*'a)Plantilla'!$C56,RedondeoPersonalTecnico),IF(TipoProgramaPersonalTecnico=2,ROUND(Programa!D$56*'a)Plantilla'!$C56,RedondeoPersonalTecnico),ROUND(Programa!D$56*Hjor*'a)Plantilla'!$C56,RedondeoPersonalTecnico))),0)</f>
        <v>0</v>
      </c>
      <c r="AW113" s="6">
        <f>IF(Programa!D$57&gt;0,IF(TipoProgramaPersonalTecnico=1,ROUND(Programa!F$57*'a)Plantilla'!$C56,RedondeoPersonalTecnico),IF(TipoProgramaPersonalTecnico=2,ROUND(Programa!D$57*'a)Plantilla'!$C56,RedondeoPersonalTecnico),ROUND(Programa!D$57*Hjor*'a)Plantilla'!$C56,RedondeoPersonalTecnico))),0)</f>
        <v>0</v>
      </c>
      <c r="AX113" s="6">
        <f>IF(Programa!D$58&gt;0,IF(TipoProgramaPersonalTecnico=1,ROUND(Programa!F$58*'a)Plantilla'!$C56,RedondeoPersonalTecnico),IF(TipoProgramaPersonalTecnico=2,ROUND(Programa!D$58*'a)Plantilla'!$C56,RedondeoPersonalTecnico),ROUND(Programa!D$58*Hjor*'a)Plantilla'!$C56,RedondeoPersonalTecnico))),0)</f>
        <v>0</v>
      </c>
      <c r="AY113" s="6">
        <f>IF(Programa!D$59&gt;0,IF(TipoProgramaPersonalTecnico=1,ROUND(Programa!F$59*'a)Plantilla'!$C56,RedondeoPersonalTecnico),IF(TipoProgramaPersonalTecnico=2,ROUND(Programa!D$59*'a)Plantilla'!$C56,RedondeoPersonalTecnico),ROUND(Programa!D$59*Hjor*'a)Plantilla'!$C56,RedondeoPersonalTecnico))),0)</f>
        <v>0</v>
      </c>
      <c r="AZ113" s="6">
        <f>IF(Programa!D$60&gt;0,IF(TipoProgramaPersonalTecnico=1,ROUND(Programa!F$60*'a)Plantilla'!$C56,RedondeoPersonalTecnico),IF(TipoProgramaPersonalTecnico=2,ROUND(Programa!D$60*'a)Plantilla'!$C56,RedondeoPersonalTecnico),ROUND(Programa!D$60*Hjor*'a)Plantilla'!$C56,RedondeoPersonalTecnico))),0)</f>
        <v>0</v>
      </c>
      <c r="BA113" s="6">
        <f>IF(Programa!D$61&gt;0,IF(TipoProgramaPersonalTecnico=1,ROUND(Programa!F$61*'a)Plantilla'!$C56,RedondeoPersonalTecnico),IF(TipoProgramaPersonalTecnico=2,ROUND(Programa!D$61*'a)Plantilla'!$C56,RedondeoPersonalTecnico),ROUND(Programa!D$61*Hjor*'a)Plantilla'!$C56,RedondeoPersonalTecnico))),0)</f>
        <v>0</v>
      </c>
      <c r="BB113" s="6">
        <f>IF(Programa!D$62&gt;0,IF(TipoProgramaPersonalTecnico=1,ROUND(Programa!F$62*'a)Plantilla'!$C56,RedondeoPersonalTecnico),IF(TipoProgramaPersonalTecnico=2,ROUND(Programa!D$62*'a)Plantilla'!$C56,RedondeoPersonalTecnico),ROUND(Programa!D$62*Hjor*'a)Plantilla'!$C56,RedondeoPersonalTecnico))),0)</f>
        <v>0</v>
      </c>
      <c r="BC113" s="6">
        <f>IF(Programa!D$63&gt;0,IF(TipoProgramaPersonalTecnico=1,ROUND(Programa!F$63*'a)Plantilla'!$C56,RedondeoPersonalTecnico),IF(TipoProgramaPersonalTecnico=2,ROUND(Programa!D$63*'a)Plantilla'!$C56,RedondeoPersonalTecnico),ROUND(Programa!D$63*Hjor*'a)Plantilla'!$C56,RedondeoPersonalTecnico))),0)</f>
        <v>0</v>
      </c>
      <c r="BD113" s="6">
        <f>IF(Programa!D$64&gt;0,IF(TipoProgramaPersonalTecnico=1,ROUND(Programa!F$64*'a)Plantilla'!$C56,RedondeoPersonalTecnico),IF(TipoProgramaPersonalTecnico=2,ROUND(Programa!D$64*'a)Plantilla'!$C56,RedondeoPersonalTecnico),ROUND(Programa!D$64*Hjor*'a)Plantilla'!$C56,RedondeoPersonalTecnico))),0)</f>
        <v>0</v>
      </c>
      <c r="BE113" s="6">
        <f>IF(Programa!D$65&gt;0,IF(TipoProgramaPersonalTecnico=1,ROUND(Programa!F$65*'a)Plantilla'!$C56,RedondeoPersonalTecnico),IF(TipoProgramaPersonalTecnico=2,ROUND(Programa!D$65*'a)Plantilla'!$C56,RedondeoPersonalTecnico),ROUND(Programa!D$65*Hjor*'a)Plantilla'!$C56,RedondeoPersonalTecnico))),0)</f>
        <v>0</v>
      </c>
      <c r="BF113" s="6">
        <f>IF(Programa!D$66&gt;0,IF(TipoProgramaPersonalTecnico=1,ROUND(Programa!F$66*'a)Plantilla'!$C56,RedondeoPersonalTecnico),IF(TipoProgramaPersonalTecnico=2,ROUND(Programa!D$66*'a)Plantilla'!$C56,RedondeoPersonalTecnico),ROUND(Programa!D$66*Hjor*'a)Plantilla'!$C56,RedondeoPersonalTecnico))),0)</f>
        <v>0</v>
      </c>
      <c r="BG113" s="6">
        <f>IF(Programa!D$67&gt;0,IF(TipoProgramaPersonalTecnico=1,ROUND(Programa!F$67*'a)Plantilla'!$C56,RedondeoPersonalTecnico),IF(TipoProgramaPersonalTecnico=2,ROUND(Programa!D$67*'a)Plantilla'!$C56,RedondeoPersonalTecnico),ROUND(Programa!D$67*Hjor*'a)Plantilla'!$C56,RedondeoPersonalTecnico))),0)</f>
        <v>0</v>
      </c>
      <c r="BH113" s="6">
        <f>IF(Programa!D$68&gt;0,IF(TipoProgramaPersonalTecnico=1,ROUND(Programa!F$68*'a)Plantilla'!$C56,RedondeoPersonalTecnico),IF(TipoProgramaPersonalTecnico=2,ROUND(Programa!D$68*'a)Plantilla'!$C56,RedondeoPersonalTecnico),ROUND(Programa!D$68*Hjor*'a)Plantilla'!$C56,RedondeoPersonalTecnico))),0)</f>
        <v>0</v>
      </c>
      <c r="BI113" s="6">
        <f>IF(Programa!D$69&gt;0,IF(TipoProgramaPersonalTecnico=1,ROUND(Programa!F$69*'a)Plantilla'!$C56,RedondeoPersonalTecnico),IF(TipoProgramaPersonalTecnico=2,ROUND(Programa!D$69*'a)Plantilla'!$C56,RedondeoPersonalTecnico),ROUND(Programa!D$69*Hjor*'a)Plantilla'!$C56,RedondeoPersonalTecnico))),0)</f>
        <v>0</v>
      </c>
      <c r="BJ113" s="6">
        <f>IF(Programa!D$70&gt;0,IF(TipoProgramaPersonalTecnico=1,ROUND(Programa!F$70*'a)Plantilla'!$C56,RedondeoPersonalTecnico),IF(TipoProgramaPersonalTecnico=2,ROUND(Programa!D$70*'a)Plantilla'!$C56,RedondeoPersonalTecnico),ROUND(Programa!D$70*Hjor*'a)Plantilla'!$C56,RedondeoPersonalTecnico))),0)</f>
        <v>0</v>
      </c>
      <c r="BK113" s="6">
        <f>IF(Programa!D$71&gt;0,IF(TipoProgramaPersonalTecnico=1,ROUND(Programa!F$71*'a)Plantilla'!$C56,RedondeoPersonalTecnico),IF(TipoProgramaPersonalTecnico=2,ROUND(Programa!D$71*'a)Plantilla'!$C56,RedondeoPersonalTecnico),ROUND(Programa!D$71*Hjor*'a)Plantilla'!$C56,RedondeoPersonalTecnico))),0)</f>
        <v>0</v>
      </c>
      <c r="BL113" s="78">
        <f>IF(Programa!D$72&gt;0,IF(TipoProgramaPersonalTecnico=1,ROUND(Programa!F$72*'a)Plantilla'!$C56,RedondeoPersonalTecnico),IF(TipoProgramaPersonalTecnico=2,ROUND(Programa!D$72*'a)Plantilla'!$C56,RedondeoPersonalTecnico),ROUND(Programa!D$72*Hjor*'a)Plantilla'!$C56,RedondeoPersonalTecnico))),0)</f>
        <v>0</v>
      </c>
    </row>
    <row r="114" spans="1:64" ht="8.1" customHeight="1">
      <c r="A114" s="133"/>
      <c r="B114" s="46"/>
      <c r="C114" s="31"/>
      <c r="D114" s="22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78"/>
      <c r="Q114" s="27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78"/>
      <c r="AC114" s="27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78"/>
      <c r="AO114" s="27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78"/>
    </row>
    <row r="115" spans="1:64" ht="12.75" customHeight="1">
      <c r="A115" s="133"/>
      <c r="B115" s="46" t="str">
        <f>IF('a)Plantilla'!C57&gt;0,'a)Plantilla'!B57,"")</f>
        <v/>
      </c>
      <c r="C115" s="17" t="str">
        <f>IF('a)Plantilla'!C$57&gt;0,IF(TipoProgramaPersonalTecnico=1,"Personas",IF(TipoProgramaPersonalTecnico=2,"Jornal","horas-Hombre")),"")</f>
        <v/>
      </c>
      <c r="D115" s="226">
        <f>ROUND(SUM(E115:BL115),RedondeoPersonalTecnico)</f>
        <v>0</v>
      </c>
      <c r="E115" s="6">
        <f>IF(Programa!D$13&gt;0,IF(TipoProgramaPersonalTecnico=1,ROUND(Programa!F$13*'a)Plantilla'!$C57,RedondeoPersonalTecnico),IF(TipoProgramaPersonalTecnico=2,ROUND(Programa!D$13*'a)Plantilla'!$C57,RedondeoPersonalTecnico),ROUND(Programa!D$13*Hjor*'a)Plantilla'!$C57,RedondeoPersonalTecnico))),0)</f>
        <v>0</v>
      </c>
      <c r="F115" s="6">
        <f>IF(Programa!D$14&gt;0,IF(TipoProgramaPersonalTecnico=1,ROUND(Programa!F$14*'a)Plantilla'!$C57,RedondeoPersonalTecnico),IF(TipoProgramaPersonalTecnico=2,ROUND(Programa!D$14*'a)Plantilla'!$C57,RedondeoPersonalTecnico),ROUND(Programa!D$14*Hjor*'a)Plantilla'!$C57,RedondeoPersonalTecnico))),0)</f>
        <v>0</v>
      </c>
      <c r="G115" s="6">
        <f>IF(Programa!D$15&gt;0,IF(TipoProgramaPersonalTecnico=1,ROUND(Programa!F$15*'a)Plantilla'!$C57,RedondeoPersonalTecnico),IF(TipoProgramaPersonalTecnico=2,ROUND(Programa!D$15*'a)Plantilla'!$C57,RedondeoPersonalTecnico),ROUND(Programa!D$15*Hjor*'a)Plantilla'!$C57,RedondeoPersonalTecnico))),0)</f>
        <v>0</v>
      </c>
      <c r="H115" s="6">
        <f>IF(Programa!D$16&gt;0,IF(TipoProgramaPersonalTecnico=1,ROUND(Programa!F$16*'a)Plantilla'!$C57,RedondeoPersonalTecnico),IF(TipoProgramaPersonalTecnico=2,ROUND(Programa!D$16*'a)Plantilla'!$C57,RedondeoPersonalTecnico),ROUND(Programa!D$16*Hjor*'a)Plantilla'!$C57,RedondeoPersonalTecnico))),0)</f>
        <v>0</v>
      </c>
      <c r="I115" s="6">
        <f>IF(Programa!D$17&gt;0,IF(TipoProgramaPersonalTecnico=1,ROUND(Programa!F$17*'a)Plantilla'!$C57,RedondeoPersonalTecnico),IF(TipoProgramaPersonalTecnico=2,ROUND(Programa!D$17*'a)Plantilla'!$C57,RedondeoPersonalTecnico),ROUND(Programa!D$17*Hjor*'a)Plantilla'!$C57,RedondeoPersonalTecnico))),0)</f>
        <v>0</v>
      </c>
      <c r="J115" s="6">
        <f>IF(Programa!D$18&gt;0,IF(TipoProgramaPersonalTecnico=1,ROUND(Programa!F$18*'a)Plantilla'!$C57,RedondeoPersonalTecnico),IF(TipoProgramaPersonalTecnico=2,ROUND(Programa!D$18*'a)Plantilla'!$C57,RedondeoPersonalTecnico),ROUND(Programa!D$18*Hjor*'a)Plantilla'!$C57,RedondeoPersonalTecnico))),0)</f>
        <v>0</v>
      </c>
      <c r="K115" s="6">
        <f>IF(Programa!D$19&gt;0,IF(TipoProgramaPersonalTecnico=1,ROUND(Programa!F$19*'a)Plantilla'!$C57,RedondeoPersonalTecnico),IF(TipoProgramaPersonalTecnico=2,ROUND(Programa!D$19*'a)Plantilla'!$C57,RedondeoPersonalTecnico),ROUND(Programa!D$19*Hjor*'a)Plantilla'!$C57,RedondeoPersonalTecnico))),0)</f>
        <v>0</v>
      </c>
      <c r="L115" s="6">
        <f>IF(Programa!D$20&gt;0,IF(TipoProgramaPersonalTecnico=1,ROUND(Programa!F$20*'a)Plantilla'!$C57,RedondeoPersonalTecnico),IF(TipoProgramaPersonalTecnico=2,ROUND(Programa!D$20*'a)Plantilla'!$C57,RedondeoPersonalTecnico),ROUND(Programa!D$20*Hjor*'a)Plantilla'!$C57,RedondeoPersonalTecnico))),0)</f>
        <v>0</v>
      </c>
      <c r="M115" s="6">
        <f>IF(Programa!D$21&gt;0,IF(TipoProgramaPersonalTecnico=1,ROUND(Programa!F$21*'a)Plantilla'!$C57,RedondeoPersonalTecnico),IF(TipoProgramaPersonalTecnico=2,ROUND(Programa!D$21*'a)Plantilla'!$C57,RedondeoPersonalTecnico),ROUND(Programa!D$21*Hjor*'a)Plantilla'!$C57,RedondeoPersonalTecnico))),0)</f>
        <v>0</v>
      </c>
      <c r="N115" s="6">
        <f>IF(Programa!D$22&gt;0,IF(TipoProgramaPersonalTecnico=1,ROUND(Programa!F$22*'a)Plantilla'!$C57,RedondeoPersonalTecnico),IF(TipoProgramaPersonalTecnico=2,ROUND(Programa!D$22*'a)Plantilla'!$C57,RedondeoPersonalTecnico),ROUND(Programa!D$22*Hjor*'a)Plantilla'!$C57,RedondeoPersonalTecnico))),0)</f>
        <v>0</v>
      </c>
      <c r="O115" s="6">
        <f>IF(Programa!D$23&gt;0,IF(TipoProgramaPersonalTecnico=1,ROUND(Programa!F$23*'a)Plantilla'!$C57,RedondeoPersonalTecnico),IF(TipoProgramaPersonalTecnico=2,ROUND(Programa!D$23*'a)Plantilla'!$C57,RedondeoPersonalTecnico),ROUND(Programa!D$23*Hjor*'a)Plantilla'!$C57,RedondeoPersonalTecnico))),0)</f>
        <v>0</v>
      </c>
      <c r="P115" s="78">
        <f>IF(Programa!D$24&gt;0,IF(TipoProgramaPersonalTecnico=1,ROUND(Programa!F$24*'a)Plantilla'!$C57,RedondeoPersonalTecnico),IF(TipoProgramaPersonalTecnico=2,ROUND(Programa!D$24*'a)Plantilla'!$C57,RedondeoPersonalTecnico),ROUND(Programa!D$24*Hjor*'a)Plantilla'!$C57,RedondeoPersonalTecnico))),0)</f>
        <v>0</v>
      </c>
      <c r="Q115" s="27">
        <f>IF(Programa!D$25&gt;0,IF(TipoProgramaPersonalTecnico=1,ROUND(Programa!F$25*'a)Plantilla'!$C57,RedondeoPersonalTecnico),IF(TipoProgramaPersonalTecnico=2,ROUND(Programa!D$25*'a)Plantilla'!$C57,RedondeoPersonalTecnico),ROUND(Programa!D$25*Hjor*'a)Plantilla'!$C57,RedondeoPersonalTecnico))),0)</f>
        <v>0</v>
      </c>
      <c r="R115" s="6">
        <f>IF(Programa!D$26&gt;0,IF(TipoProgramaPersonalTecnico=1,ROUND(Programa!F$26*'a)Plantilla'!$C57,RedondeoPersonalTecnico),IF(TipoProgramaPersonalTecnico=2,ROUND(Programa!D$26*'a)Plantilla'!$C57,RedondeoPersonalTecnico),ROUND(Programa!D$26*Hjor*'a)Plantilla'!$C57,RedondeoPersonalTecnico))),0)</f>
        <v>0</v>
      </c>
      <c r="S115" s="6">
        <f>IF(Programa!D$27&gt;0,IF(TipoProgramaPersonalTecnico=1,ROUND(Programa!F$27*'a)Plantilla'!$C57,RedondeoPersonalTecnico),IF(TipoProgramaPersonalTecnico=2,ROUND(Programa!D$27*'a)Plantilla'!$C57,RedondeoPersonalTecnico),ROUND(Programa!D$27*Hjor*'a)Plantilla'!$C57,RedondeoPersonalTecnico))),0)</f>
        <v>0</v>
      </c>
      <c r="T115" s="6">
        <f>IF(Programa!D$28&gt;0,IF(TipoProgramaPersonalTecnico=1,ROUND(Programa!F$28*'a)Plantilla'!$C57,RedondeoPersonalTecnico),IF(TipoProgramaPersonalTecnico=2,ROUND(Programa!D$28*'a)Plantilla'!$C57,RedondeoPersonalTecnico),ROUND(Programa!D$28*Hjor*'a)Plantilla'!$C57,RedondeoPersonalTecnico))),0)</f>
        <v>0</v>
      </c>
      <c r="U115" s="6">
        <f>IF(Programa!D$29&gt;0,IF(TipoProgramaPersonalTecnico=1,ROUND(Programa!F$29*'a)Plantilla'!$C57,RedondeoPersonalTecnico),IF(TipoProgramaPersonalTecnico=2,ROUND(Programa!D$29*'a)Plantilla'!$C57,RedondeoPersonalTecnico),ROUND(Programa!D$29*Hjor*'a)Plantilla'!$C57,RedondeoPersonalTecnico))),0)</f>
        <v>0</v>
      </c>
      <c r="V115" s="6">
        <f>IF(Programa!D$30&gt;0,IF(TipoProgramaPersonalTecnico=1,ROUND(Programa!F$30*'a)Plantilla'!$C57,RedondeoPersonalTecnico),IF(TipoProgramaPersonalTecnico=2,ROUND(Programa!D$30*'a)Plantilla'!$C57,RedondeoPersonalTecnico),ROUND(Programa!D$30*Hjor*'a)Plantilla'!$C57,RedondeoPersonalTecnico))),0)</f>
        <v>0</v>
      </c>
      <c r="W115" s="6">
        <f>IF(Programa!D$31&gt;0,IF(TipoProgramaPersonalTecnico=1,ROUND(Programa!F$31*'a)Plantilla'!$C57,RedondeoPersonalTecnico),IF(TipoProgramaPersonalTecnico=2,ROUND(Programa!D$31*'a)Plantilla'!$C57,RedondeoPersonalTecnico),ROUND(Programa!D$31*Hjor*'a)Plantilla'!$C57,RedondeoPersonalTecnico))),0)</f>
        <v>0</v>
      </c>
      <c r="X115" s="6">
        <f>IF(Programa!D$32&gt;0,IF(TipoProgramaPersonalTecnico=1,ROUND(Programa!F$32*'a)Plantilla'!$C57,RedondeoPersonalTecnico),IF(TipoProgramaPersonalTecnico=2,ROUND(Programa!D$32*'a)Plantilla'!$C57,RedondeoPersonalTecnico),ROUND(Programa!D$32*Hjor*'a)Plantilla'!$C57,RedondeoPersonalTecnico))),0)</f>
        <v>0</v>
      </c>
      <c r="Y115" s="6">
        <f>IF(Programa!D$33&gt;0,IF(TipoProgramaPersonalTecnico=1,ROUND(Programa!F$33*'a)Plantilla'!$C57,RedondeoPersonalTecnico),IF(TipoProgramaPersonalTecnico=2,ROUND(Programa!D$33*'a)Plantilla'!$C57,RedondeoPersonalTecnico),ROUND(Programa!D$33*Hjor*'a)Plantilla'!$C57,RedondeoPersonalTecnico))),0)</f>
        <v>0</v>
      </c>
      <c r="Z115" s="6">
        <f>IF(Programa!D$34&gt;0,IF(TipoProgramaPersonalTecnico=1,ROUND(Programa!F$34*'a)Plantilla'!$C57,RedondeoPersonalTecnico),IF(TipoProgramaPersonalTecnico=2,ROUND(Programa!D$34*'a)Plantilla'!$C57,RedondeoPersonalTecnico),ROUND(Programa!D$34*Hjor*'a)Plantilla'!$C57,RedondeoPersonalTecnico))),0)</f>
        <v>0</v>
      </c>
      <c r="AA115" s="6">
        <f>IF(Programa!D$35&gt;0,IF(TipoProgramaPersonalTecnico=1,ROUND(Programa!F$35*'a)Plantilla'!$C57,RedondeoPersonalTecnico),IF(TipoProgramaPersonalTecnico=2,ROUND(Programa!D$35*'a)Plantilla'!$C57,RedondeoPersonalTecnico),ROUND(Programa!D$35*Hjor*'a)Plantilla'!$C57,RedondeoPersonalTecnico))),0)</f>
        <v>0</v>
      </c>
      <c r="AB115" s="78">
        <f>IF(Programa!D$36&gt;0,IF(TipoProgramaPersonalTecnico=1,ROUND(Programa!F$36*'a)Plantilla'!$C57,RedondeoPersonalTecnico),IF(TipoProgramaPersonalTecnico=2,ROUND(Programa!D$36*'a)Plantilla'!$C57,RedondeoPersonalTecnico),ROUND(Programa!D$36*Hjor*'a)Plantilla'!$C57,RedondeoPersonalTecnico))),0)</f>
        <v>0</v>
      </c>
      <c r="AC115" s="27">
        <f>IF(Programa!D$37&gt;0,IF(TipoProgramaPersonalTecnico=1,ROUND(Programa!F$37*'a)Plantilla'!$C57,RedondeoPersonalTecnico),IF(TipoProgramaPersonalTecnico=2,ROUND(Programa!D$37*'a)Plantilla'!$C57,RedondeoPersonalTecnico),ROUND(Programa!D$37*Hjor*'a)Plantilla'!$C57,RedondeoPersonalTecnico))),0)</f>
        <v>0</v>
      </c>
      <c r="AD115" s="6">
        <f>IF(Programa!D$38&gt;0,IF(TipoProgramaPersonalTecnico=1,ROUND(Programa!F$38*'a)Plantilla'!$C57,RedondeoPersonalTecnico),IF(TipoProgramaPersonalTecnico=2,ROUND(Programa!D$38*'a)Plantilla'!$C57,RedondeoPersonalTecnico),ROUND(Programa!D$38*Hjor*'a)Plantilla'!$C57,RedondeoPersonalTecnico))),0)</f>
        <v>0</v>
      </c>
      <c r="AE115" s="6">
        <f>IF(Programa!D$39&gt;0,IF(TipoProgramaPersonalTecnico=1,ROUND(Programa!F$39*'a)Plantilla'!$C57,RedondeoPersonalTecnico),IF(TipoProgramaPersonalTecnico=2,ROUND(Programa!D$39*'a)Plantilla'!$C57,RedondeoPersonalTecnico),ROUND(Programa!D$39*Hjor*'a)Plantilla'!$C57,RedondeoPersonalTecnico))),0)</f>
        <v>0</v>
      </c>
      <c r="AF115" s="6">
        <f>IF(Programa!D$40&gt;0,IF(TipoProgramaPersonalTecnico=1,ROUND(Programa!F$40*'a)Plantilla'!$C57,RedondeoPersonalTecnico),IF(TipoProgramaPersonalTecnico=2,ROUND(Programa!D$40*'a)Plantilla'!$C57,RedondeoPersonalTecnico),ROUND(Programa!D$40*Hjor*'a)Plantilla'!$C57,RedondeoPersonalTecnico))),0)</f>
        <v>0</v>
      </c>
      <c r="AG115" s="6">
        <f>IF(Programa!D$41&gt;0,IF(TipoProgramaPersonalTecnico=1,ROUND(Programa!F$41*'a)Plantilla'!$C57,RedondeoPersonalTecnico),IF(TipoProgramaPersonalTecnico=2,ROUND(Programa!D$41*'a)Plantilla'!$C57,RedondeoPersonalTecnico),ROUND(Programa!D$41*Hjor*'a)Plantilla'!$C57,RedondeoPersonalTecnico))),0)</f>
        <v>0</v>
      </c>
      <c r="AH115" s="6">
        <f>IF(Programa!D$42&gt;0,IF(TipoProgramaPersonalTecnico=1,ROUND(Programa!F$42*'a)Plantilla'!$C57,RedondeoPersonalTecnico),IF(TipoProgramaPersonalTecnico=2,ROUND(Programa!D$42*'a)Plantilla'!$C57,RedondeoPersonalTecnico),ROUND(Programa!D$42*Hjor*'a)Plantilla'!$C57,RedondeoPersonalTecnico))),0)</f>
        <v>0</v>
      </c>
      <c r="AI115" s="6">
        <f>IF(Programa!D$43&gt;0,IF(TipoProgramaPersonalTecnico=1,ROUND(Programa!F$43*'a)Plantilla'!$C57,RedondeoPersonalTecnico),IF(TipoProgramaPersonalTecnico=2,ROUND(Programa!D$43*'a)Plantilla'!$C57,RedondeoPersonalTecnico),ROUND(Programa!D$43*Hjor*'a)Plantilla'!$C57,RedondeoPersonalTecnico))),0)</f>
        <v>0</v>
      </c>
      <c r="AJ115" s="6">
        <f>IF(Programa!D$44&gt;0,IF(TipoProgramaPersonalTecnico=1,ROUND(Programa!F$44*'a)Plantilla'!$C57,RedondeoPersonalTecnico),IF(TipoProgramaPersonalTecnico=2,ROUND(Programa!D$44*'a)Plantilla'!$C57,RedondeoPersonalTecnico),ROUND(Programa!D$44*Hjor*'a)Plantilla'!$C57,RedondeoPersonalTecnico))),0)</f>
        <v>0</v>
      </c>
      <c r="AK115" s="6">
        <f>IF(Programa!D$45&gt;0,IF(TipoProgramaPersonalTecnico=1,ROUND(Programa!F$45*'a)Plantilla'!$C57,RedondeoPersonalTecnico),IF(TipoProgramaPersonalTecnico=2,ROUND(Programa!D$45*'a)Plantilla'!$C57,RedondeoPersonalTecnico),ROUND(Programa!D$45*Hjor*'a)Plantilla'!$C57,RedondeoPersonalTecnico))),0)</f>
        <v>0</v>
      </c>
      <c r="AL115" s="6">
        <f>IF(Programa!D$46&gt;0,IF(TipoProgramaPersonalTecnico=1,ROUND(Programa!F$46*'a)Plantilla'!$C57,RedondeoPersonalTecnico),IF(TipoProgramaPersonalTecnico=2,ROUND(Programa!D$46*'a)Plantilla'!$C57,RedondeoPersonalTecnico),ROUND(Programa!D$46*Hjor*'a)Plantilla'!$C57,RedondeoPersonalTecnico))),0)</f>
        <v>0</v>
      </c>
      <c r="AM115" s="6">
        <f>IF(Programa!D$47&gt;0,IF(TipoProgramaPersonalTecnico=1,ROUND(Programa!F$47*'a)Plantilla'!$C57,RedondeoPersonalTecnico),IF(TipoProgramaPersonalTecnico=2,ROUND(Programa!D$47*'a)Plantilla'!$C57,RedondeoPersonalTecnico),ROUND(Programa!D$47*Hjor*'a)Plantilla'!$C57,RedondeoPersonalTecnico))),0)</f>
        <v>0</v>
      </c>
      <c r="AN115" s="78">
        <f>IF(Programa!D$48&gt;0,IF(TipoProgramaPersonalTecnico=1,ROUND(Programa!F$48*'a)Plantilla'!$C57,RedondeoPersonalTecnico),IF(TipoProgramaPersonalTecnico=2,ROUND(Programa!D$48*'a)Plantilla'!$C57,RedondeoPersonalTecnico),ROUND(Programa!D$48*Hjor*'a)Plantilla'!$C57,RedondeoPersonalTecnico))),0)</f>
        <v>0</v>
      </c>
      <c r="AO115" s="27">
        <f>IF(Programa!D$49&gt;0,IF(TipoProgramaPersonalTecnico=1,ROUND(Programa!F$49*'a)Plantilla'!$C57,RedondeoPersonalTecnico),IF(TipoProgramaPersonalTecnico=2,ROUND(Programa!D$49*'a)Plantilla'!$C57,RedondeoPersonalTecnico),ROUND(Programa!D$49*Hjor*'a)Plantilla'!$C57,RedondeoPersonalTecnico))),0)</f>
        <v>0</v>
      </c>
      <c r="AP115" s="6">
        <f>IF(Programa!D$50&gt;0,IF(TipoProgramaPersonalTecnico=1,ROUND(Programa!F$50*'a)Plantilla'!$C57,RedondeoPersonalTecnico),IF(TipoProgramaPersonalTecnico=2,ROUND(Programa!D$50*'a)Plantilla'!$C57,RedondeoPersonalTecnico),ROUND(Programa!D$50*Hjor*'a)Plantilla'!$C57,RedondeoPersonalTecnico))),0)</f>
        <v>0</v>
      </c>
      <c r="AQ115" s="6">
        <f>IF(Programa!D$51&gt;0,IF(TipoProgramaPersonalTecnico=1,ROUND(Programa!F$51*'a)Plantilla'!$C57,RedondeoPersonalTecnico),IF(TipoProgramaPersonalTecnico=2,ROUND(Programa!D$51*'a)Plantilla'!$C57,RedondeoPersonalTecnico),ROUND(Programa!D$51*Hjor*'a)Plantilla'!$C57,RedondeoPersonalTecnico))),0)</f>
        <v>0</v>
      </c>
      <c r="AR115" s="6">
        <f>IF(Programa!D$52&gt;0,IF(TipoProgramaPersonalTecnico=1,ROUND(Programa!F$52*'a)Plantilla'!$C57,RedondeoPersonalTecnico),IF(TipoProgramaPersonalTecnico=2,ROUND(Programa!D$52*'a)Plantilla'!$C57,RedondeoPersonalTecnico),ROUND(Programa!D$52*Hjor*'a)Plantilla'!$C57,RedondeoPersonalTecnico))),0)</f>
        <v>0</v>
      </c>
      <c r="AS115" s="6">
        <f>IF(Programa!D$53&gt;0,IF(TipoProgramaPersonalTecnico=1,ROUND(Programa!F$53*'a)Plantilla'!$C57,RedondeoPersonalTecnico),IF(TipoProgramaPersonalTecnico=2,ROUND(Programa!D$53*'a)Plantilla'!$C57,RedondeoPersonalTecnico),ROUND(Programa!D$53*Hjor*'a)Plantilla'!$C57,RedondeoPersonalTecnico))),0)</f>
        <v>0</v>
      </c>
      <c r="AT115" s="6">
        <f>IF(Programa!D$54&gt;0,IF(TipoProgramaPersonalTecnico=1,ROUND(Programa!F$54*'a)Plantilla'!$C57,RedondeoPersonalTecnico),IF(TipoProgramaPersonalTecnico=2,ROUND(Programa!D$54*'a)Plantilla'!$C57,RedondeoPersonalTecnico),ROUND(Programa!D$54*Hjor*'a)Plantilla'!$C57,RedondeoPersonalTecnico))),0)</f>
        <v>0</v>
      </c>
      <c r="AU115" s="6">
        <f>IF(Programa!D$55&gt;0,IF(TipoProgramaPersonalTecnico=1,ROUND(Programa!F$55*'a)Plantilla'!$C57,RedondeoPersonalTecnico),IF(TipoProgramaPersonalTecnico=2,ROUND(Programa!D$55*'a)Plantilla'!$C57,RedondeoPersonalTecnico),ROUND(Programa!D$55*Hjor*'a)Plantilla'!$C57,RedondeoPersonalTecnico))),0)</f>
        <v>0</v>
      </c>
      <c r="AV115" s="6">
        <f>IF(Programa!D$56&gt;0,IF(TipoProgramaPersonalTecnico=1,ROUND(Programa!F$56*'a)Plantilla'!$C57,RedondeoPersonalTecnico),IF(TipoProgramaPersonalTecnico=2,ROUND(Programa!D$56*'a)Plantilla'!$C57,RedondeoPersonalTecnico),ROUND(Programa!D$56*Hjor*'a)Plantilla'!$C57,RedondeoPersonalTecnico))),0)</f>
        <v>0</v>
      </c>
      <c r="AW115" s="6">
        <f>IF(Programa!D$57&gt;0,IF(TipoProgramaPersonalTecnico=1,ROUND(Programa!F$57*'a)Plantilla'!$C57,RedondeoPersonalTecnico),IF(TipoProgramaPersonalTecnico=2,ROUND(Programa!D$57*'a)Plantilla'!$C57,RedondeoPersonalTecnico),ROUND(Programa!D$57*Hjor*'a)Plantilla'!$C57,RedondeoPersonalTecnico))),0)</f>
        <v>0</v>
      </c>
      <c r="AX115" s="6">
        <f>IF(Programa!D$58&gt;0,IF(TipoProgramaPersonalTecnico=1,ROUND(Programa!F$58*'a)Plantilla'!$C57,RedondeoPersonalTecnico),IF(TipoProgramaPersonalTecnico=2,ROUND(Programa!D$58*'a)Plantilla'!$C57,RedondeoPersonalTecnico),ROUND(Programa!D$58*Hjor*'a)Plantilla'!$C57,RedondeoPersonalTecnico))),0)</f>
        <v>0</v>
      </c>
      <c r="AY115" s="6">
        <f>IF(Programa!D$59&gt;0,IF(TipoProgramaPersonalTecnico=1,ROUND(Programa!F$59*'a)Plantilla'!$C57,RedondeoPersonalTecnico),IF(TipoProgramaPersonalTecnico=2,ROUND(Programa!D$59*'a)Plantilla'!$C57,RedondeoPersonalTecnico),ROUND(Programa!D$59*Hjor*'a)Plantilla'!$C57,RedondeoPersonalTecnico))),0)</f>
        <v>0</v>
      </c>
      <c r="AZ115" s="6">
        <f>IF(Programa!D$60&gt;0,IF(TipoProgramaPersonalTecnico=1,ROUND(Programa!F$60*'a)Plantilla'!$C57,RedondeoPersonalTecnico),IF(TipoProgramaPersonalTecnico=2,ROUND(Programa!D$60*'a)Plantilla'!$C57,RedondeoPersonalTecnico),ROUND(Programa!D$60*Hjor*'a)Plantilla'!$C57,RedondeoPersonalTecnico))),0)</f>
        <v>0</v>
      </c>
      <c r="BA115" s="6">
        <f>IF(Programa!D$61&gt;0,IF(TipoProgramaPersonalTecnico=1,ROUND(Programa!F$61*'a)Plantilla'!$C57,RedondeoPersonalTecnico),IF(TipoProgramaPersonalTecnico=2,ROUND(Programa!D$61*'a)Plantilla'!$C57,RedondeoPersonalTecnico),ROUND(Programa!D$61*Hjor*'a)Plantilla'!$C57,RedondeoPersonalTecnico))),0)</f>
        <v>0</v>
      </c>
      <c r="BB115" s="6">
        <f>IF(Programa!D$62&gt;0,IF(TipoProgramaPersonalTecnico=1,ROUND(Programa!F$62*'a)Plantilla'!$C57,RedondeoPersonalTecnico),IF(TipoProgramaPersonalTecnico=2,ROUND(Programa!D$62*'a)Plantilla'!$C57,RedondeoPersonalTecnico),ROUND(Programa!D$62*Hjor*'a)Plantilla'!$C57,RedondeoPersonalTecnico))),0)</f>
        <v>0</v>
      </c>
      <c r="BC115" s="6">
        <f>IF(Programa!D$63&gt;0,IF(TipoProgramaPersonalTecnico=1,ROUND(Programa!F$63*'a)Plantilla'!$C57,RedondeoPersonalTecnico),IF(TipoProgramaPersonalTecnico=2,ROUND(Programa!D$63*'a)Plantilla'!$C57,RedondeoPersonalTecnico),ROUND(Programa!D$63*Hjor*'a)Plantilla'!$C57,RedondeoPersonalTecnico))),0)</f>
        <v>0</v>
      </c>
      <c r="BD115" s="6">
        <f>IF(Programa!D$64&gt;0,IF(TipoProgramaPersonalTecnico=1,ROUND(Programa!F$64*'a)Plantilla'!$C57,RedondeoPersonalTecnico),IF(TipoProgramaPersonalTecnico=2,ROUND(Programa!D$64*'a)Plantilla'!$C57,RedondeoPersonalTecnico),ROUND(Programa!D$64*Hjor*'a)Plantilla'!$C57,RedondeoPersonalTecnico))),0)</f>
        <v>0</v>
      </c>
      <c r="BE115" s="6">
        <f>IF(Programa!D$65&gt;0,IF(TipoProgramaPersonalTecnico=1,ROUND(Programa!F$65*'a)Plantilla'!$C57,RedondeoPersonalTecnico),IF(TipoProgramaPersonalTecnico=2,ROUND(Programa!D$65*'a)Plantilla'!$C57,RedondeoPersonalTecnico),ROUND(Programa!D$65*Hjor*'a)Plantilla'!$C57,RedondeoPersonalTecnico))),0)</f>
        <v>0</v>
      </c>
      <c r="BF115" s="6">
        <f>IF(Programa!D$66&gt;0,IF(TipoProgramaPersonalTecnico=1,ROUND(Programa!F$66*'a)Plantilla'!$C57,RedondeoPersonalTecnico),IF(TipoProgramaPersonalTecnico=2,ROUND(Programa!D$66*'a)Plantilla'!$C57,RedondeoPersonalTecnico),ROUND(Programa!D$66*Hjor*'a)Plantilla'!$C57,RedondeoPersonalTecnico))),0)</f>
        <v>0</v>
      </c>
      <c r="BG115" s="6">
        <f>IF(Programa!D$67&gt;0,IF(TipoProgramaPersonalTecnico=1,ROUND(Programa!F$67*'a)Plantilla'!$C57,RedondeoPersonalTecnico),IF(TipoProgramaPersonalTecnico=2,ROUND(Programa!D$67*'a)Plantilla'!$C57,RedondeoPersonalTecnico),ROUND(Programa!D$67*Hjor*'a)Plantilla'!$C57,RedondeoPersonalTecnico))),0)</f>
        <v>0</v>
      </c>
      <c r="BH115" s="6">
        <f>IF(Programa!D$68&gt;0,IF(TipoProgramaPersonalTecnico=1,ROUND(Programa!F$68*'a)Plantilla'!$C57,RedondeoPersonalTecnico),IF(TipoProgramaPersonalTecnico=2,ROUND(Programa!D$68*'a)Plantilla'!$C57,RedondeoPersonalTecnico),ROUND(Programa!D$68*Hjor*'a)Plantilla'!$C57,RedondeoPersonalTecnico))),0)</f>
        <v>0</v>
      </c>
      <c r="BI115" s="6">
        <f>IF(Programa!D$69&gt;0,IF(TipoProgramaPersonalTecnico=1,ROUND(Programa!F$69*'a)Plantilla'!$C57,RedondeoPersonalTecnico),IF(TipoProgramaPersonalTecnico=2,ROUND(Programa!D$69*'a)Plantilla'!$C57,RedondeoPersonalTecnico),ROUND(Programa!D$69*Hjor*'a)Plantilla'!$C57,RedondeoPersonalTecnico))),0)</f>
        <v>0</v>
      </c>
      <c r="BJ115" s="6">
        <f>IF(Programa!D$70&gt;0,IF(TipoProgramaPersonalTecnico=1,ROUND(Programa!F$70*'a)Plantilla'!$C57,RedondeoPersonalTecnico),IF(TipoProgramaPersonalTecnico=2,ROUND(Programa!D$70*'a)Plantilla'!$C57,RedondeoPersonalTecnico),ROUND(Programa!D$70*Hjor*'a)Plantilla'!$C57,RedondeoPersonalTecnico))),0)</f>
        <v>0</v>
      </c>
      <c r="BK115" s="6">
        <f>IF(Programa!D$71&gt;0,IF(TipoProgramaPersonalTecnico=1,ROUND(Programa!F$71*'a)Plantilla'!$C57,RedondeoPersonalTecnico),IF(TipoProgramaPersonalTecnico=2,ROUND(Programa!D$71*'a)Plantilla'!$C57,RedondeoPersonalTecnico),ROUND(Programa!D$71*Hjor*'a)Plantilla'!$C57,RedondeoPersonalTecnico))),0)</f>
        <v>0</v>
      </c>
      <c r="BL115" s="78">
        <f>IF(Programa!D$72&gt;0,IF(TipoProgramaPersonalTecnico=1,ROUND(Programa!F$72*'a)Plantilla'!$C57,RedondeoPersonalTecnico),IF(TipoProgramaPersonalTecnico=2,ROUND(Programa!D$72*'a)Plantilla'!$C57,RedondeoPersonalTecnico),ROUND(Programa!D$72*Hjor*'a)Plantilla'!$C57,RedondeoPersonalTecnico))),0)</f>
        <v>0</v>
      </c>
    </row>
    <row r="116" spans="1:64" ht="8.1" customHeight="1">
      <c r="A116" s="133"/>
      <c r="B116" s="46"/>
      <c r="C116" s="31"/>
      <c r="D116" s="22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78"/>
      <c r="Q116" s="27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78"/>
      <c r="AC116" s="27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78"/>
      <c r="AO116" s="27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78"/>
    </row>
    <row r="117" spans="1:64" ht="12.75" customHeight="1">
      <c r="A117" s="133"/>
      <c r="B117" s="46" t="str">
        <f>IF('a)Plantilla'!C58&gt;0,'a)Plantilla'!B58,"")</f>
        <v/>
      </c>
      <c r="C117" s="17" t="str">
        <f>IF('a)Plantilla'!C$58&gt;0,IF(TipoProgramaPersonalTecnico=1,"Personas",IF(TipoProgramaPersonalTecnico=2,"Jornal","horas-Hombre")),"")</f>
        <v/>
      </c>
      <c r="D117" s="226">
        <f>ROUND(SUM(E117:BL117),RedondeoPersonalTecnico)</f>
        <v>0</v>
      </c>
      <c r="E117" s="6">
        <f>IF(Programa!D$13&gt;0,IF(TipoProgramaPersonalTecnico=1,ROUND(Programa!F$13*'a)Plantilla'!$C58,RedondeoPersonalTecnico),IF(TipoProgramaPersonalTecnico=2,ROUND(Programa!D$13*'a)Plantilla'!$C58,RedondeoPersonalTecnico),ROUND(Programa!D$13*Hjor*'a)Plantilla'!$C58,RedondeoPersonalTecnico))),0)</f>
        <v>0</v>
      </c>
      <c r="F117" s="6">
        <f>IF(Programa!D$14&gt;0,IF(TipoProgramaPersonalTecnico=1,ROUND(Programa!F$14*'a)Plantilla'!$C58,RedondeoPersonalTecnico),IF(TipoProgramaPersonalTecnico=2,ROUND(Programa!D$14*'a)Plantilla'!$C58,RedondeoPersonalTecnico),ROUND(Programa!D$14*Hjor*'a)Plantilla'!$C58,RedondeoPersonalTecnico))),0)</f>
        <v>0</v>
      </c>
      <c r="G117" s="6">
        <f>IF(Programa!D$15&gt;0,IF(TipoProgramaPersonalTecnico=1,ROUND(Programa!F$15*'a)Plantilla'!$C58,RedondeoPersonalTecnico),IF(TipoProgramaPersonalTecnico=2,ROUND(Programa!D$15*'a)Plantilla'!$C58,RedondeoPersonalTecnico),ROUND(Programa!D$15*Hjor*'a)Plantilla'!$C58,RedondeoPersonalTecnico))),0)</f>
        <v>0</v>
      </c>
      <c r="H117" s="6">
        <f>IF(Programa!D$16&gt;0,IF(TipoProgramaPersonalTecnico=1,ROUND(Programa!F$16*'a)Plantilla'!$C58,RedondeoPersonalTecnico),IF(TipoProgramaPersonalTecnico=2,ROUND(Programa!D$16*'a)Plantilla'!$C58,RedondeoPersonalTecnico),ROUND(Programa!D$16*Hjor*'a)Plantilla'!$C58,RedondeoPersonalTecnico))),0)</f>
        <v>0</v>
      </c>
      <c r="I117" s="6">
        <f>IF(Programa!D$17&gt;0,IF(TipoProgramaPersonalTecnico=1,ROUND(Programa!F$17*'a)Plantilla'!$C58,RedondeoPersonalTecnico),IF(TipoProgramaPersonalTecnico=2,ROUND(Programa!D$17*'a)Plantilla'!$C58,RedondeoPersonalTecnico),ROUND(Programa!D$17*Hjor*'a)Plantilla'!$C58,RedondeoPersonalTecnico))),0)</f>
        <v>0</v>
      </c>
      <c r="J117" s="6">
        <f>IF(Programa!D$18&gt;0,IF(TipoProgramaPersonalTecnico=1,ROUND(Programa!F$18*'a)Plantilla'!$C58,RedondeoPersonalTecnico),IF(TipoProgramaPersonalTecnico=2,ROUND(Programa!D$18*'a)Plantilla'!$C58,RedondeoPersonalTecnico),ROUND(Programa!D$18*Hjor*'a)Plantilla'!$C58,RedondeoPersonalTecnico))),0)</f>
        <v>0</v>
      </c>
      <c r="K117" s="6">
        <f>IF(Programa!D$19&gt;0,IF(TipoProgramaPersonalTecnico=1,ROUND(Programa!F$19*'a)Plantilla'!$C58,RedondeoPersonalTecnico),IF(TipoProgramaPersonalTecnico=2,ROUND(Programa!D$19*'a)Plantilla'!$C58,RedondeoPersonalTecnico),ROUND(Programa!D$19*Hjor*'a)Plantilla'!$C58,RedondeoPersonalTecnico))),0)</f>
        <v>0</v>
      </c>
      <c r="L117" s="6">
        <f>IF(Programa!D$20&gt;0,IF(TipoProgramaPersonalTecnico=1,ROUND(Programa!F$20*'a)Plantilla'!$C58,RedondeoPersonalTecnico),IF(TipoProgramaPersonalTecnico=2,ROUND(Programa!D$20*'a)Plantilla'!$C58,RedondeoPersonalTecnico),ROUND(Programa!D$20*Hjor*'a)Plantilla'!$C58,RedondeoPersonalTecnico))),0)</f>
        <v>0</v>
      </c>
      <c r="M117" s="6">
        <f>IF(Programa!D$21&gt;0,IF(TipoProgramaPersonalTecnico=1,ROUND(Programa!F$21*'a)Plantilla'!$C58,RedondeoPersonalTecnico),IF(TipoProgramaPersonalTecnico=2,ROUND(Programa!D$21*'a)Plantilla'!$C58,RedondeoPersonalTecnico),ROUND(Programa!D$21*Hjor*'a)Plantilla'!$C58,RedondeoPersonalTecnico))),0)</f>
        <v>0</v>
      </c>
      <c r="N117" s="6">
        <f>IF(Programa!D$22&gt;0,IF(TipoProgramaPersonalTecnico=1,ROUND(Programa!F$22*'a)Plantilla'!$C58,RedondeoPersonalTecnico),IF(TipoProgramaPersonalTecnico=2,ROUND(Programa!D$22*'a)Plantilla'!$C58,RedondeoPersonalTecnico),ROUND(Programa!D$22*Hjor*'a)Plantilla'!$C58,RedondeoPersonalTecnico))),0)</f>
        <v>0</v>
      </c>
      <c r="O117" s="6">
        <f>IF(Programa!D$23&gt;0,IF(TipoProgramaPersonalTecnico=1,ROUND(Programa!F$23*'a)Plantilla'!$C58,RedondeoPersonalTecnico),IF(TipoProgramaPersonalTecnico=2,ROUND(Programa!D$23*'a)Plantilla'!$C58,RedondeoPersonalTecnico),ROUND(Programa!D$23*Hjor*'a)Plantilla'!$C58,RedondeoPersonalTecnico))),0)</f>
        <v>0</v>
      </c>
      <c r="P117" s="78">
        <f>IF(Programa!D$24&gt;0,IF(TipoProgramaPersonalTecnico=1,ROUND(Programa!F$24*'a)Plantilla'!$C58,RedondeoPersonalTecnico),IF(TipoProgramaPersonalTecnico=2,ROUND(Programa!D$24*'a)Plantilla'!$C58,RedondeoPersonalTecnico),ROUND(Programa!D$24*Hjor*'a)Plantilla'!$C58,RedondeoPersonalTecnico))),0)</f>
        <v>0</v>
      </c>
      <c r="Q117" s="27">
        <f>IF(Programa!D$25&gt;0,IF(TipoProgramaPersonalTecnico=1,ROUND(Programa!F$25*'a)Plantilla'!$C58,RedondeoPersonalTecnico),IF(TipoProgramaPersonalTecnico=2,ROUND(Programa!D$25*'a)Plantilla'!$C58,RedondeoPersonalTecnico),ROUND(Programa!D$25*Hjor*'a)Plantilla'!$C58,RedondeoPersonalTecnico))),0)</f>
        <v>0</v>
      </c>
      <c r="R117" s="6">
        <f>IF(Programa!D$26&gt;0,IF(TipoProgramaPersonalTecnico=1,ROUND(Programa!F$26*'a)Plantilla'!$C58,RedondeoPersonalTecnico),IF(TipoProgramaPersonalTecnico=2,ROUND(Programa!D$26*'a)Plantilla'!$C58,RedondeoPersonalTecnico),ROUND(Programa!D$26*Hjor*'a)Plantilla'!$C58,RedondeoPersonalTecnico))),0)</f>
        <v>0</v>
      </c>
      <c r="S117" s="6">
        <f>IF(Programa!D$27&gt;0,IF(TipoProgramaPersonalTecnico=1,ROUND(Programa!F$27*'a)Plantilla'!$C58,RedondeoPersonalTecnico),IF(TipoProgramaPersonalTecnico=2,ROUND(Programa!D$27*'a)Plantilla'!$C58,RedondeoPersonalTecnico),ROUND(Programa!D$27*Hjor*'a)Plantilla'!$C58,RedondeoPersonalTecnico))),0)</f>
        <v>0</v>
      </c>
      <c r="T117" s="6">
        <f>IF(Programa!D$28&gt;0,IF(TipoProgramaPersonalTecnico=1,ROUND(Programa!F$28*'a)Plantilla'!$C58,RedondeoPersonalTecnico),IF(TipoProgramaPersonalTecnico=2,ROUND(Programa!D$28*'a)Plantilla'!$C58,RedondeoPersonalTecnico),ROUND(Programa!D$28*Hjor*'a)Plantilla'!$C58,RedondeoPersonalTecnico))),0)</f>
        <v>0</v>
      </c>
      <c r="U117" s="6">
        <f>IF(Programa!D$29&gt;0,IF(TipoProgramaPersonalTecnico=1,ROUND(Programa!F$29*'a)Plantilla'!$C58,RedondeoPersonalTecnico),IF(TipoProgramaPersonalTecnico=2,ROUND(Programa!D$29*'a)Plantilla'!$C58,RedondeoPersonalTecnico),ROUND(Programa!D$29*Hjor*'a)Plantilla'!$C58,RedondeoPersonalTecnico))),0)</f>
        <v>0</v>
      </c>
      <c r="V117" s="6">
        <f>IF(Programa!D$30&gt;0,IF(TipoProgramaPersonalTecnico=1,ROUND(Programa!F$30*'a)Plantilla'!$C58,RedondeoPersonalTecnico),IF(TipoProgramaPersonalTecnico=2,ROUND(Programa!D$30*'a)Plantilla'!$C58,RedondeoPersonalTecnico),ROUND(Programa!D$30*Hjor*'a)Plantilla'!$C58,RedondeoPersonalTecnico))),0)</f>
        <v>0</v>
      </c>
      <c r="W117" s="6">
        <f>IF(Programa!D$31&gt;0,IF(TipoProgramaPersonalTecnico=1,ROUND(Programa!F$31*'a)Plantilla'!$C58,RedondeoPersonalTecnico),IF(TipoProgramaPersonalTecnico=2,ROUND(Programa!D$31*'a)Plantilla'!$C58,RedondeoPersonalTecnico),ROUND(Programa!D$31*Hjor*'a)Plantilla'!$C58,RedondeoPersonalTecnico))),0)</f>
        <v>0</v>
      </c>
      <c r="X117" s="6">
        <f>IF(Programa!D$32&gt;0,IF(TipoProgramaPersonalTecnico=1,ROUND(Programa!F$32*'a)Plantilla'!$C58,RedondeoPersonalTecnico),IF(TipoProgramaPersonalTecnico=2,ROUND(Programa!D$32*'a)Plantilla'!$C58,RedondeoPersonalTecnico),ROUND(Programa!D$32*Hjor*'a)Plantilla'!$C58,RedondeoPersonalTecnico))),0)</f>
        <v>0</v>
      </c>
      <c r="Y117" s="6">
        <f>IF(Programa!D$33&gt;0,IF(TipoProgramaPersonalTecnico=1,ROUND(Programa!F$33*'a)Plantilla'!$C58,RedondeoPersonalTecnico),IF(TipoProgramaPersonalTecnico=2,ROUND(Programa!D$33*'a)Plantilla'!$C58,RedondeoPersonalTecnico),ROUND(Programa!D$33*Hjor*'a)Plantilla'!$C58,RedondeoPersonalTecnico))),0)</f>
        <v>0</v>
      </c>
      <c r="Z117" s="6">
        <f>IF(Programa!D$34&gt;0,IF(TipoProgramaPersonalTecnico=1,ROUND(Programa!F$34*'a)Plantilla'!$C58,RedondeoPersonalTecnico),IF(TipoProgramaPersonalTecnico=2,ROUND(Programa!D$34*'a)Plantilla'!$C58,RedondeoPersonalTecnico),ROUND(Programa!D$34*Hjor*'a)Plantilla'!$C58,RedondeoPersonalTecnico))),0)</f>
        <v>0</v>
      </c>
      <c r="AA117" s="6">
        <f>IF(Programa!D$35&gt;0,IF(TipoProgramaPersonalTecnico=1,ROUND(Programa!F$35*'a)Plantilla'!$C58,RedondeoPersonalTecnico),IF(TipoProgramaPersonalTecnico=2,ROUND(Programa!D$35*'a)Plantilla'!$C58,RedondeoPersonalTecnico),ROUND(Programa!D$35*Hjor*'a)Plantilla'!$C58,RedondeoPersonalTecnico))),0)</f>
        <v>0</v>
      </c>
      <c r="AB117" s="78">
        <f>IF(Programa!D$36&gt;0,IF(TipoProgramaPersonalTecnico=1,ROUND(Programa!F$36*'a)Plantilla'!$C58,RedondeoPersonalTecnico),IF(TipoProgramaPersonalTecnico=2,ROUND(Programa!D$36*'a)Plantilla'!$C58,RedondeoPersonalTecnico),ROUND(Programa!D$36*Hjor*'a)Plantilla'!$C58,RedondeoPersonalTecnico))),0)</f>
        <v>0</v>
      </c>
      <c r="AC117" s="27">
        <f>IF(Programa!D$37&gt;0,IF(TipoProgramaPersonalTecnico=1,ROUND(Programa!F$37*'a)Plantilla'!$C58,RedondeoPersonalTecnico),IF(TipoProgramaPersonalTecnico=2,ROUND(Programa!D$37*'a)Plantilla'!$C58,RedondeoPersonalTecnico),ROUND(Programa!D$37*Hjor*'a)Plantilla'!$C58,RedondeoPersonalTecnico))),0)</f>
        <v>0</v>
      </c>
      <c r="AD117" s="6">
        <f>IF(Programa!D$38&gt;0,IF(TipoProgramaPersonalTecnico=1,ROUND(Programa!F$38*'a)Plantilla'!$C58,RedondeoPersonalTecnico),IF(TipoProgramaPersonalTecnico=2,ROUND(Programa!D$38*'a)Plantilla'!$C58,RedondeoPersonalTecnico),ROUND(Programa!D$38*Hjor*'a)Plantilla'!$C58,RedondeoPersonalTecnico))),0)</f>
        <v>0</v>
      </c>
      <c r="AE117" s="6">
        <f>IF(Programa!D$39&gt;0,IF(TipoProgramaPersonalTecnico=1,ROUND(Programa!F$39*'a)Plantilla'!$C58,RedondeoPersonalTecnico),IF(TipoProgramaPersonalTecnico=2,ROUND(Programa!D$39*'a)Plantilla'!$C58,RedondeoPersonalTecnico),ROUND(Programa!D$39*Hjor*'a)Plantilla'!$C58,RedondeoPersonalTecnico))),0)</f>
        <v>0</v>
      </c>
      <c r="AF117" s="6">
        <f>IF(Programa!D$40&gt;0,IF(TipoProgramaPersonalTecnico=1,ROUND(Programa!F$40*'a)Plantilla'!$C58,RedondeoPersonalTecnico),IF(TipoProgramaPersonalTecnico=2,ROUND(Programa!D$40*'a)Plantilla'!$C58,RedondeoPersonalTecnico),ROUND(Programa!D$40*Hjor*'a)Plantilla'!$C58,RedondeoPersonalTecnico))),0)</f>
        <v>0</v>
      </c>
      <c r="AG117" s="6">
        <f>IF(Programa!D$41&gt;0,IF(TipoProgramaPersonalTecnico=1,ROUND(Programa!F$41*'a)Plantilla'!$C58,RedondeoPersonalTecnico),IF(TipoProgramaPersonalTecnico=2,ROUND(Programa!D$41*'a)Plantilla'!$C58,RedondeoPersonalTecnico),ROUND(Programa!D$41*Hjor*'a)Plantilla'!$C58,RedondeoPersonalTecnico))),0)</f>
        <v>0</v>
      </c>
      <c r="AH117" s="6">
        <f>IF(Programa!D$42&gt;0,IF(TipoProgramaPersonalTecnico=1,ROUND(Programa!F$42*'a)Plantilla'!$C58,RedondeoPersonalTecnico),IF(TipoProgramaPersonalTecnico=2,ROUND(Programa!D$42*'a)Plantilla'!$C58,RedondeoPersonalTecnico),ROUND(Programa!D$42*Hjor*'a)Plantilla'!$C58,RedondeoPersonalTecnico))),0)</f>
        <v>0</v>
      </c>
      <c r="AI117" s="6">
        <f>IF(Programa!D$43&gt;0,IF(TipoProgramaPersonalTecnico=1,ROUND(Programa!F$43*'a)Plantilla'!$C58,RedondeoPersonalTecnico),IF(TipoProgramaPersonalTecnico=2,ROUND(Programa!D$43*'a)Plantilla'!$C58,RedondeoPersonalTecnico),ROUND(Programa!D$43*Hjor*'a)Plantilla'!$C58,RedondeoPersonalTecnico))),0)</f>
        <v>0</v>
      </c>
      <c r="AJ117" s="6">
        <f>IF(Programa!D$44&gt;0,IF(TipoProgramaPersonalTecnico=1,ROUND(Programa!F$44*'a)Plantilla'!$C58,RedondeoPersonalTecnico),IF(TipoProgramaPersonalTecnico=2,ROUND(Programa!D$44*'a)Plantilla'!$C58,RedondeoPersonalTecnico),ROUND(Programa!D$44*Hjor*'a)Plantilla'!$C58,RedondeoPersonalTecnico))),0)</f>
        <v>0</v>
      </c>
      <c r="AK117" s="6">
        <f>IF(Programa!D$45&gt;0,IF(TipoProgramaPersonalTecnico=1,ROUND(Programa!F$45*'a)Plantilla'!$C58,RedondeoPersonalTecnico),IF(TipoProgramaPersonalTecnico=2,ROUND(Programa!D$45*'a)Plantilla'!$C58,RedondeoPersonalTecnico),ROUND(Programa!D$45*Hjor*'a)Plantilla'!$C58,RedondeoPersonalTecnico))),0)</f>
        <v>0</v>
      </c>
      <c r="AL117" s="6">
        <f>IF(Programa!D$46&gt;0,IF(TipoProgramaPersonalTecnico=1,ROUND(Programa!F$46*'a)Plantilla'!$C58,RedondeoPersonalTecnico),IF(TipoProgramaPersonalTecnico=2,ROUND(Programa!D$46*'a)Plantilla'!$C58,RedondeoPersonalTecnico),ROUND(Programa!D$46*Hjor*'a)Plantilla'!$C58,RedondeoPersonalTecnico))),0)</f>
        <v>0</v>
      </c>
      <c r="AM117" s="6">
        <f>IF(Programa!D$47&gt;0,IF(TipoProgramaPersonalTecnico=1,ROUND(Programa!F$47*'a)Plantilla'!$C58,RedondeoPersonalTecnico),IF(TipoProgramaPersonalTecnico=2,ROUND(Programa!D$47*'a)Plantilla'!$C58,RedondeoPersonalTecnico),ROUND(Programa!D$47*Hjor*'a)Plantilla'!$C58,RedondeoPersonalTecnico))),0)</f>
        <v>0</v>
      </c>
      <c r="AN117" s="78">
        <f>IF(Programa!D$48&gt;0,IF(TipoProgramaPersonalTecnico=1,ROUND(Programa!F$48*'a)Plantilla'!$C58,RedondeoPersonalTecnico),IF(TipoProgramaPersonalTecnico=2,ROUND(Programa!D$48*'a)Plantilla'!$C58,RedondeoPersonalTecnico),ROUND(Programa!D$48*Hjor*'a)Plantilla'!$C58,RedondeoPersonalTecnico))),0)</f>
        <v>0</v>
      </c>
      <c r="AO117" s="27">
        <f>IF(Programa!D$49&gt;0,IF(TipoProgramaPersonalTecnico=1,ROUND(Programa!F$49*'a)Plantilla'!$C58,RedondeoPersonalTecnico),IF(TipoProgramaPersonalTecnico=2,ROUND(Programa!D$49*'a)Plantilla'!$C58,RedondeoPersonalTecnico),ROUND(Programa!D$49*Hjor*'a)Plantilla'!$C58,RedondeoPersonalTecnico))),0)</f>
        <v>0</v>
      </c>
      <c r="AP117" s="6">
        <f>IF(Programa!D$50&gt;0,IF(TipoProgramaPersonalTecnico=1,ROUND(Programa!F$50*'a)Plantilla'!$C58,RedondeoPersonalTecnico),IF(TipoProgramaPersonalTecnico=2,ROUND(Programa!D$50*'a)Plantilla'!$C58,RedondeoPersonalTecnico),ROUND(Programa!D$50*Hjor*'a)Plantilla'!$C58,RedondeoPersonalTecnico))),0)</f>
        <v>0</v>
      </c>
      <c r="AQ117" s="6">
        <f>IF(Programa!D$51&gt;0,IF(TipoProgramaPersonalTecnico=1,ROUND(Programa!F$51*'a)Plantilla'!$C58,RedondeoPersonalTecnico),IF(TipoProgramaPersonalTecnico=2,ROUND(Programa!D$51*'a)Plantilla'!$C58,RedondeoPersonalTecnico),ROUND(Programa!D$51*Hjor*'a)Plantilla'!$C58,RedondeoPersonalTecnico))),0)</f>
        <v>0</v>
      </c>
      <c r="AR117" s="6">
        <f>IF(Programa!D$52&gt;0,IF(TipoProgramaPersonalTecnico=1,ROUND(Programa!F$52*'a)Plantilla'!$C58,RedondeoPersonalTecnico),IF(TipoProgramaPersonalTecnico=2,ROUND(Programa!D$52*'a)Plantilla'!$C58,RedondeoPersonalTecnico),ROUND(Programa!D$52*Hjor*'a)Plantilla'!$C58,RedondeoPersonalTecnico))),0)</f>
        <v>0</v>
      </c>
      <c r="AS117" s="6">
        <f>IF(Programa!D$53&gt;0,IF(TipoProgramaPersonalTecnico=1,ROUND(Programa!F$53*'a)Plantilla'!$C58,RedondeoPersonalTecnico),IF(TipoProgramaPersonalTecnico=2,ROUND(Programa!D$53*'a)Plantilla'!$C58,RedondeoPersonalTecnico),ROUND(Programa!D$53*Hjor*'a)Plantilla'!$C58,RedondeoPersonalTecnico))),0)</f>
        <v>0</v>
      </c>
      <c r="AT117" s="6">
        <f>IF(Programa!D$54&gt;0,IF(TipoProgramaPersonalTecnico=1,ROUND(Programa!F$54*'a)Plantilla'!$C58,RedondeoPersonalTecnico),IF(TipoProgramaPersonalTecnico=2,ROUND(Programa!D$54*'a)Plantilla'!$C58,RedondeoPersonalTecnico),ROUND(Programa!D$54*Hjor*'a)Plantilla'!$C58,RedondeoPersonalTecnico))),0)</f>
        <v>0</v>
      </c>
      <c r="AU117" s="6">
        <f>IF(Programa!D$55&gt;0,IF(TipoProgramaPersonalTecnico=1,ROUND(Programa!F$55*'a)Plantilla'!$C58,RedondeoPersonalTecnico),IF(TipoProgramaPersonalTecnico=2,ROUND(Programa!D$55*'a)Plantilla'!$C58,RedondeoPersonalTecnico),ROUND(Programa!D$55*Hjor*'a)Plantilla'!$C58,RedondeoPersonalTecnico))),0)</f>
        <v>0</v>
      </c>
      <c r="AV117" s="6">
        <f>IF(Programa!D$56&gt;0,IF(TipoProgramaPersonalTecnico=1,ROUND(Programa!F$56*'a)Plantilla'!$C58,RedondeoPersonalTecnico),IF(TipoProgramaPersonalTecnico=2,ROUND(Programa!D$56*'a)Plantilla'!$C58,RedondeoPersonalTecnico),ROUND(Programa!D$56*Hjor*'a)Plantilla'!$C58,RedondeoPersonalTecnico))),0)</f>
        <v>0</v>
      </c>
      <c r="AW117" s="6">
        <f>IF(Programa!D$57&gt;0,IF(TipoProgramaPersonalTecnico=1,ROUND(Programa!F$57*'a)Plantilla'!$C58,RedondeoPersonalTecnico),IF(TipoProgramaPersonalTecnico=2,ROUND(Programa!D$57*'a)Plantilla'!$C58,RedondeoPersonalTecnico),ROUND(Programa!D$57*Hjor*'a)Plantilla'!$C58,RedondeoPersonalTecnico))),0)</f>
        <v>0</v>
      </c>
      <c r="AX117" s="6">
        <f>IF(Programa!D$58&gt;0,IF(TipoProgramaPersonalTecnico=1,ROUND(Programa!F$58*'a)Plantilla'!$C58,RedondeoPersonalTecnico),IF(TipoProgramaPersonalTecnico=2,ROUND(Programa!D$58*'a)Plantilla'!$C58,RedondeoPersonalTecnico),ROUND(Programa!D$58*Hjor*'a)Plantilla'!$C58,RedondeoPersonalTecnico))),0)</f>
        <v>0</v>
      </c>
      <c r="AY117" s="6">
        <f>IF(Programa!D$59&gt;0,IF(TipoProgramaPersonalTecnico=1,ROUND(Programa!F$59*'a)Plantilla'!$C58,RedondeoPersonalTecnico),IF(TipoProgramaPersonalTecnico=2,ROUND(Programa!D$59*'a)Plantilla'!$C58,RedondeoPersonalTecnico),ROUND(Programa!D$59*Hjor*'a)Plantilla'!$C58,RedondeoPersonalTecnico))),0)</f>
        <v>0</v>
      </c>
      <c r="AZ117" s="6">
        <f>IF(Programa!D$60&gt;0,IF(TipoProgramaPersonalTecnico=1,ROUND(Programa!F$60*'a)Plantilla'!$C58,RedondeoPersonalTecnico),IF(TipoProgramaPersonalTecnico=2,ROUND(Programa!D$60*'a)Plantilla'!$C58,RedondeoPersonalTecnico),ROUND(Programa!D$60*Hjor*'a)Plantilla'!$C58,RedondeoPersonalTecnico))),0)</f>
        <v>0</v>
      </c>
      <c r="BA117" s="6">
        <f>IF(Programa!D$61&gt;0,IF(TipoProgramaPersonalTecnico=1,ROUND(Programa!F$61*'a)Plantilla'!$C58,RedondeoPersonalTecnico),IF(TipoProgramaPersonalTecnico=2,ROUND(Programa!D$61*'a)Plantilla'!$C58,RedondeoPersonalTecnico),ROUND(Programa!D$61*Hjor*'a)Plantilla'!$C58,RedondeoPersonalTecnico))),0)</f>
        <v>0</v>
      </c>
      <c r="BB117" s="6">
        <f>IF(Programa!D$62&gt;0,IF(TipoProgramaPersonalTecnico=1,ROUND(Programa!F$62*'a)Plantilla'!$C58,RedondeoPersonalTecnico),IF(TipoProgramaPersonalTecnico=2,ROUND(Programa!D$62*'a)Plantilla'!$C58,RedondeoPersonalTecnico),ROUND(Programa!D$62*Hjor*'a)Plantilla'!$C58,RedondeoPersonalTecnico))),0)</f>
        <v>0</v>
      </c>
      <c r="BC117" s="6">
        <f>IF(Programa!D$63&gt;0,IF(TipoProgramaPersonalTecnico=1,ROUND(Programa!F$63*'a)Plantilla'!$C58,RedondeoPersonalTecnico),IF(TipoProgramaPersonalTecnico=2,ROUND(Programa!D$63*'a)Plantilla'!$C58,RedondeoPersonalTecnico),ROUND(Programa!D$63*Hjor*'a)Plantilla'!$C58,RedondeoPersonalTecnico))),0)</f>
        <v>0</v>
      </c>
      <c r="BD117" s="6">
        <f>IF(Programa!D$64&gt;0,IF(TipoProgramaPersonalTecnico=1,ROUND(Programa!F$64*'a)Plantilla'!$C58,RedondeoPersonalTecnico),IF(TipoProgramaPersonalTecnico=2,ROUND(Programa!D$64*'a)Plantilla'!$C58,RedondeoPersonalTecnico),ROUND(Programa!D$64*Hjor*'a)Plantilla'!$C58,RedondeoPersonalTecnico))),0)</f>
        <v>0</v>
      </c>
      <c r="BE117" s="6">
        <f>IF(Programa!D$65&gt;0,IF(TipoProgramaPersonalTecnico=1,ROUND(Programa!F$65*'a)Plantilla'!$C58,RedondeoPersonalTecnico),IF(TipoProgramaPersonalTecnico=2,ROUND(Programa!D$65*'a)Plantilla'!$C58,RedondeoPersonalTecnico),ROUND(Programa!D$65*Hjor*'a)Plantilla'!$C58,RedondeoPersonalTecnico))),0)</f>
        <v>0</v>
      </c>
      <c r="BF117" s="6">
        <f>IF(Programa!D$66&gt;0,IF(TipoProgramaPersonalTecnico=1,ROUND(Programa!F$66*'a)Plantilla'!$C58,RedondeoPersonalTecnico),IF(TipoProgramaPersonalTecnico=2,ROUND(Programa!D$66*'a)Plantilla'!$C58,RedondeoPersonalTecnico),ROUND(Programa!D$66*Hjor*'a)Plantilla'!$C58,RedondeoPersonalTecnico))),0)</f>
        <v>0</v>
      </c>
      <c r="BG117" s="6">
        <f>IF(Programa!D$67&gt;0,IF(TipoProgramaPersonalTecnico=1,ROUND(Programa!F$67*'a)Plantilla'!$C58,RedondeoPersonalTecnico),IF(TipoProgramaPersonalTecnico=2,ROUND(Programa!D$67*'a)Plantilla'!$C58,RedondeoPersonalTecnico),ROUND(Programa!D$67*Hjor*'a)Plantilla'!$C58,RedondeoPersonalTecnico))),0)</f>
        <v>0</v>
      </c>
      <c r="BH117" s="6">
        <f>IF(Programa!D$68&gt;0,IF(TipoProgramaPersonalTecnico=1,ROUND(Programa!F$68*'a)Plantilla'!$C58,RedondeoPersonalTecnico),IF(TipoProgramaPersonalTecnico=2,ROUND(Programa!D$68*'a)Plantilla'!$C58,RedondeoPersonalTecnico),ROUND(Programa!D$68*Hjor*'a)Plantilla'!$C58,RedondeoPersonalTecnico))),0)</f>
        <v>0</v>
      </c>
      <c r="BI117" s="6">
        <f>IF(Programa!D$69&gt;0,IF(TipoProgramaPersonalTecnico=1,ROUND(Programa!F$69*'a)Plantilla'!$C58,RedondeoPersonalTecnico),IF(TipoProgramaPersonalTecnico=2,ROUND(Programa!D$69*'a)Plantilla'!$C58,RedondeoPersonalTecnico),ROUND(Programa!D$69*Hjor*'a)Plantilla'!$C58,RedondeoPersonalTecnico))),0)</f>
        <v>0</v>
      </c>
      <c r="BJ117" s="6">
        <f>IF(Programa!D$70&gt;0,IF(TipoProgramaPersonalTecnico=1,ROUND(Programa!F$70*'a)Plantilla'!$C58,RedondeoPersonalTecnico),IF(TipoProgramaPersonalTecnico=2,ROUND(Programa!D$70*'a)Plantilla'!$C58,RedondeoPersonalTecnico),ROUND(Programa!D$70*Hjor*'a)Plantilla'!$C58,RedondeoPersonalTecnico))),0)</f>
        <v>0</v>
      </c>
      <c r="BK117" s="6">
        <f>IF(Programa!D$71&gt;0,IF(TipoProgramaPersonalTecnico=1,ROUND(Programa!F$71*'a)Plantilla'!$C58,RedondeoPersonalTecnico),IF(TipoProgramaPersonalTecnico=2,ROUND(Programa!D$71*'a)Plantilla'!$C58,RedondeoPersonalTecnico),ROUND(Programa!D$71*Hjor*'a)Plantilla'!$C58,RedondeoPersonalTecnico))),0)</f>
        <v>0</v>
      </c>
      <c r="BL117" s="78">
        <f>IF(Programa!D$72&gt;0,IF(TipoProgramaPersonalTecnico=1,ROUND(Programa!F$72*'a)Plantilla'!$C58,RedondeoPersonalTecnico),IF(TipoProgramaPersonalTecnico=2,ROUND(Programa!D$72*'a)Plantilla'!$C58,RedondeoPersonalTecnico),ROUND(Programa!D$72*Hjor*'a)Plantilla'!$C58,RedondeoPersonalTecnico))),0)</f>
        <v>0</v>
      </c>
    </row>
    <row r="118" spans="1:64" ht="8.1" customHeight="1">
      <c r="A118" s="133"/>
      <c r="B118" s="46"/>
      <c r="C118" s="31"/>
      <c r="D118" s="22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78"/>
      <c r="Q118" s="27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8"/>
      <c r="AC118" s="27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78"/>
      <c r="AO118" s="27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78"/>
    </row>
    <row r="119" spans="1:64" ht="12.75" customHeight="1">
      <c r="A119" s="133"/>
      <c r="B119" s="46" t="str">
        <f>IF('a)Plantilla'!C59&gt;0,'a)Plantilla'!B59,"")</f>
        <v/>
      </c>
      <c r="C119" s="17" t="str">
        <f>IF('a)Plantilla'!C$59&gt;0,IF(TipoProgramaPersonalTecnico=1,"Personas",IF(TipoProgramaPersonalTecnico=2,"Jornal","horas-Hombre")),"")</f>
        <v/>
      </c>
      <c r="D119" s="226">
        <f>ROUND(SUM(E119:BL119),RedondeoPersonalTecnico)</f>
        <v>0</v>
      </c>
      <c r="E119" s="6">
        <f>IF(Programa!D$13&gt;0,IF(TipoProgramaPersonalTecnico=1,ROUND(Programa!F$13*'a)Plantilla'!$C59,RedondeoPersonalTecnico),IF(TipoProgramaPersonalTecnico=2,ROUND(Programa!D$13*'a)Plantilla'!$C59,RedondeoPersonalTecnico),ROUND(Programa!D$13*Hjor*'a)Plantilla'!$C59,RedondeoPersonalTecnico))),0)</f>
        <v>0</v>
      </c>
      <c r="F119" s="6">
        <f>IF(Programa!D$14&gt;0,IF(TipoProgramaPersonalTecnico=1,ROUND(Programa!F$14*'a)Plantilla'!$C59,RedondeoPersonalTecnico),IF(TipoProgramaPersonalTecnico=2,ROUND(Programa!D$14*'a)Plantilla'!$C59,RedondeoPersonalTecnico),ROUND(Programa!D$14*Hjor*'a)Plantilla'!$C59,RedondeoPersonalTecnico))),0)</f>
        <v>0</v>
      </c>
      <c r="G119" s="6">
        <f>IF(Programa!D$15&gt;0,IF(TipoProgramaPersonalTecnico=1,ROUND(Programa!F$15*'a)Plantilla'!$C59,RedondeoPersonalTecnico),IF(TipoProgramaPersonalTecnico=2,ROUND(Programa!D$15*'a)Plantilla'!$C59,RedondeoPersonalTecnico),ROUND(Programa!D$15*Hjor*'a)Plantilla'!$C59,RedondeoPersonalTecnico))),0)</f>
        <v>0</v>
      </c>
      <c r="H119" s="6">
        <f>IF(Programa!D$16&gt;0,IF(TipoProgramaPersonalTecnico=1,ROUND(Programa!F$16*'a)Plantilla'!$C59,RedondeoPersonalTecnico),IF(TipoProgramaPersonalTecnico=2,ROUND(Programa!D$16*'a)Plantilla'!$C59,RedondeoPersonalTecnico),ROUND(Programa!D$16*Hjor*'a)Plantilla'!$C59,RedondeoPersonalTecnico))),0)</f>
        <v>0</v>
      </c>
      <c r="I119" s="6">
        <f>IF(Programa!D$17&gt;0,IF(TipoProgramaPersonalTecnico=1,ROUND(Programa!F$17*'a)Plantilla'!$C59,RedondeoPersonalTecnico),IF(TipoProgramaPersonalTecnico=2,ROUND(Programa!D$17*'a)Plantilla'!$C59,RedondeoPersonalTecnico),ROUND(Programa!D$17*Hjor*'a)Plantilla'!$C59,RedondeoPersonalTecnico))),0)</f>
        <v>0</v>
      </c>
      <c r="J119" s="6">
        <f>IF(Programa!D$18&gt;0,IF(TipoProgramaPersonalTecnico=1,ROUND(Programa!F$18*'a)Plantilla'!$C59,RedondeoPersonalTecnico),IF(TipoProgramaPersonalTecnico=2,ROUND(Programa!D$18*'a)Plantilla'!$C59,RedondeoPersonalTecnico),ROUND(Programa!D$18*Hjor*'a)Plantilla'!$C59,RedondeoPersonalTecnico))),0)</f>
        <v>0</v>
      </c>
      <c r="K119" s="6">
        <f>IF(Programa!D$19&gt;0,IF(TipoProgramaPersonalTecnico=1,ROUND(Programa!F$19*'a)Plantilla'!$C59,RedondeoPersonalTecnico),IF(TipoProgramaPersonalTecnico=2,ROUND(Programa!D$19*'a)Plantilla'!$C59,RedondeoPersonalTecnico),ROUND(Programa!D$19*Hjor*'a)Plantilla'!$C59,RedondeoPersonalTecnico))),0)</f>
        <v>0</v>
      </c>
      <c r="L119" s="6">
        <f>IF(Programa!D$20&gt;0,IF(TipoProgramaPersonalTecnico=1,ROUND(Programa!F$20*'a)Plantilla'!$C59,RedondeoPersonalTecnico),IF(TipoProgramaPersonalTecnico=2,ROUND(Programa!D$20*'a)Plantilla'!$C59,RedondeoPersonalTecnico),ROUND(Programa!D$20*Hjor*'a)Plantilla'!$C59,RedondeoPersonalTecnico))),0)</f>
        <v>0</v>
      </c>
      <c r="M119" s="6">
        <f>IF(Programa!D$21&gt;0,IF(TipoProgramaPersonalTecnico=1,ROUND(Programa!F$21*'a)Plantilla'!$C59,RedondeoPersonalTecnico),IF(TipoProgramaPersonalTecnico=2,ROUND(Programa!D$21*'a)Plantilla'!$C59,RedondeoPersonalTecnico),ROUND(Programa!D$21*Hjor*'a)Plantilla'!$C59,RedondeoPersonalTecnico))),0)</f>
        <v>0</v>
      </c>
      <c r="N119" s="6">
        <f>IF(Programa!D$22&gt;0,IF(TipoProgramaPersonalTecnico=1,ROUND(Programa!F$22*'a)Plantilla'!$C59,RedondeoPersonalTecnico),IF(TipoProgramaPersonalTecnico=2,ROUND(Programa!D$22*'a)Plantilla'!$C59,RedondeoPersonalTecnico),ROUND(Programa!D$22*Hjor*'a)Plantilla'!$C59,RedondeoPersonalTecnico))),0)</f>
        <v>0</v>
      </c>
      <c r="O119" s="6">
        <f>IF(Programa!D$23&gt;0,IF(TipoProgramaPersonalTecnico=1,ROUND(Programa!F$23*'a)Plantilla'!$C59,RedondeoPersonalTecnico),IF(TipoProgramaPersonalTecnico=2,ROUND(Programa!D$23*'a)Plantilla'!$C59,RedondeoPersonalTecnico),ROUND(Programa!D$23*Hjor*'a)Plantilla'!$C59,RedondeoPersonalTecnico))),0)</f>
        <v>0</v>
      </c>
      <c r="P119" s="78">
        <f>IF(Programa!D$24&gt;0,IF(TipoProgramaPersonalTecnico=1,ROUND(Programa!F$24*'a)Plantilla'!$C59,RedondeoPersonalTecnico),IF(TipoProgramaPersonalTecnico=2,ROUND(Programa!D$24*'a)Plantilla'!$C59,RedondeoPersonalTecnico),ROUND(Programa!D$24*Hjor*'a)Plantilla'!$C59,RedondeoPersonalTecnico))),0)</f>
        <v>0</v>
      </c>
      <c r="Q119" s="27">
        <f>IF(Programa!D$25&gt;0,IF(TipoProgramaPersonalTecnico=1,ROUND(Programa!F$25*'a)Plantilla'!$C59,RedondeoPersonalTecnico),IF(TipoProgramaPersonalTecnico=2,ROUND(Programa!D$25*'a)Plantilla'!$C59,RedondeoPersonalTecnico),ROUND(Programa!D$25*Hjor*'a)Plantilla'!$C59,RedondeoPersonalTecnico))),0)</f>
        <v>0</v>
      </c>
      <c r="R119" s="6">
        <f>IF(Programa!D$26&gt;0,IF(TipoProgramaPersonalTecnico=1,ROUND(Programa!F$26*'a)Plantilla'!$C59,RedondeoPersonalTecnico),IF(TipoProgramaPersonalTecnico=2,ROUND(Programa!D$26*'a)Plantilla'!$C59,RedondeoPersonalTecnico),ROUND(Programa!D$26*Hjor*'a)Plantilla'!$C59,RedondeoPersonalTecnico))),0)</f>
        <v>0</v>
      </c>
      <c r="S119" s="6">
        <f>IF(Programa!D$27&gt;0,IF(TipoProgramaPersonalTecnico=1,ROUND(Programa!F$27*'a)Plantilla'!$C59,RedondeoPersonalTecnico),IF(TipoProgramaPersonalTecnico=2,ROUND(Programa!D$27*'a)Plantilla'!$C59,RedondeoPersonalTecnico),ROUND(Programa!D$27*Hjor*'a)Plantilla'!$C59,RedondeoPersonalTecnico))),0)</f>
        <v>0</v>
      </c>
      <c r="T119" s="6">
        <f>IF(Programa!D$28&gt;0,IF(TipoProgramaPersonalTecnico=1,ROUND(Programa!F$28*'a)Plantilla'!$C59,RedondeoPersonalTecnico),IF(TipoProgramaPersonalTecnico=2,ROUND(Programa!D$28*'a)Plantilla'!$C59,RedondeoPersonalTecnico),ROUND(Programa!D$28*Hjor*'a)Plantilla'!$C59,RedondeoPersonalTecnico))),0)</f>
        <v>0</v>
      </c>
      <c r="U119" s="6">
        <f>IF(Programa!D$29&gt;0,IF(TipoProgramaPersonalTecnico=1,ROUND(Programa!F$29*'a)Plantilla'!$C59,RedondeoPersonalTecnico),IF(TipoProgramaPersonalTecnico=2,ROUND(Programa!D$29*'a)Plantilla'!$C59,RedondeoPersonalTecnico),ROUND(Programa!D$29*Hjor*'a)Plantilla'!$C59,RedondeoPersonalTecnico))),0)</f>
        <v>0</v>
      </c>
      <c r="V119" s="6">
        <f>IF(Programa!D$30&gt;0,IF(TipoProgramaPersonalTecnico=1,ROUND(Programa!F$30*'a)Plantilla'!$C59,RedondeoPersonalTecnico),IF(TipoProgramaPersonalTecnico=2,ROUND(Programa!D$30*'a)Plantilla'!$C59,RedondeoPersonalTecnico),ROUND(Programa!D$30*Hjor*'a)Plantilla'!$C59,RedondeoPersonalTecnico))),0)</f>
        <v>0</v>
      </c>
      <c r="W119" s="6">
        <f>IF(Programa!D$31&gt;0,IF(TipoProgramaPersonalTecnico=1,ROUND(Programa!F$31*'a)Plantilla'!$C59,RedondeoPersonalTecnico),IF(TipoProgramaPersonalTecnico=2,ROUND(Programa!D$31*'a)Plantilla'!$C59,RedondeoPersonalTecnico),ROUND(Programa!D$31*Hjor*'a)Plantilla'!$C59,RedondeoPersonalTecnico))),0)</f>
        <v>0</v>
      </c>
      <c r="X119" s="6">
        <f>IF(Programa!D$32&gt;0,IF(TipoProgramaPersonalTecnico=1,ROUND(Programa!F$32*'a)Plantilla'!$C59,RedondeoPersonalTecnico),IF(TipoProgramaPersonalTecnico=2,ROUND(Programa!D$32*'a)Plantilla'!$C59,RedondeoPersonalTecnico),ROUND(Programa!D$32*Hjor*'a)Plantilla'!$C59,RedondeoPersonalTecnico))),0)</f>
        <v>0</v>
      </c>
      <c r="Y119" s="6">
        <f>IF(Programa!D$33&gt;0,IF(TipoProgramaPersonalTecnico=1,ROUND(Programa!F$33*'a)Plantilla'!$C59,RedondeoPersonalTecnico),IF(TipoProgramaPersonalTecnico=2,ROUND(Programa!D$33*'a)Plantilla'!$C59,RedondeoPersonalTecnico),ROUND(Programa!D$33*Hjor*'a)Plantilla'!$C59,RedondeoPersonalTecnico))),0)</f>
        <v>0</v>
      </c>
      <c r="Z119" s="6">
        <f>IF(Programa!D$34&gt;0,IF(TipoProgramaPersonalTecnico=1,ROUND(Programa!F$34*'a)Plantilla'!$C59,RedondeoPersonalTecnico),IF(TipoProgramaPersonalTecnico=2,ROUND(Programa!D$34*'a)Plantilla'!$C59,RedondeoPersonalTecnico),ROUND(Programa!D$34*Hjor*'a)Plantilla'!$C59,RedondeoPersonalTecnico))),0)</f>
        <v>0</v>
      </c>
      <c r="AA119" s="6">
        <f>IF(Programa!D$35&gt;0,IF(TipoProgramaPersonalTecnico=1,ROUND(Programa!F$35*'a)Plantilla'!$C59,RedondeoPersonalTecnico),IF(TipoProgramaPersonalTecnico=2,ROUND(Programa!D$35*'a)Plantilla'!$C59,RedondeoPersonalTecnico),ROUND(Programa!D$35*Hjor*'a)Plantilla'!$C59,RedondeoPersonalTecnico))),0)</f>
        <v>0</v>
      </c>
      <c r="AB119" s="78">
        <f>IF(Programa!D$36&gt;0,IF(TipoProgramaPersonalTecnico=1,ROUND(Programa!F$36*'a)Plantilla'!$C59,RedondeoPersonalTecnico),IF(TipoProgramaPersonalTecnico=2,ROUND(Programa!D$36*'a)Plantilla'!$C59,RedondeoPersonalTecnico),ROUND(Programa!D$36*Hjor*'a)Plantilla'!$C59,RedondeoPersonalTecnico))),0)</f>
        <v>0</v>
      </c>
      <c r="AC119" s="27">
        <f>IF(Programa!D$37&gt;0,IF(TipoProgramaPersonalTecnico=1,ROUND(Programa!F$37*'a)Plantilla'!$C59,RedondeoPersonalTecnico),IF(TipoProgramaPersonalTecnico=2,ROUND(Programa!D$37*'a)Plantilla'!$C59,RedondeoPersonalTecnico),ROUND(Programa!D$37*Hjor*'a)Plantilla'!$C59,RedondeoPersonalTecnico))),0)</f>
        <v>0</v>
      </c>
      <c r="AD119" s="6">
        <f>IF(Programa!D$38&gt;0,IF(TipoProgramaPersonalTecnico=1,ROUND(Programa!F$38*'a)Plantilla'!$C59,RedondeoPersonalTecnico),IF(TipoProgramaPersonalTecnico=2,ROUND(Programa!D$38*'a)Plantilla'!$C59,RedondeoPersonalTecnico),ROUND(Programa!D$38*Hjor*'a)Plantilla'!$C59,RedondeoPersonalTecnico))),0)</f>
        <v>0</v>
      </c>
      <c r="AE119" s="6">
        <f>IF(Programa!D$39&gt;0,IF(TipoProgramaPersonalTecnico=1,ROUND(Programa!F$39*'a)Plantilla'!$C59,RedondeoPersonalTecnico),IF(TipoProgramaPersonalTecnico=2,ROUND(Programa!D$39*'a)Plantilla'!$C59,RedondeoPersonalTecnico),ROUND(Programa!D$39*Hjor*'a)Plantilla'!$C59,RedondeoPersonalTecnico))),0)</f>
        <v>0</v>
      </c>
      <c r="AF119" s="6">
        <f>IF(Programa!D$40&gt;0,IF(TipoProgramaPersonalTecnico=1,ROUND(Programa!F$40*'a)Plantilla'!$C59,RedondeoPersonalTecnico),IF(TipoProgramaPersonalTecnico=2,ROUND(Programa!D$40*'a)Plantilla'!$C59,RedondeoPersonalTecnico),ROUND(Programa!D$40*Hjor*'a)Plantilla'!$C59,RedondeoPersonalTecnico))),0)</f>
        <v>0</v>
      </c>
      <c r="AG119" s="6">
        <f>IF(Programa!D$41&gt;0,IF(TipoProgramaPersonalTecnico=1,ROUND(Programa!F$41*'a)Plantilla'!$C59,RedondeoPersonalTecnico),IF(TipoProgramaPersonalTecnico=2,ROUND(Programa!D$41*'a)Plantilla'!$C59,RedondeoPersonalTecnico),ROUND(Programa!D$41*Hjor*'a)Plantilla'!$C59,RedondeoPersonalTecnico))),0)</f>
        <v>0</v>
      </c>
      <c r="AH119" s="6">
        <f>IF(Programa!D$42&gt;0,IF(TipoProgramaPersonalTecnico=1,ROUND(Programa!F$42*'a)Plantilla'!$C59,RedondeoPersonalTecnico),IF(TipoProgramaPersonalTecnico=2,ROUND(Programa!D$42*'a)Plantilla'!$C59,RedondeoPersonalTecnico),ROUND(Programa!D$42*Hjor*'a)Plantilla'!$C59,RedondeoPersonalTecnico))),0)</f>
        <v>0</v>
      </c>
      <c r="AI119" s="6">
        <f>IF(Programa!D$43&gt;0,IF(TipoProgramaPersonalTecnico=1,ROUND(Programa!F$43*'a)Plantilla'!$C59,RedondeoPersonalTecnico),IF(TipoProgramaPersonalTecnico=2,ROUND(Programa!D$43*'a)Plantilla'!$C59,RedondeoPersonalTecnico),ROUND(Programa!D$43*Hjor*'a)Plantilla'!$C59,RedondeoPersonalTecnico))),0)</f>
        <v>0</v>
      </c>
      <c r="AJ119" s="6">
        <f>IF(Programa!D$44&gt;0,IF(TipoProgramaPersonalTecnico=1,ROUND(Programa!F$44*'a)Plantilla'!$C59,RedondeoPersonalTecnico),IF(TipoProgramaPersonalTecnico=2,ROUND(Programa!D$44*'a)Plantilla'!$C59,RedondeoPersonalTecnico),ROUND(Programa!D$44*Hjor*'a)Plantilla'!$C59,RedondeoPersonalTecnico))),0)</f>
        <v>0</v>
      </c>
      <c r="AK119" s="6">
        <f>IF(Programa!D$45&gt;0,IF(TipoProgramaPersonalTecnico=1,ROUND(Programa!F$45*'a)Plantilla'!$C59,RedondeoPersonalTecnico),IF(TipoProgramaPersonalTecnico=2,ROUND(Programa!D$45*'a)Plantilla'!$C59,RedondeoPersonalTecnico),ROUND(Programa!D$45*Hjor*'a)Plantilla'!$C59,RedondeoPersonalTecnico))),0)</f>
        <v>0</v>
      </c>
      <c r="AL119" s="6">
        <f>IF(Programa!D$46&gt;0,IF(TipoProgramaPersonalTecnico=1,ROUND(Programa!F$46*'a)Plantilla'!$C59,RedondeoPersonalTecnico),IF(TipoProgramaPersonalTecnico=2,ROUND(Programa!D$46*'a)Plantilla'!$C59,RedondeoPersonalTecnico),ROUND(Programa!D$46*Hjor*'a)Plantilla'!$C59,RedondeoPersonalTecnico))),0)</f>
        <v>0</v>
      </c>
      <c r="AM119" s="6">
        <f>IF(Programa!D$47&gt;0,IF(TipoProgramaPersonalTecnico=1,ROUND(Programa!F$47*'a)Plantilla'!$C59,RedondeoPersonalTecnico),IF(TipoProgramaPersonalTecnico=2,ROUND(Programa!D$47*'a)Plantilla'!$C59,RedondeoPersonalTecnico),ROUND(Programa!D$47*Hjor*'a)Plantilla'!$C59,RedondeoPersonalTecnico))),0)</f>
        <v>0</v>
      </c>
      <c r="AN119" s="78">
        <f>IF(Programa!D$48&gt;0,IF(TipoProgramaPersonalTecnico=1,ROUND(Programa!F$48*'a)Plantilla'!$C59,RedondeoPersonalTecnico),IF(TipoProgramaPersonalTecnico=2,ROUND(Programa!D$48*'a)Plantilla'!$C59,RedondeoPersonalTecnico),ROUND(Programa!D$48*Hjor*'a)Plantilla'!$C59,RedondeoPersonalTecnico))),0)</f>
        <v>0</v>
      </c>
      <c r="AO119" s="27">
        <f>IF(Programa!D$49&gt;0,IF(TipoProgramaPersonalTecnico=1,ROUND(Programa!F$49*'a)Plantilla'!$C59,RedondeoPersonalTecnico),IF(TipoProgramaPersonalTecnico=2,ROUND(Programa!D$49*'a)Plantilla'!$C59,RedondeoPersonalTecnico),ROUND(Programa!D$49*Hjor*'a)Plantilla'!$C59,RedondeoPersonalTecnico))),0)</f>
        <v>0</v>
      </c>
      <c r="AP119" s="6">
        <f>IF(Programa!D$50&gt;0,IF(TipoProgramaPersonalTecnico=1,ROUND(Programa!F$50*'a)Plantilla'!$C59,RedondeoPersonalTecnico),IF(TipoProgramaPersonalTecnico=2,ROUND(Programa!D$50*'a)Plantilla'!$C59,RedondeoPersonalTecnico),ROUND(Programa!D$50*Hjor*'a)Plantilla'!$C59,RedondeoPersonalTecnico))),0)</f>
        <v>0</v>
      </c>
      <c r="AQ119" s="6">
        <f>IF(Programa!D$51&gt;0,IF(TipoProgramaPersonalTecnico=1,ROUND(Programa!F$51*'a)Plantilla'!$C59,RedondeoPersonalTecnico),IF(TipoProgramaPersonalTecnico=2,ROUND(Programa!D$51*'a)Plantilla'!$C59,RedondeoPersonalTecnico),ROUND(Programa!D$51*Hjor*'a)Plantilla'!$C59,RedondeoPersonalTecnico))),0)</f>
        <v>0</v>
      </c>
      <c r="AR119" s="6">
        <f>IF(Programa!D$52&gt;0,IF(TipoProgramaPersonalTecnico=1,ROUND(Programa!F$52*'a)Plantilla'!$C59,RedondeoPersonalTecnico),IF(TipoProgramaPersonalTecnico=2,ROUND(Programa!D$52*'a)Plantilla'!$C59,RedondeoPersonalTecnico),ROUND(Programa!D$52*Hjor*'a)Plantilla'!$C59,RedondeoPersonalTecnico))),0)</f>
        <v>0</v>
      </c>
      <c r="AS119" s="6">
        <f>IF(Programa!D$53&gt;0,IF(TipoProgramaPersonalTecnico=1,ROUND(Programa!F$53*'a)Plantilla'!$C59,RedondeoPersonalTecnico),IF(TipoProgramaPersonalTecnico=2,ROUND(Programa!D$53*'a)Plantilla'!$C59,RedondeoPersonalTecnico),ROUND(Programa!D$53*Hjor*'a)Plantilla'!$C59,RedondeoPersonalTecnico))),0)</f>
        <v>0</v>
      </c>
      <c r="AT119" s="6">
        <f>IF(Programa!D$54&gt;0,IF(TipoProgramaPersonalTecnico=1,ROUND(Programa!F$54*'a)Plantilla'!$C59,RedondeoPersonalTecnico),IF(TipoProgramaPersonalTecnico=2,ROUND(Programa!D$54*'a)Plantilla'!$C59,RedondeoPersonalTecnico),ROUND(Programa!D$54*Hjor*'a)Plantilla'!$C59,RedondeoPersonalTecnico))),0)</f>
        <v>0</v>
      </c>
      <c r="AU119" s="6">
        <f>IF(Programa!D$55&gt;0,IF(TipoProgramaPersonalTecnico=1,ROUND(Programa!F$55*'a)Plantilla'!$C59,RedondeoPersonalTecnico),IF(TipoProgramaPersonalTecnico=2,ROUND(Programa!D$55*'a)Plantilla'!$C59,RedondeoPersonalTecnico),ROUND(Programa!D$55*Hjor*'a)Plantilla'!$C59,RedondeoPersonalTecnico))),0)</f>
        <v>0</v>
      </c>
      <c r="AV119" s="6">
        <f>IF(Programa!D$56&gt;0,IF(TipoProgramaPersonalTecnico=1,ROUND(Programa!F$56*'a)Plantilla'!$C59,RedondeoPersonalTecnico),IF(TipoProgramaPersonalTecnico=2,ROUND(Programa!D$56*'a)Plantilla'!$C59,RedondeoPersonalTecnico),ROUND(Programa!D$56*Hjor*'a)Plantilla'!$C59,RedondeoPersonalTecnico))),0)</f>
        <v>0</v>
      </c>
      <c r="AW119" s="6">
        <f>IF(Programa!D$57&gt;0,IF(TipoProgramaPersonalTecnico=1,ROUND(Programa!F$57*'a)Plantilla'!$C59,RedondeoPersonalTecnico),IF(TipoProgramaPersonalTecnico=2,ROUND(Programa!D$57*'a)Plantilla'!$C59,RedondeoPersonalTecnico),ROUND(Programa!D$57*Hjor*'a)Plantilla'!$C59,RedondeoPersonalTecnico))),0)</f>
        <v>0</v>
      </c>
      <c r="AX119" s="6">
        <f>IF(Programa!D$58&gt;0,IF(TipoProgramaPersonalTecnico=1,ROUND(Programa!F$58*'a)Plantilla'!$C59,RedondeoPersonalTecnico),IF(TipoProgramaPersonalTecnico=2,ROUND(Programa!D$58*'a)Plantilla'!$C59,RedondeoPersonalTecnico),ROUND(Programa!D$58*Hjor*'a)Plantilla'!$C59,RedondeoPersonalTecnico))),0)</f>
        <v>0</v>
      </c>
      <c r="AY119" s="6">
        <f>IF(Programa!D$59&gt;0,IF(TipoProgramaPersonalTecnico=1,ROUND(Programa!F$59*'a)Plantilla'!$C59,RedondeoPersonalTecnico),IF(TipoProgramaPersonalTecnico=2,ROUND(Programa!D$59*'a)Plantilla'!$C59,RedondeoPersonalTecnico),ROUND(Programa!D$59*Hjor*'a)Plantilla'!$C59,RedondeoPersonalTecnico))),0)</f>
        <v>0</v>
      </c>
      <c r="AZ119" s="6">
        <f>IF(Programa!D$60&gt;0,IF(TipoProgramaPersonalTecnico=1,ROUND(Programa!F$60*'a)Plantilla'!$C59,RedondeoPersonalTecnico),IF(TipoProgramaPersonalTecnico=2,ROUND(Programa!D$60*'a)Plantilla'!$C59,RedondeoPersonalTecnico),ROUND(Programa!D$60*Hjor*'a)Plantilla'!$C59,RedondeoPersonalTecnico))),0)</f>
        <v>0</v>
      </c>
      <c r="BA119" s="6">
        <f>IF(Programa!D$61&gt;0,IF(TipoProgramaPersonalTecnico=1,ROUND(Programa!F$61*'a)Plantilla'!$C59,RedondeoPersonalTecnico),IF(TipoProgramaPersonalTecnico=2,ROUND(Programa!D$61*'a)Plantilla'!$C59,RedondeoPersonalTecnico),ROUND(Programa!D$61*Hjor*'a)Plantilla'!$C59,RedondeoPersonalTecnico))),0)</f>
        <v>0</v>
      </c>
      <c r="BB119" s="6">
        <f>IF(Programa!D$62&gt;0,IF(TipoProgramaPersonalTecnico=1,ROUND(Programa!F$62*'a)Plantilla'!$C59,RedondeoPersonalTecnico),IF(TipoProgramaPersonalTecnico=2,ROUND(Programa!D$62*'a)Plantilla'!$C59,RedondeoPersonalTecnico),ROUND(Programa!D$62*Hjor*'a)Plantilla'!$C59,RedondeoPersonalTecnico))),0)</f>
        <v>0</v>
      </c>
      <c r="BC119" s="6">
        <f>IF(Programa!D$63&gt;0,IF(TipoProgramaPersonalTecnico=1,ROUND(Programa!F$63*'a)Plantilla'!$C59,RedondeoPersonalTecnico),IF(TipoProgramaPersonalTecnico=2,ROUND(Programa!D$63*'a)Plantilla'!$C59,RedondeoPersonalTecnico),ROUND(Programa!D$63*Hjor*'a)Plantilla'!$C59,RedondeoPersonalTecnico))),0)</f>
        <v>0</v>
      </c>
      <c r="BD119" s="6">
        <f>IF(Programa!D$64&gt;0,IF(TipoProgramaPersonalTecnico=1,ROUND(Programa!F$64*'a)Plantilla'!$C59,RedondeoPersonalTecnico),IF(TipoProgramaPersonalTecnico=2,ROUND(Programa!D$64*'a)Plantilla'!$C59,RedondeoPersonalTecnico),ROUND(Programa!D$64*Hjor*'a)Plantilla'!$C59,RedondeoPersonalTecnico))),0)</f>
        <v>0</v>
      </c>
      <c r="BE119" s="6">
        <f>IF(Programa!D$65&gt;0,IF(TipoProgramaPersonalTecnico=1,ROUND(Programa!F$65*'a)Plantilla'!$C59,RedondeoPersonalTecnico),IF(TipoProgramaPersonalTecnico=2,ROUND(Programa!D$65*'a)Plantilla'!$C59,RedondeoPersonalTecnico),ROUND(Programa!D$65*Hjor*'a)Plantilla'!$C59,RedondeoPersonalTecnico))),0)</f>
        <v>0</v>
      </c>
      <c r="BF119" s="6">
        <f>IF(Programa!D$66&gt;0,IF(TipoProgramaPersonalTecnico=1,ROUND(Programa!F$66*'a)Plantilla'!$C59,RedondeoPersonalTecnico),IF(TipoProgramaPersonalTecnico=2,ROUND(Programa!D$66*'a)Plantilla'!$C59,RedondeoPersonalTecnico),ROUND(Programa!D$66*Hjor*'a)Plantilla'!$C59,RedondeoPersonalTecnico))),0)</f>
        <v>0</v>
      </c>
      <c r="BG119" s="6">
        <f>IF(Programa!D$67&gt;0,IF(TipoProgramaPersonalTecnico=1,ROUND(Programa!F$67*'a)Plantilla'!$C59,RedondeoPersonalTecnico),IF(TipoProgramaPersonalTecnico=2,ROUND(Programa!D$67*'a)Plantilla'!$C59,RedondeoPersonalTecnico),ROUND(Programa!D$67*Hjor*'a)Plantilla'!$C59,RedondeoPersonalTecnico))),0)</f>
        <v>0</v>
      </c>
      <c r="BH119" s="6">
        <f>IF(Programa!D$68&gt;0,IF(TipoProgramaPersonalTecnico=1,ROUND(Programa!F$68*'a)Plantilla'!$C59,RedondeoPersonalTecnico),IF(TipoProgramaPersonalTecnico=2,ROUND(Programa!D$68*'a)Plantilla'!$C59,RedondeoPersonalTecnico),ROUND(Programa!D$68*Hjor*'a)Plantilla'!$C59,RedondeoPersonalTecnico))),0)</f>
        <v>0</v>
      </c>
      <c r="BI119" s="6">
        <f>IF(Programa!D$69&gt;0,IF(TipoProgramaPersonalTecnico=1,ROUND(Programa!F$69*'a)Plantilla'!$C59,RedondeoPersonalTecnico),IF(TipoProgramaPersonalTecnico=2,ROUND(Programa!D$69*'a)Plantilla'!$C59,RedondeoPersonalTecnico),ROUND(Programa!D$69*Hjor*'a)Plantilla'!$C59,RedondeoPersonalTecnico))),0)</f>
        <v>0</v>
      </c>
      <c r="BJ119" s="6">
        <f>IF(Programa!D$70&gt;0,IF(TipoProgramaPersonalTecnico=1,ROUND(Programa!F$70*'a)Plantilla'!$C59,RedondeoPersonalTecnico),IF(TipoProgramaPersonalTecnico=2,ROUND(Programa!D$70*'a)Plantilla'!$C59,RedondeoPersonalTecnico),ROUND(Programa!D$70*Hjor*'a)Plantilla'!$C59,RedondeoPersonalTecnico))),0)</f>
        <v>0</v>
      </c>
      <c r="BK119" s="6">
        <f>IF(Programa!D$71&gt;0,IF(TipoProgramaPersonalTecnico=1,ROUND(Programa!F$71*'a)Plantilla'!$C59,RedondeoPersonalTecnico),IF(TipoProgramaPersonalTecnico=2,ROUND(Programa!D$71*'a)Plantilla'!$C59,RedondeoPersonalTecnico),ROUND(Programa!D$71*Hjor*'a)Plantilla'!$C59,RedondeoPersonalTecnico))),0)</f>
        <v>0</v>
      </c>
      <c r="BL119" s="78">
        <f>IF(Programa!D$72&gt;0,IF(TipoProgramaPersonalTecnico=1,ROUND(Programa!F$72*'a)Plantilla'!$C59,RedondeoPersonalTecnico),IF(TipoProgramaPersonalTecnico=2,ROUND(Programa!D$72*'a)Plantilla'!$C59,RedondeoPersonalTecnico),ROUND(Programa!D$72*Hjor*'a)Plantilla'!$C59,RedondeoPersonalTecnico))),0)</f>
        <v>0</v>
      </c>
    </row>
    <row r="120" spans="1:64" ht="8.1" customHeight="1">
      <c r="A120" s="133"/>
      <c r="B120" s="46"/>
      <c r="C120" s="31"/>
      <c r="D120" s="22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78"/>
      <c r="Q120" s="27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78"/>
      <c r="AC120" s="27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78"/>
      <c r="AO120" s="27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78"/>
    </row>
    <row r="121" spans="1:64" ht="12.75" customHeight="1" thickBot="1">
      <c r="A121" s="250" t="s">
        <v>168</v>
      </c>
      <c r="B121" s="1050" t="str">
        <f>IF('a)Plantilla'!C60&gt;0,'a)Plantilla'!B60,"")</f>
        <v/>
      </c>
      <c r="C121" s="422" t="str">
        <f>IF('a)Plantilla'!C$60&gt;0,IF(TipoProgramaPersonalTecnico=1,"Personas",IF(TipoProgramaPersonalTecnico=2,"Jornal","horas-Hombre")),"")</f>
        <v/>
      </c>
      <c r="D121" s="1037">
        <f>ROUND(SUM(E121:BL121),RedondeoPersonalTecnico)</f>
        <v>0</v>
      </c>
      <c r="E121" s="49">
        <f>IF(Programa!D$13&gt;0,IF(TipoProgramaPersonalTecnico=1,ROUND(Programa!F$13*'a)Plantilla'!$C60,RedondeoPersonalTecnico),IF(TipoProgramaPersonalTecnico=2,ROUND(Programa!D$13*'a)Plantilla'!$C60,RedondeoPersonalTecnico),ROUND(Programa!D$13*Hjor*'a)Plantilla'!$C60,RedondeoPersonalTecnico))),0)</f>
        <v>0</v>
      </c>
      <c r="F121" s="49">
        <f>IF(Programa!D$14&gt;0,IF(TipoProgramaPersonalTecnico=1,ROUND(Programa!F$14*'a)Plantilla'!$C60,RedondeoPersonalTecnico),IF(TipoProgramaPersonalTecnico=2,ROUND(Programa!D$14*'a)Plantilla'!$C60,RedondeoPersonalTecnico),ROUND(Programa!D$14*Hjor*'a)Plantilla'!$C60,RedondeoPersonalTecnico))),0)</f>
        <v>0</v>
      </c>
      <c r="G121" s="49">
        <f>IF(Programa!D$15&gt;0,IF(TipoProgramaPersonalTecnico=1,ROUND(Programa!F$15*'a)Plantilla'!$C60,RedondeoPersonalTecnico),IF(TipoProgramaPersonalTecnico=2,ROUND(Programa!D$15*'a)Plantilla'!$C60,RedondeoPersonalTecnico),ROUND(Programa!D$15*Hjor*'a)Plantilla'!$C60,RedondeoPersonalTecnico))),0)</f>
        <v>0</v>
      </c>
      <c r="H121" s="49">
        <f>IF(Programa!D$16&gt;0,IF(TipoProgramaPersonalTecnico=1,ROUND(Programa!F$16*'a)Plantilla'!$C60,RedondeoPersonalTecnico),IF(TipoProgramaPersonalTecnico=2,ROUND(Programa!D$16*'a)Plantilla'!$C60,RedondeoPersonalTecnico),ROUND(Programa!D$16*Hjor*'a)Plantilla'!$C60,RedondeoPersonalTecnico))),0)</f>
        <v>0</v>
      </c>
      <c r="I121" s="49">
        <f>IF(Programa!D$17&gt;0,IF(TipoProgramaPersonalTecnico=1,ROUND(Programa!F$17*'a)Plantilla'!$C60,RedondeoPersonalTecnico),IF(TipoProgramaPersonalTecnico=2,ROUND(Programa!D$17*'a)Plantilla'!$C60,RedondeoPersonalTecnico),ROUND(Programa!D$17*Hjor*'a)Plantilla'!$C60,RedondeoPersonalTecnico))),0)</f>
        <v>0</v>
      </c>
      <c r="J121" s="49">
        <f>IF(Programa!D$18&gt;0,IF(TipoProgramaPersonalTecnico=1,ROUND(Programa!F$18*'a)Plantilla'!$C60,RedondeoPersonalTecnico),IF(TipoProgramaPersonalTecnico=2,ROUND(Programa!D$18*'a)Plantilla'!$C60,RedondeoPersonalTecnico),ROUND(Programa!D$18*Hjor*'a)Plantilla'!$C60,RedondeoPersonalTecnico))),0)</f>
        <v>0</v>
      </c>
      <c r="K121" s="49">
        <f>IF(Programa!D$19&gt;0,IF(TipoProgramaPersonalTecnico=1,ROUND(Programa!F$19*'a)Plantilla'!$C60,RedondeoPersonalTecnico),IF(TipoProgramaPersonalTecnico=2,ROUND(Programa!D$19*'a)Plantilla'!$C60,RedondeoPersonalTecnico),ROUND(Programa!D$19*Hjor*'a)Plantilla'!$C60,RedondeoPersonalTecnico))),0)</f>
        <v>0</v>
      </c>
      <c r="L121" s="49">
        <f>IF(Programa!D$20&gt;0,IF(TipoProgramaPersonalTecnico=1,ROUND(Programa!F$20*'a)Plantilla'!$C60,RedondeoPersonalTecnico),IF(TipoProgramaPersonalTecnico=2,ROUND(Programa!D$20*'a)Plantilla'!$C60,RedondeoPersonalTecnico),ROUND(Programa!D$20*Hjor*'a)Plantilla'!$C60,RedondeoPersonalTecnico))),0)</f>
        <v>0</v>
      </c>
      <c r="M121" s="49">
        <f>IF(Programa!D$21&gt;0,IF(TipoProgramaPersonalTecnico=1,ROUND(Programa!F$21*'a)Plantilla'!$C60,RedondeoPersonalTecnico),IF(TipoProgramaPersonalTecnico=2,ROUND(Programa!D$21*'a)Plantilla'!$C60,RedondeoPersonalTecnico),ROUND(Programa!D$21*Hjor*'a)Plantilla'!$C60,RedondeoPersonalTecnico))),0)</f>
        <v>0</v>
      </c>
      <c r="N121" s="49">
        <f>IF(Programa!D$22&gt;0,IF(TipoProgramaPersonalTecnico=1,ROUND(Programa!F$22*'a)Plantilla'!$C60,RedondeoPersonalTecnico),IF(TipoProgramaPersonalTecnico=2,ROUND(Programa!D$22*'a)Plantilla'!$C60,RedondeoPersonalTecnico),ROUND(Programa!D$22*Hjor*'a)Plantilla'!$C60,RedondeoPersonalTecnico))),0)</f>
        <v>0</v>
      </c>
      <c r="O121" s="49">
        <f>IF(Programa!D$23&gt;0,IF(TipoProgramaPersonalTecnico=1,ROUND(Programa!F$23*'a)Plantilla'!$C60,RedondeoPersonalTecnico),IF(TipoProgramaPersonalTecnico=2,ROUND(Programa!D$23*'a)Plantilla'!$C60,RedondeoPersonalTecnico),ROUND(Programa!D$23*Hjor*'a)Plantilla'!$C60,RedondeoPersonalTecnico))),0)</f>
        <v>0</v>
      </c>
      <c r="P121" s="285">
        <f>IF(Programa!D$24&gt;0,IF(TipoProgramaPersonalTecnico=1,ROUND(Programa!F$24*'a)Plantilla'!$C60,RedondeoPersonalTecnico),IF(TipoProgramaPersonalTecnico=2,ROUND(Programa!D$24*'a)Plantilla'!$C60,RedondeoPersonalTecnico),ROUND(Programa!D$24*Hjor*'a)Plantilla'!$C60,RedondeoPersonalTecnico))),0)</f>
        <v>0</v>
      </c>
      <c r="Q121" s="324">
        <f>IF(Programa!D$25&gt;0,IF(TipoProgramaPersonalTecnico=1,ROUND(Programa!F$25*'a)Plantilla'!$C60,RedondeoPersonalTecnico),IF(TipoProgramaPersonalTecnico=2,ROUND(Programa!D$25*'a)Plantilla'!$C60,RedondeoPersonalTecnico),ROUND(Programa!D$25*Hjor*'a)Plantilla'!$C60,RedondeoPersonalTecnico))),0)</f>
        <v>0</v>
      </c>
      <c r="R121" s="49">
        <f>IF(Programa!D$26&gt;0,IF(TipoProgramaPersonalTecnico=1,ROUND(Programa!F$26*'a)Plantilla'!$C60,RedondeoPersonalTecnico),IF(TipoProgramaPersonalTecnico=2,ROUND(Programa!D$26*'a)Plantilla'!$C60,RedondeoPersonalTecnico),ROUND(Programa!D$26*Hjor*'a)Plantilla'!$C60,RedondeoPersonalTecnico))),0)</f>
        <v>0</v>
      </c>
      <c r="S121" s="49">
        <f>IF(Programa!D$27&gt;0,IF(TipoProgramaPersonalTecnico=1,ROUND(Programa!F$27*'a)Plantilla'!$C60,RedondeoPersonalTecnico),IF(TipoProgramaPersonalTecnico=2,ROUND(Programa!D$27*'a)Plantilla'!$C60,RedondeoPersonalTecnico),ROUND(Programa!D$27*Hjor*'a)Plantilla'!$C60,RedondeoPersonalTecnico))),0)</f>
        <v>0</v>
      </c>
      <c r="T121" s="49">
        <f>IF(Programa!D$28&gt;0,IF(TipoProgramaPersonalTecnico=1,ROUND(Programa!F$28*'a)Plantilla'!$C60,RedondeoPersonalTecnico),IF(TipoProgramaPersonalTecnico=2,ROUND(Programa!D$28*'a)Plantilla'!$C60,RedondeoPersonalTecnico),ROUND(Programa!D$28*Hjor*'a)Plantilla'!$C60,RedondeoPersonalTecnico))),0)</f>
        <v>0</v>
      </c>
      <c r="U121" s="49">
        <f>IF(Programa!D$29&gt;0,IF(TipoProgramaPersonalTecnico=1,ROUND(Programa!F$29*'a)Plantilla'!$C60,RedondeoPersonalTecnico),IF(TipoProgramaPersonalTecnico=2,ROUND(Programa!D$29*'a)Plantilla'!$C60,RedondeoPersonalTecnico),ROUND(Programa!D$29*Hjor*'a)Plantilla'!$C60,RedondeoPersonalTecnico))),0)</f>
        <v>0</v>
      </c>
      <c r="V121" s="49">
        <f>IF(Programa!D$30&gt;0,IF(TipoProgramaPersonalTecnico=1,ROUND(Programa!F$30*'a)Plantilla'!$C60,RedondeoPersonalTecnico),IF(TipoProgramaPersonalTecnico=2,ROUND(Programa!D$30*'a)Plantilla'!$C60,RedondeoPersonalTecnico),ROUND(Programa!D$30*Hjor*'a)Plantilla'!$C60,RedondeoPersonalTecnico))),0)</f>
        <v>0</v>
      </c>
      <c r="W121" s="49">
        <f>IF(Programa!D$31&gt;0,IF(TipoProgramaPersonalTecnico=1,ROUND(Programa!F$31*'a)Plantilla'!$C60,RedondeoPersonalTecnico),IF(TipoProgramaPersonalTecnico=2,ROUND(Programa!D$31*'a)Plantilla'!$C60,RedondeoPersonalTecnico),ROUND(Programa!D$31*Hjor*'a)Plantilla'!$C60,RedondeoPersonalTecnico))),0)</f>
        <v>0</v>
      </c>
      <c r="X121" s="49">
        <f>IF(Programa!D$32&gt;0,IF(TipoProgramaPersonalTecnico=1,ROUND(Programa!F$32*'a)Plantilla'!$C60,RedondeoPersonalTecnico),IF(TipoProgramaPersonalTecnico=2,ROUND(Programa!D$32*'a)Plantilla'!$C60,RedondeoPersonalTecnico),ROUND(Programa!D$32*Hjor*'a)Plantilla'!$C60,RedondeoPersonalTecnico))),0)</f>
        <v>0</v>
      </c>
      <c r="Y121" s="49">
        <f>IF(Programa!D$33&gt;0,IF(TipoProgramaPersonalTecnico=1,ROUND(Programa!F$33*'a)Plantilla'!$C60,RedondeoPersonalTecnico),IF(TipoProgramaPersonalTecnico=2,ROUND(Programa!D$33*'a)Plantilla'!$C60,RedondeoPersonalTecnico),ROUND(Programa!D$33*Hjor*'a)Plantilla'!$C60,RedondeoPersonalTecnico))),0)</f>
        <v>0</v>
      </c>
      <c r="Z121" s="49">
        <f>IF(Programa!D$34&gt;0,IF(TipoProgramaPersonalTecnico=1,ROUND(Programa!F$34*'a)Plantilla'!$C60,RedondeoPersonalTecnico),IF(TipoProgramaPersonalTecnico=2,ROUND(Programa!D$34*'a)Plantilla'!$C60,RedondeoPersonalTecnico),ROUND(Programa!D$34*Hjor*'a)Plantilla'!$C60,RedondeoPersonalTecnico))),0)</f>
        <v>0</v>
      </c>
      <c r="AA121" s="49">
        <f>IF(Programa!D$35&gt;0,IF(TipoProgramaPersonalTecnico=1,ROUND(Programa!F$35*'a)Plantilla'!$C60,RedondeoPersonalTecnico),IF(TipoProgramaPersonalTecnico=2,ROUND(Programa!D$35*'a)Plantilla'!$C60,RedondeoPersonalTecnico),ROUND(Programa!D$35*Hjor*'a)Plantilla'!$C60,RedondeoPersonalTecnico))),0)</f>
        <v>0</v>
      </c>
      <c r="AB121" s="285">
        <f>IF(Programa!D$36&gt;0,IF(TipoProgramaPersonalTecnico=1,ROUND(Programa!F$36*'a)Plantilla'!$C60,RedondeoPersonalTecnico),IF(TipoProgramaPersonalTecnico=2,ROUND(Programa!D$36*'a)Plantilla'!$C60,RedondeoPersonalTecnico),ROUND(Programa!D$36*Hjor*'a)Plantilla'!$C60,RedondeoPersonalTecnico))),0)</f>
        <v>0</v>
      </c>
      <c r="AC121" s="324">
        <f>IF(Programa!D$37&gt;0,IF(TipoProgramaPersonalTecnico=1,ROUND(Programa!F$37*'a)Plantilla'!$C60,RedondeoPersonalTecnico),IF(TipoProgramaPersonalTecnico=2,ROUND(Programa!D$37*'a)Plantilla'!$C60,RedondeoPersonalTecnico),ROUND(Programa!D$37*Hjor*'a)Plantilla'!$C60,RedondeoPersonalTecnico))),0)</f>
        <v>0</v>
      </c>
      <c r="AD121" s="49">
        <f>IF(Programa!D$38&gt;0,IF(TipoProgramaPersonalTecnico=1,ROUND(Programa!F$38*'a)Plantilla'!$C60,RedondeoPersonalTecnico),IF(TipoProgramaPersonalTecnico=2,ROUND(Programa!D$38*'a)Plantilla'!$C60,RedondeoPersonalTecnico),ROUND(Programa!D$38*Hjor*'a)Plantilla'!$C60,RedondeoPersonalTecnico))),0)</f>
        <v>0</v>
      </c>
      <c r="AE121" s="49">
        <f>IF(Programa!D$39&gt;0,IF(TipoProgramaPersonalTecnico=1,ROUND(Programa!F$39*'a)Plantilla'!$C60,RedondeoPersonalTecnico),IF(TipoProgramaPersonalTecnico=2,ROUND(Programa!D$39*'a)Plantilla'!$C60,RedondeoPersonalTecnico),ROUND(Programa!D$39*Hjor*'a)Plantilla'!$C60,RedondeoPersonalTecnico))),0)</f>
        <v>0</v>
      </c>
      <c r="AF121" s="49">
        <f>IF(Programa!D$40&gt;0,IF(TipoProgramaPersonalTecnico=1,ROUND(Programa!F$40*'a)Plantilla'!$C60,RedondeoPersonalTecnico),IF(TipoProgramaPersonalTecnico=2,ROUND(Programa!D$40*'a)Plantilla'!$C60,RedondeoPersonalTecnico),ROUND(Programa!D$40*Hjor*'a)Plantilla'!$C60,RedondeoPersonalTecnico))),0)</f>
        <v>0</v>
      </c>
      <c r="AG121" s="49">
        <f>IF(Programa!D$41&gt;0,IF(TipoProgramaPersonalTecnico=1,ROUND(Programa!F$41*'a)Plantilla'!$C60,RedondeoPersonalTecnico),IF(TipoProgramaPersonalTecnico=2,ROUND(Programa!D$41*'a)Plantilla'!$C60,RedondeoPersonalTecnico),ROUND(Programa!D$41*Hjor*'a)Plantilla'!$C60,RedondeoPersonalTecnico))),0)</f>
        <v>0</v>
      </c>
      <c r="AH121" s="49">
        <f>IF(Programa!D$42&gt;0,IF(TipoProgramaPersonalTecnico=1,ROUND(Programa!F$42*'a)Plantilla'!$C60,RedondeoPersonalTecnico),IF(TipoProgramaPersonalTecnico=2,ROUND(Programa!D$42*'a)Plantilla'!$C60,RedondeoPersonalTecnico),ROUND(Programa!D$42*Hjor*'a)Plantilla'!$C60,RedondeoPersonalTecnico))),0)</f>
        <v>0</v>
      </c>
      <c r="AI121" s="49">
        <f>IF(Programa!D$43&gt;0,IF(TipoProgramaPersonalTecnico=1,ROUND(Programa!F$43*'a)Plantilla'!$C60,RedondeoPersonalTecnico),IF(TipoProgramaPersonalTecnico=2,ROUND(Programa!D$43*'a)Plantilla'!$C60,RedondeoPersonalTecnico),ROUND(Programa!D$43*Hjor*'a)Plantilla'!$C60,RedondeoPersonalTecnico))),0)</f>
        <v>0</v>
      </c>
      <c r="AJ121" s="49">
        <f>IF(Programa!D$44&gt;0,IF(TipoProgramaPersonalTecnico=1,ROUND(Programa!F$44*'a)Plantilla'!$C60,RedondeoPersonalTecnico),IF(TipoProgramaPersonalTecnico=2,ROUND(Programa!D$44*'a)Plantilla'!$C60,RedondeoPersonalTecnico),ROUND(Programa!D$44*Hjor*'a)Plantilla'!$C60,RedondeoPersonalTecnico))),0)</f>
        <v>0</v>
      </c>
      <c r="AK121" s="49">
        <f>IF(Programa!D$45&gt;0,IF(TipoProgramaPersonalTecnico=1,ROUND(Programa!F$45*'a)Plantilla'!$C60,RedondeoPersonalTecnico),IF(TipoProgramaPersonalTecnico=2,ROUND(Programa!D$45*'a)Plantilla'!$C60,RedondeoPersonalTecnico),ROUND(Programa!D$45*Hjor*'a)Plantilla'!$C60,RedondeoPersonalTecnico))),0)</f>
        <v>0</v>
      </c>
      <c r="AL121" s="49">
        <f>IF(Programa!D$46&gt;0,IF(TipoProgramaPersonalTecnico=1,ROUND(Programa!F$46*'a)Plantilla'!$C60,RedondeoPersonalTecnico),IF(TipoProgramaPersonalTecnico=2,ROUND(Programa!D$46*'a)Plantilla'!$C60,RedondeoPersonalTecnico),ROUND(Programa!D$46*Hjor*'a)Plantilla'!$C60,RedondeoPersonalTecnico))),0)</f>
        <v>0</v>
      </c>
      <c r="AM121" s="49">
        <f>IF(Programa!D$47&gt;0,IF(TipoProgramaPersonalTecnico=1,ROUND(Programa!F$47*'a)Plantilla'!$C60,RedondeoPersonalTecnico),IF(TipoProgramaPersonalTecnico=2,ROUND(Programa!D$47*'a)Plantilla'!$C60,RedondeoPersonalTecnico),ROUND(Programa!D$47*Hjor*'a)Plantilla'!$C60,RedondeoPersonalTecnico))),0)</f>
        <v>0</v>
      </c>
      <c r="AN121" s="285">
        <f>IF(Programa!D$48&gt;0,IF(TipoProgramaPersonalTecnico=1,ROUND(Programa!F$48*'a)Plantilla'!$C60,RedondeoPersonalTecnico),IF(TipoProgramaPersonalTecnico=2,ROUND(Programa!D$48*'a)Plantilla'!$C60,RedondeoPersonalTecnico),ROUND(Programa!D$48*Hjor*'a)Plantilla'!$C60,RedondeoPersonalTecnico))),0)</f>
        <v>0</v>
      </c>
      <c r="AO121" s="324">
        <f>IF(Programa!D$49&gt;0,IF(TipoProgramaPersonalTecnico=1,ROUND(Programa!F$49*'a)Plantilla'!$C60,RedondeoPersonalTecnico),IF(TipoProgramaPersonalTecnico=2,ROUND(Programa!D$49*'a)Plantilla'!$C60,RedondeoPersonalTecnico),ROUND(Programa!D$49*Hjor*'a)Plantilla'!$C60,RedondeoPersonalTecnico))),0)</f>
        <v>0</v>
      </c>
      <c r="AP121" s="49">
        <f>IF(Programa!D$50&gt;0,IF(TipoProgramaPersonalTecnico=1,ROUND(Programa!F$50*'a)Plantilla'!$C60,RedondeoPersonalTecnico),IF(TipoProgramaPersonalTecnico=2,ROUND(Programa!D$50*'a)Plantilla'!$C60,RedondeoPersonalTecnico),ROUND(Programa!D$50*Hjor*'a)Plantilla'!$C60,RedondeoPersonalTecnico))),0)</f>
        <v>0</v>
      </c>
      <c r="AQ121" s="49">
        <f>IF(Programa!D$51&gt;0,IF(TipoProgramaPersonalTecnico=1,ROUND(Programa!F$51*'a)Plantilla'!$C60,RedondeoPersonalTecnico),IF(TipoProgramaPersonalTecnico=2,ROUND(Programa!D$51*'a)Plantilla'!$C60,RedondeoPersonalTecnico),ROUND(Programa!D$51*Hjor*'a)Plantilla'!$C60,RedondeoPersonalTecnico))),0)</f>
        <v>0</v>
      </c>
      <c r="AR121" s="49">
        <f>IF(Programa!D$52&gt;0,IF(TipoProgramaPersonalTecnico=1,ROUND(Programa!F$52*'a)Plantilla'!$C60,RedondeoPersonalTecnico),IF(TipoProgramaPersonalTecnico=2,ROUND(Programa!D$52*'a)Plantilla'!$C60,RedondeoPersonalTecnico),ROUND(Programa!D$52*Hjor*'a)Plantilla'!$C60,RedondeoPersonalTecnico))),0)</f>
        <v>0</v>
      </c>
      <c r="AS121" s="49">
        <f>IF(Programa!D$53&gt;0,IF(TipoProgramaPersonalTecnico=1,ROUND(Programa!F$53*'a)Plantilla'!$C60,RedondeoPersonalTecnico),IF(TipoProgramaPersonalTecnico=2,ROUND(Programa!D$53*'a)Plantilla'!$C60,RedondeoPersonalTecnico),ROUND(Programa!D$53*Hjor*'a)Plantilla'!$C60,RedondeoPersonalTecnico))),0)</f>
        <v>0</v>
      </c>
      <c r="AT121" s="49">
        <f>IF(Programa!D$54&gt;0,IF(TipoProgramaPersonalTecnico=1,ROUND(Programa!F$54*'a)Plantilla'!$C60,RedondeoPersonalTecnico),IF(TipoProgramaPersonalTecnico=2,ROUND(Programa!D$54*'a)Plantilla'!$C60,RedondeoPersonalTecnico),ROUND(Programa!D$54*Hjor*'a)Plantilla'!$C60,RedondeoPersonalTecnico))),0)</f>
        <v>0</v>
      </c>
      <c r="AU121" s="49">
        <f>IF(Programa!D$55&gt;0,IF(TipoProgramaPersonalTecnico=1,ROUND(Programa!F$55*'a)Plantilla'!$C60,RedondeoPersonalTecnico),IF(TipoProgramaPersonalTecnico=2,ROUND(Programa!D$55*'a)Plantilla'!$C60,RedondeoPersonalTecnico),ROUND(Programa!D$55*Hjor*'a)Plantilla'!$C60,RedondeoPersonalTecnico))),0)</f>
        <v>0</v>
      </c>
      <c r="AV121" s="49">
        <f>IF(Programa!D$56&gt;0,IF(TipoProgramaPersonalTecnico=1,ROUND(Programa!F$56*'a)Plantilla'!$C60,RedondeoPersonalTecnico),IF(TipoProgramaPersonalTecnico=2,ROUND(Programa!D$56*'a)Plantilla'!$C60,RedondeoPersonalTecnico),ROUND(Programa!D$56*Hjor*'a)Plantilla'!$C60,RedondeoPersonalTecnico))),0)</f>
        <v>0</v>
      </c>
      <c r="AW121" s="49">
        <f>IF(Programa!D$57&gt;0,IF(TipoProgramaPersonalTecnico=1,ROUND(Programa!F$57*'a)Plantilla'!$C60,RedondeoPersonalTecnico),IF(TipoProgramaPersonalTecnico=2,ROUND(Programa!D$57*'a)Plantilla'!$C60,RedondeoPersonalTecnico),ROUND(Programa!D$57*Hjor*'a)Plantilla'!$C60,RedondeoPersonalTecnico))),0)</f>
        <v>0</v>
      </c>
      <c r="AX121" s="49">
        <f>IF(Programa!D$58&gt;0,IF(TipoProgramaPersonalTecnico=1,ROUND(Programa!F$58*'a)Plantilla'!$C60,RedondeoPersonalTecnico),IF(TipoProgramaPersonalTecnico=2,ROUND(Programa!D$58*'a)Plantilla'!$C60,RedondeoPersonalTecnico),ROUND(Programa!D$58*Hjor*'a)Plantilla'!$C60,RedondeoPersonalTecnico))),0)</f>
        <v>0</v>
      </c>
      <c r="AY121" s="49">
        <f>IF(Programa!D$59&gt;0,IF(TipoProgramaPersonalTecnico=1,ROUND(Programa!F$59*'a)Plantilla'!$C60,RedondeoPersonalTecnico),IF(TipoProgramaPersonalTecnico=2,ROUND(Programa!D$59*'a)Plantilla'!$C60,RedondeoPersonalTecnico),ROUND(Programa!D$59*Hjor*'a)Plantilla'!$C60,RedondeoPersonalTecnico))),0)</f>
        <v>0</v>
      </c>
      <c r="AZ121" s="49">
        <f>IF(Programa!D$60&gt;0,IF(TipoProgramaPersonalTecnico=1,ROUND(Programa!F$60*'a)Plantilla'!$C60,RedondeoPersonalTecnico),IF(TipoProgramaPersonalTecnico=2,ROUND(Programa!D$60*'a)Plantilla'!$C60,RedondeoPersonalTecnico),ROUND(Programa!D$60*Hjor*'a)Plantilla'!$C60,RedondeoPersonalTecnico))),0)</f>
        <v>0</v>
      </c>
      <c r="BA121" s="49">
        <f>IF(Programa!D$61&gt;0,IF(TipoProgramaPersonalTecnico=1,ROUND(Programa!F$61*'a)Plantilla'!$C60,RedondeoPersonalTecnico),IF(TipoProgramaPersonalTecnico=2,ROUND(Programa!D$61*'a)Plantilla'!$C60,RedondeoPersonalTecnico),ROUND(Programa!D$61*Hjor*'a)Plantilla'!$C60,RedondeoPersonalTecnico))),0)</f>
        <v>0</v>
      </c>
      <c r="BB121" s="49">
        <f>IF(Programa!D$62&gt;0,IF(TipoProgramaPersonalTecnico=1,ROUND(Programa!F$62*'a)Plantilla'!$C60,RedondeoPersonalTecnico),IF(TipoProgramaPersonalTecnico=2,ROUND(Programa!D$62*'a)Plantilla'!$C60,RedondeoPersonalTecnico),ROUND(Programa!D$62*Hjor*'a)Plantilla'!$C60,RedondeoPersonalTecnico))),0)</f>
        <v>0</v>
      </c>
      <c r="BC121" s="49">
        <f>IF(Programa!D$63&gt;0,IF(TipoProgramaPersonalTecnico=1,ROUND(Programa!F$63*'a)Plantilla'!$C60,RedondeoPersonalTecnico),IF(TipoProgramaPersonalTecnico=2,ROUND(Programa!D$63*'a)Plantilla'!$C60,RedondeoPersonalTecnico),ROUND(Programa!D$63*Hjor*'a)Plantilla'!$C60,RedondeoPersonalTecnico))),0)</f>
        <v>0</v>
      </c>
      <c r="BD121" s="49">
        <f>IF(Programa!D$64&gt;0,IF(TipoProgramaPersonalTecnico=1,ROUND(Programa!F$64*'a)Plantilla'!$C60,RedondeoPersonalTecnico),IF(TipoProgramaPersonalTecnico=2,ROUND(Programa!D$64*'a)Plantilla'!$C60,RedondeoPersonalTecnico),ROUND(Programa!D$64*Hjor*'a)Plantilla'!$C60,RedondeoPersonalTecnico))),0)</f>
        <v>0</v>
      </c>
      <c r="BE121" s="49">
        <f>IF(Programa!D$65&gt;0,IF(TipoProgramaPersonalTecnico=1,ROUND(Programa!F$65*'a)Plantilla'!$C60,RedondeoPersonalTecnico),IF(TipoProgramaPersonalTecnico=2,ROUND(Programa!D$65*'a)Plantilla'!$C60,RedondeoPersonalTecnico),ROUND(Programa!D$65*Hjor*'a)Plantilla'!$C60,RedondeoPersonalTecnico))),0)</f>
        <v>0</v>
      </c>
      <c r="BF121" s="49">
        <f>IF(Programa!D$66&gt;0,IF(TipoProgramaPersonalTecnico=1,ROUND(Programa!F$66*'a)Plantilla'!$C60,RedondeoPersonalTecnico),IF(TipoProgramaPersonalTecnico=2,ROUND(Programa!D$66*'a)Plantilla'!$C60,RedondeoPersonalTecnico),ROUND(Programa!D$66*Hjor*'a)Plantilla'!$C60,RedondeoPersonalTecnico))),0)</f>
        <v>0</v>
      </c>
      <c r="BG121" s="49">
        <f>IF(Programa!D$67&gt;0,IF(TipoProgramaPersonalTecnico=1,ROUND(Programa!F$67*'a)Plantilla'!$C60,RedondeoPersonalTecnico),IF(TipoProgramaPersonalTecnico=2,ROUND(Programa!D$67*'a)Plantilla'!$C60,RedondeoPersonalTecnico),ROUND(Programa!D$67*Hjor*'a)Plantilla'!$C60,RedondeoPersonalTecnico))),0)</f>
        <v>0</v>
      </c>
      <c r="BH121" s="49">
        <f>IF(Programa!D$68&gt;0,IF(TipoProgramaPersonalTecnico=1,ROUND(Programa!F$68*'a)Plantilla'!$C60,RedondeoPersonalTecnico),IF(TipoProgramaPersonalTecnico=2,ROUND(Programa!D$68*'a)Plantilla'!$C60,RedondeoPersonalTecnico),ROUND(Programa!D$68*Hjor*'a)Plantilla'!$C60,RedondeoPersonalTecnico))),0)</f>
        <v>0</v>
      </c>
      <c r="BI121" s="49">
        <f>IF(Programa!D$69&gt;0,IF(TipoProgramaPersonalTecnico=1,ROUND(Programa!F$69*'a)Plantilla'!$C60,RedondeoPersonalTecnico),IF(TipoProgramaPersonalTecnico=2,ROUND(Programa!D$69*'a)Plantilla'!$C60,RedondeoPersonalTecnico),ROUND(Programa!D$69*Hjor*'a)Plantilla'!$C60,RedondeoPersonalTecnico))),0)</f>
        <v>0</v>
      </c>
      <c r="BJ121" s="49">
        <f>IF(Programa!D$70&gt;0,IF(TipoProgramaPersonalTecnico=1,ROUND(Programa!F$70*'a)Plantilla'!$C60,RedondeoPersonalTecnico),IF(TipoProgramaPersonalTecnico=2,ROUND(Programa!D$70*'a)Plantilla'!$C60,RedondeoPersonalTecnico),ROUND(Programa!D$70*Hjor*'a)Plantilla'!$C60,RedondeoPersonalTecnico))),0)</f>
        <v>0</v>
      </c>
      <c r="BK121" s="49">
        <f>IF(Programa!D$71&gt;0,IF(TipoProgramaPersonalTecnico=1,ROUND(Programa!F$71*'a)Plantilla'!$C60,RedondeoPersonalTecnico),IF(TipoProgramaPersonalTecnico=2,ROUND(Programa!D$71*'a)Plantilla'!$C60,RedondeoPersonalTecnico),ROUND(Programa!D$71*Hjor*'a)Plantilla'!$C60,RedondeoPersonalTecnico))),0)</f>
        <v>0</v>
      </c>
      <c r="BL121" s="285">
        <f>IF(Programa!D$72&gt;0,IF(TipoProgramaPersonalTecnico=1,ROUND(Programa!F$72*'a)Plantilla'!$C60,RedondeoPersonalTecnico),IF(TipoProgramaPersonalTecnico=2,ROUND(Programa!D$72*'a)Plantilla'!$C60,RedondeoPersonalTecnico),ROUND(Programa!D$72*Hjor*'a)Plantilla'!$C60,RedondeoPersonalTecnico))),0)</f>
        <v>0</v>
      </c>
    </row>
    <row r="122" spans="1:64" ht="13.5" thickTop="1"/>
    <row r="123" spans="1:64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</row>
    <row r="124" spans="1:6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</row>
    <row r="125" spans="1:64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</row>
    <row r="126" spans="1:64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</row>
    <row r="127" spans="1:64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</row>
    <row r="128" spans="1:64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</row>
    <row r="129" spans="1:64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</row>
  </sheetData>
  <mergeCells count="10">
    <mergeCell ref="B6:J8"/>
    <mergeCell ref="R6:Y8"/>
    <mergeCell ref="AD6:AK8"/>
    <mergeCell ref="AP6:AW8"/>
    <mergeCell ref="BB6:BI8"/>
    <mergeCell ref="B2:J4"/>
    <mergeCell ref="R2:AA4"/>
    <mergeCell ref="AD2:AM4"/>
    <mergeCell ref="AP2:AY4"/>
    <mergeCell ref="BB2:BK4"/>
  </mergeCells>
  <conditionalFormatting sqref="E130:BL131 E134:BL135 E138:BL138">
    <cfRule type="cellIs" dxfId="7" priority="1" stopIfTrue="1" operator="greaterThan">
      <formula>0</formula>
    </cfRule>
  </conditionalFormatting>
  <conditionalFormatting sqref="E132:BL133 E136:BL137">
    <cfRule type="cellIs" dxfId="6" priority="2" stopIfTrue="1" operator="greaterThan">
      <formula>0</formula>
    </cfRule>
  </conditionalFormatting>
  <conditionalFormatting sqref="E122:BL122">
    <cfRule type="cellIs" dxfId="5" priority="3" stopIfTrue="1" operator="greaterThan">
      <formula>0</formula>
    </cfRule>
  </conditionalFormatting>
  <conditionalFormatting sqref="E19:BL19 E21:BL21 E23:BL23 E25:BL25 E27:BL27 E29:BL29 E31:BL31 E33:BL33 E35:BL35 E38:BL38 E40:BL40 E42:BL42 E44:BL44 E46:BL46 E48:BL48 E50:BL50 E52:BL52 E54:BL54 E56:BL56 E58:BL58 E62:BL62 E64:BL64 E66:BL66 E68:BL68 E70:BL70 E72:BL72 E75:BL75 E77:BL77 E79:BL79 E81:BL81 E83:BL83 E85:BL85 E87:BL87 E89:BL89 E92:BL92 E94:BL94 E96:BL96 E98:BL98 E100:BL100 E102:BL102 E104:BL104 E106:BL106 E108:BL108 E110:BL110 E112:BL112 E114:BL114 E116:BL116 E118:BL118 E120:BL120">
    <cfRule type="expression" dxfId="4" priority="4" stopIfTrue="1">
      <formula>AND($D20&gt;0,E$17&gt;=PeriodoInicial,E$17&lt;=PeriodoFinal)</formula>
    </cfRule>
  </conditionalFormatting>
  <pageMargins left="0.23622047244094491" right="0.27559055118110237" top="0.35433070866141736" bottom="0.35433070866141736" header="0" footer="0.23622047244094491"/>
  <pageSetup scale="68" orientation="landscape" horizontalDpi="300" verticalDpi="300" r:id="rId1"/>
  <headerFooter alignWithMargins="0"/>
  <rowBreaks count="1" manualBreakCount="1">
    <brk id="59" max="16383" man="1"/>
  </rowBreaks>
  <colBreaks count="4" manualBreakCount="4">
    <brk id="16" max="1048575" man="1"/>
    <brk id="28" max="1048575" man="1"/>
    <brk id="40" max="1048575" man="1"/>
    <brk id="5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6"/>
  <sheetViews>
    <sheetView showGridLines="0" showZeros="0" topLeftCell="A2" zoomScaleNormal="100" workbookViewId="0">
      <selection activeCell="A22" sqref="A22"/>
    </sheetView>
  </sheetViews>
  <sheetFormatPr baseColWidth="10" defaultColWidth="9.140625" defaultRowHeight="12.75"/>
  <cols>
    <col min="1" max="1" width="14.5703125" customWidth="1"/>
    <col min="2" max="2" width="19.85546875" customWidth="1"/>
    <col min="3" max="3" width="11.28515625" style="490" customWidth="1"/>
    <col min="4" max="4" width="9.140625" customWidth="1"/>
    <col min="5" max="5" width="7.7109375" customWidth="1"/>
    <col min="6" max="6" width="9.140625" customWidth="1"/>
    <col min="7" max="7" width="10" customWidth="1"/>
    <col min="8" max="8" width="9.7109375" customWidth="1"/>
    <col min="9" max="9" width="8.28515625" customWidth="1"/>
    <col min="10" max="10" width="7.7109375" customWidth="1"/>
    <col min="11" max="11" width="8" customWidth="1"/>
    <col min="12" max="12" width="8.28515625" customWidth="1"/>
    <col min="13" max="13" width="9" customWidth="1"/>
    <col min="14" max="14" width="9.42578125" customWidth="1"/>
    <col min="15" max="15" width="12.140625" customWidth="1"/>
    <col min="16" max="16" width="10" customWidth="1"/>
    <col min="17" max="17" width="11.5703125" customWidth="1"/>
    <col min="18" max="18" width="10.42578125" customWidth="1"/>
    <col min="19" max="26" width="10.5703125" customWidth="1"/>
    <col min="27" max="27" width="12.140625" customWidth="1"/>
    <col min="28" max="28" width="10.5703125" customWidth="1"/>
    <col min="29" max="29" width="11.7109375" customWidth="1"/>
    <col min="30" max="30" width="11.140625" customWidth="1"/>
    <col min="31" max="38" width="10.5703125" customWidth="1"/>
    <col min="39" max="39" width="12.140625" customWidth="1"/>
    <col min="40" max="40" width="10.5703125" customWidth="1"/>
    <col min="41" max="41" width="11.7109375" customWidth="1"/>
    <col min="42" max="42" width="11.140625" customWidth="1"/>
    <col min="43" max="50" width="10.5703125" customWidth="1"/>
    <col min="51" max="51" width="12.140625" customWidth="1"/>
    <col min="52" max="52" width="11.28515625" customWidth="1"/>
    <col min="53" max="65" width="11.7109375" customWidth="1"/>
    <col min="66" max="66" width="11.140625" customWidth="1"/>
  </cols>
  <sheetData>
    <row r="1" spans="1:66" ht="11.25" customHeight="1" thickTop="1">
      <c r="A1" s="332"/>
      <c r="B1" s="181"/>
      <c r="C1" s="129"/>
      <c r="D1" s="181" t="s">
        <v>306</v>
      </c>
      <c r="E1" s="1141" t="str">
        <f>nombrecliente</f>
        <v>AYUNTAMIENTO DE CUERNAVACA_x000D_
SECRETARÍA DE DESARROLLO URBANO Y OBRAS PÚBLICAS</v>
      </c>
      <c r="F1" s="1141"/>
      <c r="G1" s="1141"/>
      <c r="H1" s="1141"/>
      <c r="I1" s="1141"/>
      <c r="J1" s="1141"/>
      <c r="K1" s="1141"/>
      <c r="L1" s="1141"/>
      <c r="M1" s="1141"/>
      <c r="N1" s="1141"/>
      <c r="O1" s="33"/>
      <c r="P1" s="33"/>
      <c r="Q1" s="33"/>
      <c r="R1" s="123"/>
      <c r="S1" s="33"/>
      <c r="T1" s="181" t="s">
        <v>306</v>
      </c>
      <c r="U1" s="1142" t="str">
        <f>nombrecliente</f>
        <v>AYUNTAMIENTO DE CUERNAVACA_x000D_
SECRETARÍA DE DESARROLLO URBANO Y OBRAS PÚBLICAS</v>
      </c>
      <c r="V1" s="1142"/>
      <c r="W1" s="1142"/>
      <c r="X1" s="1142"/>
      <c r="Y1" s="1142"/>
      <c r="Z1" s="1142"/>
      <c r="AA1" s="1142"/>
      <c r="AB1" s="1142"/>
      <c r="AC1" s="129"/>
      <c r="AD1" s="123"/>
      <c r="AE1" s="33"/>
      <c r="AF1" s="181" t="s">
        <v>306</v>
      </c>
      <c r="AG1" s="1142" t="str">
        <f>nombrecliente</f>
        <v>AYUNTAMIENTO DE CUERNAVACA_x000D_
SECRETARÍA DE DESARROLLO URBANO Y OBRAS PÚBLICAS</v>
      </c>
      <c r="AH1" s="1142"/>
      <c r="AI1" s="1142"/>
      <c r="AJ1" s="1142"/>
      <c r="AK1" s="1142"/>
      <c r="AL1" s="1142"/>
      <c r="AM1" s="1142"/>
      <c r="AN1" s="1142"/>
      <c r="AO1" s="129"/>
      <c r="AP1" s="123"/>
      <c r="AQ1" s="33"/>
      <c r="AR1" s="181" t="s">
        <v>306</v>
      </c>
      <c r="AS1" s="1142" t="str">
        <f>nombrecliente</f>
        <v>AYUNTAMIENTO DE CUERNAVACA_x000D_
SECRETARÍA DE DESARROLLO URBANO Y OBRAS PÚBLICAS</v>
      </c>
      <c r="AT1" s="1142"/>
      <c r="AU1" s="1142"/>
      <c r="AV1" s="1142"/>
      <c r="AW1" s="1142"/>
      <c r="AX1" s="1142"/>
      <c r="AY1" s="1142"/>
      <c r="AZ1" s="1142"/>
      <c r="BA1" s="129"/>
      <c r="BB1" s="123"/>
      <c r="BC1" s="33"/>
      <c r="BD1" s="181" t="s">
        <v>306</v>
      </c>
      <c r="BE1" s="1142" t="str">
        <f>nombrecliente</f>
        <v>AYUNTAMIENTO DE CUERNAVACA_x000D_
SECRETARÍA DE DESARROLLO URBANO Y OBRAS PÚBLICAS</v>
      </c>
      <c r="BF1" s="1142"/>
      <c r="BG1" s="1142"/>
      <c r="BH1" s="1142"/>
      <c r="BI1" s="1142"/>
      <c r="BJ1" s="1142"/>
      <c r="BK1" s="1142"/>
      <c r="BL1" s="1142"/>
      <c r="BM1" s="129"/>
      <c r="BN1" s="123"/>
    </row>
    <row r="2" spans="1:66" ht="11.25" customHeight="1">
      <c r="A2" s="237"/>
      <c r="B2" s="31"/>
      <c r="C2" s="17"/>
      <c r="D2" s="31"/>
      <c r="E2" s="1138"/>
      <c r="F2" s="1138"/>
      <c r="G2" s="1138"/>
      <c r="H2" s="1138"/>
      <c r="I2" s="1138"/>
      <c r="J2" s="1138"/>
      <c r="K2" s="1138"/>
      <c r="L2" s="1138"/>
      <c r="M2" s="1138"/>
      <c r="N2" s="1138"/>
      <c r="O2" s="4"/>
      <c r="P2" s="4"/>
      <c r="Q2" s="4"/>
      <c r="R2" s="69"/>
      <c r="S2" s="4"/>
      <c r="T2" s="31"/>
      <c r="U2" s="1139"/>
      <c r="V2" s="1139"/>
      <c r="W2" s="1139"/>
      <c r="X2" s="1139"/>
      <c r="Y2" s="1139"/>
      <c r="Z2" s="1139"/>
      <c r="AA2" s="1139"/>
      <c r="AB2" s="1139"/>
      <c r="AC2" s="116"/>
      <c r="AD2" s="69"/>
      <c r="AE2" s="4"/>
      <c r="AF2" s="31"/>
      <c r="AG2" s="1139"/>
      <c r="AH2" s="1139"/>
      <c r="AI2" s="1139"/>
      <c r="AJ2" s="1139"/>
      <c r="AK2" s="1139"/>
      <c r="AL2" s="1139"/>
      <c r="AM2" s="1139"/>
      <c r="AN2" s="1139"/>
      <c r="AO2" s="116"/>
      <c r="AP2" s="69"/>
      <c r="AQ2" s="4"/>
      <c r="AR2" s="31"/>
      <c r="AS2" s="1139"/>
      <c r="AT2" s="1139"/>
      <c r="AU2" s="1139"/>
      <c r="AV2" s="1139"/>
      <c r="AW2" s="1139"/>
      <c r="AX2" s="1139"/>
      <c r="AY2" s="1139"/>
      <c r="AZ2" s="1139"/>
      <c r="BA2" s="116"/>
      <c r="BB2" s="69"/>
      <c r="BC2" s="4"/>
      <c r="BD2" s="31"/>
      <c r="BE2" s="1139"/>
      <c r="BF2" s="1139"/>
      <c r="BG2" s="1139"/>
      <c r="BH2" s="1139"/>
      <c r="BI2" s="1139"/>
      <c r="BJ2" s="1139"/>
      <c r="BK2" s="1139"/>
      <c r="BL2" s="1139"/>
      <c r="BM2" s="116"/>
      <c r="BN2" s="69"/>
    </row>
    <row r="3" spans="1:66" ht="11.25" customHeight="1">
      <c r="A3" s="237"/>
      <c r="B3" s="31"/>
      <c r="C3" s="17"/>
      <c r="D3" s="31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4"/>
      <c r="P3" s="4"/>
      <c r="Q3" s="4"/>
      <c r="R3" s="69"/>
      <c r="S3" s="4"/>
      <c r="T3" s="31"/>
      <c r="U3" s="1139"/>
      <c r="V3" s="1139"/>
      <c r="W3" s="1139"/>
      <c r="X3" s="1139"/>
      <c r="Y3" s="1139"/>
      <c r="Z3" s="1139"/>
      <c r="AA3" s="1139"/>
      <c r="AB3" s="1139"/>
      <c r="AC3" s="4"/>
      <c r="AD3" s="69"/>
      <c r="AE3" s="4"/>
      <c r="AF3" s="31"/>
      <c r="AG3" s="1139"/>
      <c r="AH3" s="1139"/>
      <c r="AI3" s="1139"/>
      <c r="AJ3" s="1139"/>
      <c r="AK3" s="1139"/>
      <c r="AL3" s="1139"/>
      <c r="AM3" s="1139"/>
      <c r="AN3" s="1139"/>
      <c r="AO3" s="4"/>
      <c r="AP3" s="69"/>
      <c r="AQ3" s="4"/>
      <c r="AR3" s="31"/>
      <c r="AS3" s="1139"/>
      <c r="AT3" s="1139"/>
      <c r="AU3" s="1139"/>
      <c r="AV3" s="1139"/>
      <c r="AW3" s="1139"/>
      <c r="AX3" s="1139"/>
      <c r="AY3" s="1139"/>
      <c r="AZ3" s="1139"/>
      <c r="BA3" s="4"/>
      <c r="BB3" s="69"/>
      <c r="BC3" s="4"/>
      <c r="BD3" s="31"/>
      <c r="BE3" s="1139"/>
      <c r="BF3" s="1139"/>
      <c r="BG3" s="1139"/>
      <c r="BH3" s="1139"/>
      <c r="BI3" s="1139"/>
      <c r="BJ3" s="1139"/>
      <c r="BK3" s="1139"/>
      <c r="BL3" s="1139"/>
      <c r="BM3" s="4"/>
      <c r="BN3" s="69"/>
    </row>
    <row r="4" spans="1:66" ht="11.25" customHeight="1">
      <c r="A4" s="237"/>
      <c r="B4" s="31"/>
      <c r="C4" s="17"/>
      <c r="D4" s="31" t="s">
        <v>375</v>
      </c>
      <c r="E4" s="172" t="str">
        <f>numerodeconcurso</f>
        <v>A.D.03/R33/DLyCOP/OP444/2022</v>
      </c>
      <c r="F4" s="4"/>
      <c r="G4" s="58" t="s">
        <v>168</v>
      </c>
      <c r="H4" s="4" t="s">
        <v>23</v>
      </c>
      <c r="I4" s="1140">
        <f>fechadeconcurso</f>
        <v>44778</v>
      </c>
      <c r="J4" s="1140"/>
      <c r="K4" s="4"/>
      <c r="L4" s="4"/>
      <c r="M4" s="4"/>
      <c r="N4" s="4"/>
      <c r="O4" s="4"/>
      <c r="P4" s="4"/>
      <c r="Q4" s="4"/>
      <c r="R4" s="69"/>
      <c r="S4" s="4"/>
      <c r="T4" s="31" t="s">
        <v>375</v>
      </c>
      <c r="U4" s="240" t="str">
        <f>numerodeconcurso</f>
        <v>A.D.03/R33/DLyCOP/OP444/2022</v>
      </c>
      <c r="V4" s="4"/>
      <c r="W4" s="4"/>
      <c r="X4" s="4"/>
      <c r="Y4" s="4"/>
      <c r="Z4" s="4"/>
      <c r="AA4" s="4" t="s">
        <v>23</v>
      </c>
      <c r="AB4" s="1140">
        <f>fechadeconcurso</f>
        <v>44778</v>
      </c>
      <c r="AC4" s="1140"/>
      <c r="AD4" s="69"/>
      <c r="AE4" s="4"/>
      <c r="AF4" s="31" t="s">
        <v>375</v>
      </c>
      <c r="AG4" s="240" t="str">
        <f>numerodeconcurso</f>
        <v>A.D.03/R33/DLyCOP/OP444/2022</v>
      </c>
      <c r="AH4" s="4"/>
      <c r="AI4" s="4"/>
      <c r="AJ4" s="4"/>
      <c r="AK4" s="4"/>
      <c r="AL4" s="4"/>
      <c r="AM4" s="4" t="s">
        <v>23</v>
      </c>
      <c r="AN4" s="1140">
        <f>fechadeconcurso</f>
        <v>44778</v>
      </c>
      <c r="AO4" s="1140"/>
      <c r="AP4" s="69"/>
      <c r="AQ4" s="4"/>
      <c r="AR4" s="31" t="s">
        <v>375</v>
      </c>
      <c r="AS4" s="240" t="str">
        <f>numerodeconcurso</f>
        <v>A.D.03/R33/DLyCOP/OP444/2022</v>
      </c>
      <c r="AT4" s="4"/>
      <c r="AU4" s="4"/>
      <c r="AV4" s="4"/>
      <c r="AW4" s="4"/>
      <c r="AX4" s="4"/>
      <c r="AY4" s="4" t="s">
        <v>23</v>
      </c>
      <c r="AZ4" s="1140">
        <f>fechadeconcurso</f>
        <v>44778</v>
      </c>
      <c r="BA4" s="1140"/>
      <c r="BB4" s="69"/>
      <c r="BC4" s="4"/>
      <c r="BD4" s="31" t="s">
        <v>375</v>
      </c>
      <c r="BE4" s="240" t="str">
        <f>numerodeconcurso</f>
        <v>A.D.03/R33/DLyCOP/OP444/2022</v>
      </c>
      <c r="BF4" s="4"/>
      <c r="BG4" s="4"/>
      <c r="BH4" s="4"/>
      <c r="BI4" s="4"/>
      <c r="BJ4" s="4"/>
      <c r="BK4" s="4" t="s">
        <v>23</v>
      </c>
      <c r="BL4" s="1140">
        <f>fechadeconcurso</f>
        <v>44778</v>
      </c>
      <c r="BM4" s="1140"/>
      <c r="BN4" s="69"/>
    </row>
    <row r="5" spans="1:66" ht="11.25" customHeight="1">
      <c r="A5" s="237"/>
      <c r="B5" s="31"/>
      <c r="C5" s="17"/>
      <c r="D5" s="31" t="s">
        <v>519</v>
      </c>
      <c r="E5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F5" s="1139"/>
      <c r="G5" s="1139"/>
      <c r="H5" s="1139"/>
      <c r="I5" s="1139"/>
      <c r="J5" s="1139"/>
      <c r="K5" s="1139"/>
      <c r="L5" s="1139"/>
      <c r="M5" s="4"/>
      <c r="N5" s="4"/>
      <c r="O5" s="4"/>
      <c r="P5" s="4"/>
      <c r="Q5" s="4"/>
      <c r="R5" s="69"/>
      <c r="S5" s="4"/>
      <c r="T5" s="31" t="s">
        <v>519</v>
      </c>
      <c r="U5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V5" s="1139"/>
      <c r="W5" s="1139"/>
      <c r="X5" s="1139"/>
      <c r="Y5" s="1139"/>
      <c r="Z5" s="1139"/>
      <c r="AA5" s="1139"/>
      <c r="AB5" s="1139"/>
      <c r="AC5" s="17"/>
      <c r="AD5" s="69"/>
      <c r="AE5" s="4"/>
      <c r="AF5" s="31" t="s">
        <v>519</v>
      </c>
      <c r="AG5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AH5" s="1139"/>
      <c r="AI5" s="1139"/>
      <c r="AJ5" s="1139"/>
      <c r="AK5" s="1139"/>
      <c r="AL5" s="1139"/>
      <c r="AM5" s="1139"/>
      <c r="AN5" s="1139"/>
      <c r="AO5" s="17"/>
      <c r="AP5" s="69"/>
      <c r="AQ5" s="4"/>
      <c r="AR5" s="31" t="s">
        <v>519</v>
      </c>
      <c r="AS5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AT5" s="1139"/>
      <c r="AU5" s="1139"/>
      <c r="AV5" s="1139"/>
      <c r="AW5" s="1139"/>
      <c r="AX5" s="1139"/>
      <c r="AY5" s="1139"/>
      <c r="AZ5" s="1139"/>
      <c r="BA5" s="17"/>
      <c r="BB5" s="69"/>
      <c r="BC5" s="4"/>
      <c r="BD5" s="31" t="s">
        <v>519</v>
      </c>
      <c r="BE5" s="1139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BF5" s="1139"/>
      <c r="BG5" s="1139"/>
      <c r="BH5" s="1139"/>
      <c r="BI5" s="1139"/>
      <c r="BJ5" s="1139"/>
      <c r="BK5" s="1139"/>
      <c r="BL5" s="1139"/>
      <c r="BM5" s="17"/>
      <c r="BN5" s="69"/>
    </row>
    <row r="6" spans="1:66" ht="11.25" customHeight="1">
      <c r="A6" s="237"/>
      <c r="B6" s="31"/>
      <c r="C6" s="17"/>
      <c r="D6" s="31"/>
      <c r="E6" s="1139"/>
      <c r="F6" s="1139"/>
      <c r="G6" s="1139"/>
      <c r="H6" s="1139"/>
      <c r="I6" s="1139"/>
      <c r="J6" s="1139"/>
      <c r="K6" s="1139"/>
      <c r="L6" s="1139"/>
      <c r="M6" s="4"/>
      <c r="N6" s="4"/>
      <c r="O6" s="4"/>
      <c r="P6" s="4"/>
      <c r="Q6" s="17" t="s">
        <v>232</v>
      </c>
      <c r="R6" s="69"/>
      <c r="S6" s="4"/>
      <c r="T6" s="31"/>
      <c r="U6" s="1139"/>
      <c r="V6" s="1139"/>
      <c r="W6" s="1139"/>
      <c r="X6" s="1139"/>
      <c r="Y6" s="1139"/>
      <c r="Z6" s="1139"/>
      <c r="AA6" s="1139"/>
      <c r="AB6" s="1139"/>
      <c r="AC6" s="17" t="s">
        <v>232</v>
      </c>
      <c r="AD6" s="69"/>
      <c r="AE6" s="4"/>
      <c r="AF6" s="31"/>
      <c r="AG6" s="1139"/>
      <c r="AH6" s="1139"/>
      <c r="AI6" s="1139"/>
      <c r="AJ6" s="1139"/>
      <c r="AK6" s="1139"/>
      <c r="AL6" s="1139"/>
      <c r="AM6" s="1139"/>
      <c r="AN6" s="1139"/>
      <c r="AO6" s="17" t="s">
        <v>232</v>
      </c>
      <c r="AP6" s="69"/>
      <c r="AQ6" s="4"/>
      <c r="AR6" s="31"/>
      <c r="AS6" s="1139"/>
      <c r="AT6" s="1139"/>
      <c r="AU6" s="1139"/>
      <c r="AV6" s="1139"/>
      <c r="AW6" s="1139"/>
      <c r="AX6" s="1139"/>
      <c r="AY6" s="1139"/>
      <c r="AZ6" s="1139"/>
      <c r="BA6" s="17" t="s">
        <v>232</v>
      </c>
      <c r="BB6" s="69"/>
      <c r="BC6" s="4"/>
      <c r="BD6" s="31"/>
      <c r="BE6" s="1139"/>
      <c r="BF6" s="1139"/>
      <c r="BG6" s="1139"/>
      <c r="BH6" s="1139"/>
      <c r="BI6" s="1139"/>
      <c r="BJ6" s="1139"/>
      <c r="BK6" s="1139"/>
      <c r="BL6" s="1139"/>
      <c r="BM6" s="17" t="s">
        <v>232</v>
      </c>
      <c r="BN6" s="69"/>
    </row>
    <row r="7" spans="1:66" ht="11.25" customHeight="1">
      <c r="A7" s="237"/>
      <c r="B7" s="31"/>
      <c r="C7" s="17"/>
      <c r="D7" s="31"/>
      <c r="E7" s="1139"/>
      <c r="F7" s="1139"/>
      <c r="G7" s="1139"/>
      <c r="H7" s="1139"/>
      <c r="I7" s="1139"/>
      <c r="J7" s="1139"/>
      <c r="K7" s="1139"/>
      <c r="L7" s="1139"/>
      <c r="M7" s="17" t="s">
        <v>280</v>
      </c>
      <c r="N7" s="17" t="s">
        <v>264</v>
      </c>
      <c r="O7" s="17" t="s">
        <v>129</v>
      </c>
      <c r="P7" s="4"/>
      <c r="Q7" s="116" t="s">
        <v>240</v>
      </c>
      <c r="R7" s="69"/>
      <c r="S7" s="4"/>
      <c r="T7" s="31"/>
      <c r="U7" s="1139"/>
      <c r="V7" s="1139"/>
      <c r="W7" s="1139"/>
      <c r="X7" s="1139"/>
      <c r="Y7" s="1139"/>
      <c r="Z7" s="1139"/>
      <c r="AA7" s="1139"/>
      <c r="AB7" s="1139"/>
      <c r="AC7" s="295" t="str">
        <f>Q7</f>
        <v>ART. 45 XI d)</v>
      </c>
      <c r="AD7" s="140"/>
      <c r="AE7" s="4"/>
      <c r="AF7" s="31"/>
      <c r="AG7" s="1139"/>
      <c r="AH7" s="1139"/>
      <c r="AI7" s="1139"/>
      <c r="AJ7" s="1139"/>
      <c r="AK7" s="1139"/>
      <c r="AL7" s="1139"/>
      <c r="AM7" s="1139"/>
      <c r="AN7" s="1139"/>
      <c r="AO7" s="295" t="str">
        <f>Q7</f>
        <v>ART. 45 XI d)</v>
      </c>
      <c r="AP7" s="140"/>
      <c r="AQ7" s="4"/>
      <c r="AR7" s="31"/>
      <c r="AS7" s="1139"/>
      <c r="AT7" s="1139"/>
      <c r="AU7" s="1139"/>
      <c r="AV7" s="1139"/>
      <c r="AW7" s="1139"/>
      <c r="AX7" s="1139"/>
      <c r="AY7" s="1139"/>
      <c r="AZ7" s="1139"/>
      <c r="BA7" s="295" t="str">
        <f>Q7</f>
        <v>ART. 45 XI d)</v>
      </c>
      <c r="BB7" s="140"/>
      <c r="BC7" s="4"/>
      <c r="BD7" s="31"/>
      <c r="BE7" s="1139"/>
      <c r="BF7" s="1139"/>
      <c r="BG7" s="1139"/>
      <c r="BH7" s="1139"/>
      <c r="BI7" s="1139"/>
      <c r="BJ7" s="1139"/>
      <c r="BK7" s="1139"/>
      <c r="BL7" s="1139"/>
      <c r="BM7" s="295" t="str">
        <f>Q7</f>
        <v>ART. 45 XI d)</v>
      </c>
      <c r="BN7" s="140"/>
    </row>
    <row r="8" spans="1:66" ht="11.25" customHeight="1">
      <c r="A8" s="237"/>
      <c r="B8" s="31"/>
      <c r="C8" s="17"/>
      <c r="D8" s="31" t="s">
        <v>197</v>
      </c>
      <c r="E8" s="242" t="str">
        <f>direcciondelaobra&amp;", "&amp;ciudaddelaobra&amp;", "&amp;estadodelaobra</f>
        <v xml:space="preserve"> CALLE MAGNOLIA, ESQ. CON CALLE GERANIO, COL SATÉLITE, CUERNAVACA, Morelos</v>
      </c>
      <c r="F8" s="4"/>
      <c r="G8" s="58"/>
      <c r="H8" s="4"/>
      <c r="I8" s="4"/>
      <c r="J8" s="4"/>
      <c r="K8" s="4"/>
      <c r="L8" s="4"/>
      <c r="M8" s="484">
        <f>fechainicio</f>
        <v>45367</v>
      </c>
      <c r="N8" s="484">
        <f>fechaterminacion</f>
        <v>45456</v>
      </c>
      <c r="O8" s="17">
        <f>plazocalculado</f>
        <v>90</v>
      </c>
      <c r="P8" s="4"/>
      <c r="Q8" s="17" t="s">
        <v>77</v>
      </c>
      <c r="R8" s="69"/>
      <c r="S8" s="4"/>
      <c r="T8" s="31" t="s">
        <v>197</v>
      </c>
      <c r="U8" s="242" t="str">
        <f>direcciondelaobra&amp;", "&amp;ciudaddelaobra&amp;", "&amp;estadodelaobra</f>
        <v xml:space="preserve"> CALLE MAGNOLIA, ESQ. CON CALLE GERANIO, COL SATÉLITE, CUERNAVACA, Morelos</v>
      </c>
      <c r="V8" s="4"/>
      <c r="W8" s="4"/>
      <c r="X8" s="4"/>
      <c r="Y8" s="4"/>
      <c r="Z8" s="4"/>
      <c r="AA8" s="4"/>
      <c r="AB8" s="17" t="s">
        <v>280</v>
      </c>
      <c r="AC8" s="17" t="s">
        <v>264</v>
      </c>
      <c r="AD8" s="108" t="s">
        <v>129</v>
      </c>
      <c r="AE8" s="4"/>
      <c r="AF8" s="31" t="s">
        <v>197</v>
      </c>
      <c r="AG8" s="242" t="str">
        <f>direcciondelaobra&amp;", "&amp;ciudaddelaobra&amp;", "&amp;estadodelaobra</f>
        <v xml:space="preserve"> CALLE MAGNOLIA, ESQ. CON CALLE GERANIO, COL SATÉLITE, CUERNAVACA, Morelos</v>
      </c>
      <c r="AH8" s="4"/>
      <c r="AI8" s="4"/>
      <c r="AJ8" s="4"/>
      <c r="AK8" s="4"/>
      <c r="AL8" s="4"/>
      <c r="AM8" s="4"/>
      <c r="AN8" s="17" t="s">
        <v>280</v>
      </c>
      <c r="AO8" s="17" t="s">
        <v>264</v>
      </c>
      <c r="AP8" s="108" t="s">
        <v>129</v>
      </c>
      <c r="AQ8" s="4"/>
      <c r="AR8" s="31" t="s">
        <v>197</v>
      </c>
      <c r="AS8" s="242" t="str">
        <f>direcciondelaobra&amp;", "&amp;ciudaddelaobra&amp;", "&amp;estadodelaobra</f>
        <v xml:space="preserve"> CALLE MAGNOLIA, ESQ. CON CALLE GERANIO, COL SATÉLITE, CUERNAVACA, Morelos</v>
      </c>
      <c r="AT8" s="4"/>
      <c r="AU8" s="4"/>
      <c r="AV8" s="4"/>
      <c r="AW8" s="4"/>
      <c r="AX8" s="4"/>
      <c r="AY8" s="4"/>
      <c r="AZ8" s="17" t="s">
        <v>280</v>
      </c>
      <c r="BA8" s="17" t="s">
        <v>264</v>
      </c>
      <c r="BB8" s="108" t="s">
        <v>129</v>
      </c>
      <c r="BC8" s="4"/>
      <c r="BD8" s="31" t="s">
        <v>197</v>
      </c>
      <c r="BE8" s="242" t="str">
        <f>direcciondelaobra&amp;", "&amp;ciudaddelaobra&amp;", "&amp;estadodelaobra</f>
        <v xml:space="preserve"> CALLE MAGNOLIA, ESQ. CON CALLE GERANIO, COL SATÉLITE, CUERNAVACA, Morelos</v>
      </c>
      <c r="BF8" s="4"/>
      <c r="BG8" s="4"/>
      <c r="BH8" s="4"/>
      <c r="BI8" s="4"/>
      <c r="BJ8" s="4"/>
      <c r="BK8" s="4"/>
      <c r="BL8" s="17" t="s">
        <v>280</v>
      </c>
      <c r="BM8" s="17" t="s">
        <v>264</v>
      </c>
      <c r="BN8" s="108" t="s">
        <v>129</v>
      </c>
    </row>
    <row r="9" spans="1:66" ht="11.25" customHeight="1">
      <c r="A9" s="237"/>
      <c r="B9" s="31"/>
      <c r="C9" s="17"/>
      <c r="D9" s="31"/>
      <c r="E9" s="242"/>
      <c r="F9" s="4"/>
      <c r="G9" s="58"/>
      <c r="H9" s="4"/>
      <c r="I9" s="4"/>
      <c r="J9" s="4"/>
      <c r="K9" s="4"/>
      <c r="L9" s="4"/>
      <c r="M9" s="17"/>
      <c r="N9" s="17"/>
      <c r="O9" s="17"/>
      <c r="P9" s="4"/>
      <c r="Q9" s="4"/>
      <c r="R9" s="69"/>
      <c r="S9" s="4"/>
      <c r="T9" s="31"/>
      <c r="U9" s="4"/>
      <c r="V9" s="4"/>
      <c r="W9" s="4"/>
      <c r="X9" s="4"/>
      <c r="Y9" s="4"/>
      <c r="Z9" s="4"/>
      <c r="AA9" s="4"/>
      <c r="AB9" s="157">
        <f>fechainicio</f>
        <v>45367</v>
      </c>
      <c r="AC9" s="157">
        <f>fechaterminacion</f>
        <v>45456</v>
      </c>
      <c r="AD9" s="108">
        <f>plazocalculado</f>
        <v>90</v>
      </c>
      <c r="AE9" s="4"/>
      <c r="AF9" s="31"/>
      <c r="AG9" s="4"/>
      <c r="AH9" s="4"/>
      <c r="AI9" s="4"/>
      <c r="AJ9" s="4"/>
      <c r="AK9" s="4"/>
      <c r="AL9" s="4"/>
      <c r="AM9" s="4"/>
      <c r="AN9" s="157">
        <f>fechainicio</f>
        <v>45367</v>
      </c>
      <c r="AO9" s="157">
        <f>fechaterminacion</f>
        <v>45456</v>
      </c>
      <c r="AP9" s="108">
        <f>plazocalculado</f>
        <v>90</v>
      </c>
      <c r="AQ9" s="4"/>
      <c r="AR9" s="31"/>
      <c r="AS9" s="4"/>
      <c r="AT9" s="4"/>
      <c r="AU9" s="4"/>
      <c r="AV9" s="4"/>
      <c r="AW9" s="4"/>
      <c r="AX9" s="4"/>
      <c r="AY9" s="4"/>
      <c r="AZ9" s="157">
        <f>fechainicio</f>
        <v>45367</v>
      </c>
      <c r="BA9" s="157">
        <f>fechaterminacion</f>
        <v>45456</v>
      </c>
      <c r="BB9" s="108">
        <f>plazocalculado</f>
        <v>90</v>
      </c>
      <c r="BC9" s="4"/>
      <c r="BD9" s="31"/>
      <c r="BE9" s="4"/>
      <c r="BF9" s="4"/>
      <c r="BG9" s="4"/>
      <c r="BH9" s="4"/>
      <c r="BI9" s="4"/>
      <c r="BJ9" s="4"/>
      <c r="BK9" s="4"/>
      <c r="BL9" s="157">
        <f>fechainicio</f>
        <v>45367</v>
      </c>
      <c r="BM9" s="157">
        <f>fechaterminacion</f>
        <v>45456</v>
      </c>
      <c r="BN9" s="108">
        <f>plazocalculado</f>
        <v>90</v>
      </c>
    </row>
    <row r="10" spans="1:66" ht="11.25" customHeight="1">
      <c r="A10" s="209" t="str">
        <f>razonsocial</f>
        <v>COMDIFIER S. R. L. DE C.V.</v>
      </c>
      <c r="B10" s="276"/>
      <c r="C10" s="1085"/>
      <c r="D10" s="276"/>
      <c r="E10" s="253"/>
      <c r="F10" s="30"/>
      <c r="G10" s="253"/>
      <c r="H10" s="203" t="str">
        <f>responsable</f>
        <v>ARQ. JORGE PULIDO GUZMÁNN</v>
      </c>
      <c r="I10" s="30"/>
      <c r="J10" s="30"/>
      <c r="K10" s="30"/>
      <c r="L10" s="292"/>
      <c r="M10" s="30"/>
      <c r="N10" s="292"/>
      <c r="O10" s="271"/>
      <c r="P10" s="30"/>
      <c r="Q10" s="98"/>
      <c r="R10" s="213"/>
      <c r="S10" s="294" t="str">
        <f>razonsocial</f>
        <v>COMDIFIER S. R. L. DE C.V.</v>
      </c>
      <c r="T10" s="30"/>
      <c r="U10" s="30"/>
      <c r="V10" s="30"/>
      <c r="W10" s="262"/>
      <c r="X10" s="288" t="str">
        <f>responsable</f>
        <v>ARQ. JORGE PULIDO GUZMÁNN</v>
      </c>
      <c r="Y10" s="30"/>
      <c r="Z10" s="30"/>
      <c r="AA10" s="98"/>
      <c r="AB10" s="165"/>
      <c r="AC10" s="98"/>
      <c r="AD10" s="213"/>
      <c r="AE10" s="294" t="str">
        <f>razonsocial</f>
        <v>COMDIFIER S. R. L. DE C.V.</v>
      </c>
      <c r="AF10" s="30"/>
      <c r="AG10" s="30"/>
      <c r="AH10" s="30"/>
      <c r="AI10" s="262"/>
      <c r="AJ10" s="288" t="str">
        <f>responsable</f>
        <v>ARQ. JORGE PULIDO GUZMÁNN</v>
      </c>
      <c r="AK10" s="30"/>
      <c r="AL10" s="30"/>
      <c r="AM10" s="98"/>
      <c r="AN10" s="165"/>
      <c r="AO10" s="98"/>
      <c r="AP10" s="213"/>
      <c r="AQ10" s="294" t="str">
        <f>razonsocial</f>
        <v>COMDIFIER S. R. L. DE C.V.</v>
      </c>
      <c r="AR10" s="30"/>
      <c r="AS10" s="30"/>
      <c r="AT10" s="30"/>
      <c r="AU10" s="262"/>
      <c r="AV10" s="288" t="str">
        <f>responsable</f>
        <v>ARQ. JORGE PULIDO GUZMÁNN</v>
      </c>
      <c r="AW10" s="30"/>
      <c r="AX10" s="30"/>
      <c r="AY10" s="98"/>
      <c r="AZ10" s="165"/>
      <c r="BA10" s="98"/>
      <c r="BB10" s="213"/>
      <c r="BC10" s="294" t="str">
        <f>razonsocial</f>
        <v>COMDIFIER S. R. L. DE C.V.</v>
      </c>
      <c r="BD10" s="30"/>
      <c r="BE10" s="30"/>
      <c r="BF10" s="30"/>
      <c r="BG10" s="262"/>
      <c r="BH10" s="288" t="str">
        <f>responsable</f>
        <v>ARQ. JORGE PULIDO GUZMÁNN</v>
      </c>
      <c r="BI10" s="30"/>
      <c r="BJ10" s="30"/>
      <c r="BK10" s="98"/>
      <c r="BL10" s="165"/>
      <c r="BM10" s="98"/>
      <c r="BN10" s="213"/>
    </row>
    <row r="11" spans="1:66" ht="12.75" customHeight="1" thickBot="1">
      <c r="A11" s="189" t="s">
        <v>515</v>
      </c>
      <c r="B11" s="4"/>
      <c r="C11" s="17"/>
      <c r="D11" s="4"/>
      <c r="E11" s="4"/>
      <c r="F11" s="4"/>
      <c r="G11" s="4"/>
      <c r="H11" s="76" t="str">
        <f>cargo</f>
        <v>REPRESENTANTE LEGAL</v>
      </c>
      <c r="I11" s="4"/>
      <c r="J11" s="4"/>
      <c r="K11" s="4"/>
      <c r="L11" s="4"/>
      <c r="M11" s="4"/>
      <c r="N11" s="4"/>
      <c r="O11" s="76" t="s">
        <v>60</v>
      </c>
      <c r="P11" s="4"/>
      <c r="Q11" s="29"/>
      <c r="R11" s="124"/>
      <c r="S11" s="122" t="s">
        <v>515</v>
      </c>
      <c r="T11" s="4"/>
      <c r="U11" s="4"/>
      <c r="V11" s="4"/>
      <c r="W11" s="58"/>
      <c r="X11" s="76" t="str">
        <f>cargo</f>
        <v>REPRESENTANTE LEGAL</v>
      </c>
      <c r="Y11" s="4"/>
      <c r="Z11" s="4"/>
      <c r="AA11" s="4"/>
      <c r="AB11" s="76" t="s">
        <v>60</v>
      </c>
      <c r="AC11" s="4"/>
      <c r="AD11" s="124"/>
      <c r="AE11" s="122" t="s">
        <v>515</v>
      </c>
      <c r="AF11" s="4"/>
      <c r="AG11" s="4"/>
      <c r="AH11" s="4"/>
      <c r="AI11" s="58"/>
      <c r="AJ11" s="76" t="str">
        <f>cargo</f>
        <v>REPRESENTANTE LEGAL</v>
      </c>
      <c r="AK11" s="4"/>
      <c r="AL11" s="4"/>
      <c r="AM11" s="4"/>
      <c r="AN11" s="76" t="s">
        <v>60</v>
      </c>
      <c r="AO11" s="4"/>
      <c r="AP11" s="124"/>
      <c r="AQ11" s="122" t="s">
        <v>515</v>
      </c>
      <c r="AR11" s="4"/>
      <c r="AS11" s="4"/>
      <c r="AT11" s="4"/>
      <c r="AU11" s="58"/>
      <c r="AV11" s="76" t="str">
        <f>cargo</f>
        <v>REPRESENTANTE LEGAL</v>
      </c>
      <c r="AW11" s="4"/>
      <c r="AX11" s="4"/>
      <c r="AY11" s="4"/>
      <c r="AZ11" s="76" t="s">
        <v>60</v>
      </c>
      <c r="BA11" s="4"/>
      <c r="BB11" s="124"/>
      <c r="BC11" s="122" t="s">
        <v>515</v>
      </c>
      <c r="BD11" s="4"/>
      <c r="BE11" s="4"/>
      <c r="BF11" s="4"/>
      <c r="BG11" s="58"/>
      <c r="BH11" s="76" t="str">
        <f>cargo</f>
        <v>REPRESENTANTE LEGAL</v>
      </c>
      <c r="BI11" s="4"/>
      <c r="BJ11" s="4"/>
      <c r="BK11" s="4"/>
      <c r="BL11" s="76" t="s">
        <v>60</v>
      </c>
      <c r="BM11" s="4"/>
      <c r="BN11" s="124"/>
    </row>
    <row r="12" spans="1:66" ht="11.25" customHeight="1" thickTop="1">
      <c r="A12" s="355" t="s">
        <v>322</v>
      </c>
      <c r="B12" s="25"/>
      <c r="C12" s="129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183"/>
      <c r="S12" s="82" t="str">
        <f>A12</f>
        <v>PROGRAMA DE EROGACION MENSUAL DE UTILIZACION DE PERSONAL PROFESIONAL TECNICO, ADMINISTRATIVO Y DE SERVICIO ENCARGADO DE LA DIRECCION,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183"/>
      <c r="AE12" s="82" t="str">
        <f>A12</f>
        <v>PROGRAMA DE EROGACION MENSUAL DE UTILIZACION DE PERSONAL PROFESIONAL TECNICO, ADMINISTRATIVO Y DE SERVICIO ENCARGADO DE LA DIRECCION,</v>
      </c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183"/>
      <c r="AQ12" s="82" t="str">
        <f>A12</f>
        <v>PROGRAMA DE EROGACION MENSUAL DE UTILIZACION DE PERSONAL PROFESIONAL TECNICO, ADMINISTRATIVO Y DE SERVICIO ENCARGADO DE LA DIRECCION,</v>
      </c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355" t="str">
        <f>A12</f>
        <v>PROGRAMA DE EROGACION MENSUAL DE UTILIZACION DE PERSONAL PROFESIONAL TECNICO, ADMINISTRATIVO Y DE SERVICIO ENCARGADO DE LA DIRECCION,</v>
      </c>
      <c r="BD12" s="82"/>
      <c r="BE12" s="25"/>
      <c r="BF12" s="25"/>
      <c r="BG12" s="25"/>
      <c r="BH12" s="25"/>
      <c r="BI12" s="25"/>
      <c r="BJ12" s="25"/>
      <c r="BK12" s="25"/>
      <c r="BL12" s="25"/>
      <c r="BM12" s="25"/>
      <c r="BN12" s="183"/>
    </row>
    <row r="13" spans="1:66" ht="11.25" customHeight="1">
      <c r="A13" s="386" t="str">
        <f>"SUPERVISION Y ADMINISTRACION DE LOS TRABAJOS"&amp;IF(DatosObra!E64=1,"  en No. De PERSONAS",IF(DatosObra!E64=2," EN JORNALES","  Horas Hombre"))</f>
        <v>SUPERVISION Y ADMINISTRACION DE LOS TRABAJOS  Horas Hombre</v>
      </c>
      <c r="B13" s="26"/>
      <c r="C13" s="281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175"/>
      <c r="S13" s="109" t="str">
        <f>A13</f>
        <v>SUPERVISION Y ADMINISTRACION DE LOS TRABAJOS  Horas Hombre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175"/>
      <c r="AE13" s="109" t="str">
        <f>A13</f>
        <v>SUPERVISION Y ADMINISTRACION DE LOS TRABAJOS  Horas Hombre</v>
      </c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175"/>
      <c r="AQ13" s="109" t="str">
        <f>A13</f>
        <v>SUPERVISION Y ADMINISTRACION DE LOS TRABAJOS  Horas Hombre</v>
      </c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386" t="str">
        <f>A13</f>
        <v>SUPERVISION Y ADMINISTRACION DE LOS TRABAJOS  Horas Hombre</v>
      </c>
      <c r="BD13" s="109"/>
      <c r="BE13" s="26"/>
      <c r="BF13" s="26"/>
      <c r="BG13" s="26"/>
      <c r="BH13" s="26"/>
      <c r="BI13" s="26"/>
      <c r="BJ13" s="26"/>
      <c r="BK13" s="26"/>
      <c r="BL13" s="26"/>
      <c r="BM13" s="26"/>
      <c r="BN13" s="175"/>
    </row>
    <row r="14" spans="1:66" ht="11.25" customHeight="1">
      <c r="A14" s="461"/>
      <c r="B14" s="177"/>
      <c r="C14" s="1143" t="s">
        <v>135</v>
      </c>
      <c r="D14" s="1143" t="s">
        <v>417</v>
      </c>
      <c r="E14" s="1043" t="s">
        <v>304</v>
      </c>
      <c r="F14" s="24" t="s">
        <v>100</v>
      </c>
      <c r="G14" s="113">
        <f>'d)Pers.Técnico'!E14</f>
        <v>2022</v>
      </c>
      <c r="H14" s="113">
        <f>'d)Pers.Técnico'!F14</f>
        <v>2022</v>
      </c>
      <c r="I14" s="113">
        <f>'d)Pers.Técnico'!G14</f>
        <v>2022</v>
      </c>
      <c r="J14" s="113">
        <f>'d)Pers.Técnico'!H14</f>
        <v>0</v>
      </c>
      <c r="K14" s="113">
        <f>'d)Pers.Técnico'!I14</f>
        <v>0</v>
      </c>
      <c r="L14" s="113">
        <f>'d)Pers.Técnico'!J14</f>
        <v>0</v>
      </c>
      <c r="M14" s="113">
        <f>'d)Pers.Técnico'!K14</f>
        <v>0</v>
      </c>
      <c r="N14" s="113">
        <f>'d)Pers.Técnico'!L14</f>
        <v>0</v>
      </c>
      <c r="O14" s="113">
        <f>'d)Pers.Técnico'!M14</f>
        <v>0</v>
      </c>
      <c r="P14" s="113">
        <f>'d)Pers.Técnico'!N14</f>
        <v>0</v>
      </c>
      <c r="Q14" s="113">
        <f>'d)Pers.Técnico'!O14</f>
        <v>0</v>
      </c>
      <c r="R14" s="108">
        <f>'d)Pers.Técnico'!P14</f>
        <v>0</v>
      </c>
      <c r="S14" s="325">
        <f>'d)Pers.Técnico'!Q14</f>
        <v>0</v>
      </c>
      <c r="T14" s="24">
        <f>'d)Pers.Técnico'!R14</f>
        <v>0</v>
      </c>
      <c r="U14" s="24">
        <f>'d)Pers.Técnico'!S14</f>
        <v>0</v>
      </c>
      <c r="V14" s="24">
        <f>'d)Pers.Técnico'!T14</f>
        <v>0</v>
      </c>
      <c r="W14" s="24">
        <f>'d)Pers.Técnico'!U14</f>
        <v>0</v>
      </c>
      <c r="X14" s="24">
        <f>'d)Pers.Técnico'!V14</f>
        <v>0</v>
      </c>
      <c r="Y14" s="24">
        <f>'d)Pers.Técnico'!W14</f>
        <v>0</v>
      </c>
      <c r="Z14" s="24">
        <f>'d)Pers.Técnico'!X14</f>
        <v>0</v>
      </c>
      <c r="AA14" s="24">
        <f>'d)Pers.Técnico'!Y14</f>
        <v>0</v>
      </c>
      <c r="AB14" s="24">
        <f>'d)Pers.Técnico'!Z14</f>
        <v>0</v>
      </c>
      <c r="AC14" s="24">
        <f>'d)Pers.Técnico'!AA14</f>
        <v>0</v>
      </c>
      <c r="AD14" s="108">
        <f>'d)Pers.Técnico'!AB14</f>
        <v>0</v>
      </c>
      <c r="AE14" s="325">
        <f>'d)Pers.Técnico'!AC14</f>
        <v>0</v>
      </c>
      <c r="AF14" s="24">
        <f>'d)Pers.Técnico'!AD14</f>
        <v>0</v>
      </c>
      <c r="AG14" s="24">
        <f>'d)Pers.Técnico'!AE14</f>
        <v>0</v>
      </c>
      <c r="AH14" s="24">
        <f>'d)Pers.Técnico'!AF14</f>
        <v>0</v>
      </c>
      <c r="AI14" s="24">
        <f>'d)Pers.Técnico'!AG14</f>
        <v>0</v>
      </c>
      <c r="AJ14" s="24">
        <f>'d)Pers.Técnico'!AH14</f>
        <v>0</v>
      </c>
      <c r="AK14" s="24">
        <f>'d)Pers.Técnico'!AI14</f>
        <v>0</v>
      </c>
      <c r="AL14" s="24">
        <f>'d)Pers.Técnico'!AJ14</f>
        <v>0</v>
      </c>
      <c r="AM14" s="24">
        <f>'d)Pers.Técnico'!AK14</f>
        <v>0</v>
      </c>
      <c r="AN14" s="24">
        <f>'d)Pers.Técnico'!AL14</f>
        <v>0</v>
      </c>
      <c r="AO14" s="24">
        <f>'d)Pers.Técnico'!AM14</f>
        <v>0</v>
      </c>
      <c r="AP14" s="195">
        <f>'d)Pers.Técnico'!AN14</f>
        <v>0</v>
      </c>
      <c r="AQ14" s="325">
        <f>'d)Pers.Técnico'!AO14</f>
        <v>0</v>
      </c>
      <c r="AR14" s="24">
        <f>'d)Pers.Técnico'!AP14</f>
        <v>0</v>
      </c>
      <c r="AS14" s="24">
        <f>'d)Pers.Técnico'!AQ14</f>
        <v>0</v>
      </c>
      <c r="AT14" s="24">
        <f>'d)Pers.Técnico'!AR14</f>
        <v>0</v>
      </c>
      <c r="AU14" s="24">
        <f>'d)Pers.Técnico'!AS14</f>
        <v>0</v>
      </c>
      <c r="AV14" s="24">
        <f>'d)Pers.Técnico'!AT14</f>
        <v>0</v>
      </c>
      <c r="AW14" s="24">
        <f>'d)Pers.Técnico'!AU14</f>
        <v>0</v>
      </c>
      <c r="AX14" s="24">
        <f>'d)Pers.Técnico'!AV14</f>
        <v>0</v>
      </c>
      <c r="AY14" s="24">
        <f>'d)Pers.Técnico'!AW14</f>
        <v>0</v>
      </c>
      <c r="AZ14" s="24">
        <f>'d)Pers.Técnico'!AX14</f>
        <v>0</v>
      </c>
      <c r="BA14" s="24">
        <f>'d)Pers.Técnico'!AY14</f>
        <v>0</v>
      </c>
      <c r="BB14" s="481">
        <f>'d)Pers.Técnico'!AZ14</f>
        <v>0</v>
      </c>
      <c r="BC14" s="663">
        <f>'d)Pers.Técnico'!BA14</f>
        <v>0</v>
      </c>
      <c r="BD14" s="24">
        <f>'d)Pers.Técnico'!BB14</f>
        <v>0</v>
      </c>
      <c r="BE14" s="24">
        <f>'d)Pers.Técnico'!BC14</f>
        <v>0</v>
      </c>
      <c r="BF14" s="24">
        <f>'d)Pers.Técnico'!BD14</f>
        <v>0</v>
      </c>
      <c r="BG14" s="24">
        <f>'d)Pers.Técnico'!BE14</f>
        <v>0</v>
      </c>
      <c r="BH14" s="24">
        <f>'d)Pers.Técnico'!BF14</f>
        <v>0</v>
      </c>
      <c r="BI14" s="24">
        <f>'d)Pers.Técnico'!BG14</f>
        <v>0</v>
      </c>
      <c r="BJ14" s="24">
        <f>'d)Pers.Técnico'!BH14</f>
        <v>0</v>
      </c>
      <c r="BK14" s="24">
        <f>'d)Pers.Técnico'!BI14</f>
        <v>0</v>
      </c>
      <c r="BL14" s="24">
        <f>'d)Pers.Técnico'!BJ14</f>
        <v>0</v>
      </c>
      <c r="BM14" s="24">
        <f>'d)Pers.Técnico'!BK14</f>
        <v>0</v>
      </c>
      <c r="BN14" s="192">
        <f>'d)Pers.Técnico'!BL14</f>
        <v>0</v>
      </c>
    </row>
    <row r="15" spans="1:66" ht="11.25" customHeight="1" thickBot="1">
      <c r="A15" s="876" t="s">
        <v>84</v>
      </c>
      <c r="B15" s="460" t="s">
        <v>445</v>
      </c>
      <c r="C15" s="1144"/>
      <c r="D15" s="1144"/>
      <c r="E15" s="422" t="s">
        <v>75</v>
      </c>
      <c r="F15" s="392" t="s">
        <v>436</v>
      </c>
      <c r="G15" s="626" t="str">
        <f>'d)Pers.Técnico'!E15</f>
        <v>Mes1</v>
      </c>
      <c r="H15" s="146" t="str">
        <f>'d)Pers.Técnico'!F15</f>
        <v>Mes2</v>
      </c>
      <c r="I15" s="804" t="str">
        <f>'d)Pers.Técnico'!G15</f>
        <v>Mes3</v>
      </c>
      <c r="J15" s="146">
        <f>'d)Pers.Técnico'!H15</f>
        <v>0</v>
      </c>
      <c r="K15" s="146">
        <f>'d)Pers.Técnico'!I15</f>
        <v>0</v>
      </c>
      <c r="L15" s="146">
        <f>'d)Pers.Técnico'!J15</f>
        <v>0</v>
      </c>
      <c r="M15" s="146">
        <f>'d)Pers.Técnico'!K15</f>
        <v>0</v>
      </c>
      <c r="N15" s="146">
        <f>'d)Pers.Técnico'!L15</f>
        <v>0</v>
      </c>
      <c r="O15" s="146">
        <f>'d)Pers.Técnico'!M15</f>
        <v>0</v>
      </c>
      <c r="P15" s="146">
        <f>'d)Pers.Técnico'!N15</f>
        <v>0</v>
      </c>
      <c r="Q15" s="146">
        <f>'d)Pers.Técnico'!O15</f>
        <v>0</v>
      </c>
      <c r="R15" s="335">
        <f>'d)Pers.Técnico'!P15</f>
        <v>0</v>
      </c>
      <c r="S15" s="327">
        <f>'d)Pers.Técnico'!Q15</f>
        <v>0</v>
      </c>
      <c r="T15" s="65">
        <f>'d)Pers.Técnico'!R15</f>
        <v>0</v>
      </c>
      <c r="U15" s="65">
        <f>'d)Pers.Técnico'!S15</f>
        <v>0</v>
      </c>
      <c r="V15" s="65">
        <f>'d)Pers.Técnico'!T15</f>
        <v>0</v>
      </c>
      <c r="W15" s="65">
        <f>'d)Pers.Técnico'!U15</f>
        <v>0</v>
      </c>
      <c r="X15" s="65">
        <f>'d)Pers.Técnico'!V15</f>
        <v>0</v>
      </c>
      <c r="Y15" s="65">
        <f>'d)Pers.Técnico'!W15</f>
        <v>0</v>
      </c>
      <c r="Z15" s="65">
        <f>'d)Pers.Técnico'!X15</f>
        <v>0</v>
      </c>
      <c r="AA15" s="65">
        <f>'d)Pers.Técnico'!Y15</f>
        <v>0</v>
      </c>
      <c r="AB15" s="65">
        <f>'d)Pers.Técnico'!Z15</f>
        <v>0</v>
      </c>
      <c r="AC15" s="65">
        <f>'d)Pers.Técnico'!AA15</f>
        <v>0</v>
      </c>
      <c r="AD15" s="335">
        <f>'d)Pers.Técnico'!AB15</f>
        <v>0</v>
      </c>
      <c r="AE15" s="327">
        <f>'d)Pers.Técnico'!AC15</f>
        <v>0</v>
      </c>
      <c r="AF15" s="65">
        <f>'d)Pers.Técnico'!AD15</f>
        <v>0</v>
      </c>
      <c r="AG15" s="65">
        <f>'d)Pers.Técnico'!AE15</f>
        <v>0</v>
      </c>
      <c r="AH15" s="65">
        <f>'d)Pers.Técnico'!AF15</f>
        <v>0</v>
      </c>
      <c r="AI15" s="65">
        <f>'d)Pers.Técnico'!AG15</f>
        <v>0</v>
      </c>
      <c r="AJ15" s="65">
        <f>'d)Pers.Técnico'!AH15</f>
        <v>0</v>
      </c>
      <c r="AK15" s="65">
        <f>'d)Pers.Técnico'!AI15</f>
        <v>0</v>
      </c>
      <c r="AL15" s="65">
        <f>'d)Pers.Técnico'!AJ15</f>
        <v>0</v>
      </c>
      <c r="AM15" s="65">
        <f>'d)Pers.Técnico'!AK15</f>
        <v>0</v>
      </c>
      <c r="AN15" s="65">
        <f>'d)Pers.Técnico'!AL15</f>
        <v>0</v>
      </c>
      <c r="AO15" s="65">
        <f>'d)Pers.Técnico'!AM15</f>
        <v>0</v>
      </c>
      <c r="AP15" s="335">
        <f>'d)Pers.Técnico'!AN15</f>
        <v>0</v>
      </c>
      <c r="AQ15" s="327">
        <f>'d)Pers.Técnico'!AO15</f>
        <v>0</v>
      </c>
      <c r="AR15" s="65">
        <f>'d)Pers.Técnico'!AP15</f>
        <v>0</v>
      </c>
      <c r="AS15" s="65">
        <f>'d)Pers.Técnico'!AQ15</f>
        <v>0</v>
      </c>
      <c r="AT15" s="65">
        <f>'d)Pers.Técnico'!AR15</f>
        <v>0</v>
      </c>
      <c r="AU15" s="65">
        <f>'d)Pers.Técnico'!AS15</f>
        <v>0</v>
      </c>
      <c r="AV15" s="65">
        <f>'d)Pers.Técnico'!AT15</f>
        <v>0</v>
      </c>
      <c r="AW15" s="65">
        <f>'d)Pers.Técnico'!AU15</f>
        <v>0</v>
      </c>
      <c r="AX15" s="65">
        <f>'d)Pers.Técnico'!AV15</f>
        <v>0</v>
      </c>
      <c r="AY15" s="65">
        <f>'d)Pers.Técnico'!AW15</f>
        <v>0</v>
      </c>
      <c r="AZ15" s="65">
        <f>'d)Pers.Técnico'!AX15</f>
        <v>0</v>
      </c>
      <c r="BA15" s="65">
        <f>'d)Pers.Técnico'!AY15</f>
        <v>0</v>
      </c>
      <c r="BB15" s="620">
        <f>'d)Pers.Técnico'!AZ15</f>
        <v>0</v>
      </c>
      <c r="BC15" s="703">
        <f>'d)Pers.Técnico'!BA15</f>
        <v>0</v>
      </c>
      <c r="BD15" s="65">
        <f>'d)Pers.Técnico'!BB15</f>
        <v>0</v>
      </c>
      <c r="BE15" s="65">
        <f>'d)Pers.Técnico'!BC15</f>
        <v>0</v>
      </c>
      <c r="BF15" s="65">
        <f>'d)Pers.Técnico'!BD15</f>
        <v>0</v>
      </c>
      <c r="BG15" s="65">
        <f>'d)Pers.Técnico'!BE15</f>
        <v>0</v>
      </c>
      <c r="BH15" s="65">
        <f>'d)Pers.Técnico'!BF15</f>
        <v>0</v>
      </c>
      <c r="BI15" s="65">
        <f>'d)Pers.Técnico'!BG15</f>
        <v>0</v>
      </c>
      <c r="BJ15" s="65">
        <f>'d)Pers.Técnico'!BH15</f>
        <v>0</v>
      </c>
      <c r="BK15" s="65">
        <f>'d)Pers.Técnico'!BI15</f>
        <v>0</v>
      </c>
      <c r="BL15" s="65">
        <f>'d)Pers.Técnico'!BJ15</f>
        <v>0</v>
      </c>
      <c r="BM15" s="65">
        <f>'d)Pers.Técnico'!BK15</f>
        <v>0</v>
      </c>
      <c r="BN15" s="823">
        <f>'d)Pers.Técnico'!BL15</f>
        <v>0</v>
      </c>
    </row>
    <row r="16" spans="1:66" ht="11.25" hidden="1" customHeight="1" thickTop="1">
      <c r="A16" s="129"/>
      <c r="B16" s="129"/>
      <c r="C16" s="319"/>
      <c r="D16" s="319"/>
      <c r="E16" s="129"/>
      <c r="F16" s="129"/>
      <c r="G16" s="40">
        <f>Programa!$B13</f>
        <v>1</v>
      </c>
      <c r="H16" s="40">
        <f>Programa!$B14</f>
        <v>2</v>
      </c>
      <c r="I16" s="40">
        <f>Programa!$B15</f>
        <v>3</v>
      </c>
      <c r="J16" s="40">
        <f>Programa!$B16</f>
        <v>0</v>
      </c>
      <c r="K16" s="40">
        <f>Programa!$B17</f>
        <v>0</v>
      </c>
      <c r="L16" s="40">
        <f>Programa!$B18</f>
        <v>0</v>
      </c>
      <c r="M16" s="40">
        <f>Programa!$B19</f>
        <v>0</v>
      </c>
      <c r="N16" s="40">
        <f>Programa!$B20</f>
        <v>0</v>
      </c>
      <c r="O16" s="40">
        <f>Programa!$B21</f>
        <v>0</v>
      </c>
      <c r="P16" s="40">
        <f>Programa!$B22</f>
        <v>0</v>
      </c>
      <c r="Q16" s="40">
        <f>Programa!$B23</f>
        <v>0</v>
      </c>
      <c r="R16" s="40">
        <f>Programa!$B24</f>
        <v>0</v>
      </c>
      <c r="S16" s="40">
        <f>Programa!$B25</f>
        <v>0</v>
      </c>
      <c r="T16" s="40">
        <f>Programa!$B26</f>
        <v>0</v>
      </c>
      <c r="U16" s="40">
        <f>Programa!$B27</f>
        <v>0</v>
      </c>
      <c r="V16" s="40">
        <f>Programa!$B28</f>
        <v>0</v>
      </c>
      <c r="W16" s="40">
        <f>Programa!$B29</f>
        <v>0</v>
      </c>
      <c r="X16" s="40">
        <f>Programa!$B30</f>
        <v>0</v>
      </c>
      <c r="Y16" s="40">
        <f>Programa!$B31</f>
        <v>0</v>
      </c>
      <c r="Z16" s="40">
        <f>Programa!$B32</f>
        <v>0</v>
      </c>
      <c r="AA16" s="40">
        <f>Programa!$B33</f>
        <v>0</v>
      </c>
      <c r="AB16" s="40">
        <f>Programa!$B34</f>
        <v>0</v>
      </c>
      <c r="AC16" s="40">
        <f>Programa!$B35</f>
        <v>0</v>
      </c>
      <c r="AD16" s="40">
        <f>Programa!$B36</f>
        <v>0</v>
      </c>
      <c r="AE16" s="40">
        <f>Programa!$B37</f>
        <v>0</v>
      </c>
      <c r="AF16" s="40">
        <f>Programa!$B38</f>
        <v>0</v>
      </c>
      <c r="AG16" s="40">
        <f>Programa!$B39</f>
        <v>0</v>
      </c>
      <c r="AH16" s="40">
        <f>Programa!$B40</f>
        <v>0</v>
      </c>
      <c r="AI16" s="40">
        <f>Programa!$B41</f>
        <v>0</v>
      </c>
      <c r="AJ16" s="40">
        <f>Programa!$B42</f>
        <v>0</v>
      </c>
      <c r="AK16" s="40">
        <f>Programa!$B43</f>
        <v>0</v>
      </c>
      <c r="AL16" s="40">
        <f>Programa!$B44</f>
        <v>0</v>
      </c>
      <c r="AM16" s="40">
        <f>Programa!$B45</f>
        <v>0</v>
      </c>
      <c r="AN16" s="40">
        <f>Programa!$B46</f>
        <v>0</v>
      </c>
      <c r="AO16" s="40">
        <f>Programa!$B47</f>
        <v>0</v>
      </c>
      <c r="AP16" s="40">
        <f>Programa!$B48</f>
        <v>0</v>
      </c>
      <c r="AQ16" s="40">
        <f>Programa!$B49</f>
        <v>0</v>
      </c>
      <c r="AR16" s="40">
        <f>Programa!$B50</f>
        <v>0</v>
      </c>
      <c r="AS16" s="40">
        <f>Programa!$B51</f>
        <v>0</v>
      </c>
      <c r="AT16" s="40">
        <f>Programa!$B52</f>
        <v>0</v>
      </c>
      <c r="AU16" s="40">
        <f>Programa!$B53</f>
        <v>0</v>
      </c>
      <c r="AV16" s="40">
        <f>Programa!$B54</f>
        <v>0</v>
      </c>
      <c r="AW16" s="40">
        <f>Programa!$B55</f>
        <v>0</v>
      </c>
      <c r="AX16" s="40">
        <f>Programa!$B56</f>
        <v>0</v>
      </c>
      <c r="AY16" s="40">
        <f>Programa!$B57</f>
        <v>0</v>
      </c>
      <c r="AZ16" s="40">
        <f>Programa!$B58</f>
        <v>0</v>
      </c>
      <c r="BA16" s="40">
        <f>Programa!$B59</f>
        <v>0</v>
      </c>
      <c r="BB16" s="40">
        <f>Programa!$B60</f>
        <v>0</v>
      </c>
      <c r="BC16" s="40">
        <f>Programa!$B61</f>
        <v>0</v>
      </c>
      <c r="BD16" s="40">
        <f>Programa!$B62</f>
        <v>0</v>
      </c>
      <c r="BE16" s="40">
        <f>Programa!$B63</f>
        <v>0</v>
      </c>
      <c r="BF16" s="40">
        <f>Programa!$B64</f>
        <v>0</v>
      </c>
      <c r="BG16" s="40">
        <f>Programa!$B65</f>
        <v>0</v>
      </c>
      <c r="BH16" s="40">
        <f>Programa!$B66</f>
        <v>0</v>
      </c>
      <c r="BI16" s="40">
        <f>Programa!$B67</f>
        <v>0</v>
      </c>
      <c r="BJ16" s="40">
        <f>Programa!$B68</f>
        <v>0</v>
      </c>
      <c r="BK16" s="40">
        <f>Programa!$B69</f>
        <v>0</v>
      </c>
      <c r="BL16" s="40">
        <f>Programa!$B70</f>
        <v>0</v>
      </c>
      <c r="BM16" s="40">
        <f>Programa!$B71</f>
        <v>0</v>
      </c>
      <c r="BN16" s="40">
        <f>Programa!$B72</f>
        <v>0</v>
      </c>
    </row>
    <row r="17" spans="1:66" ht="11.25" customHeight="1" thickTop="1">
      <c r="A17" s="249" t="str">
        <f>'d)Pers.Técnico'!A16</f>
        <v>PERSONAL DE OFICINA DE CAMPO</v>
      </c>
      <c r="B17" s="4"/>
      <c r="C17" s="60" t="s">
        <v>168</v>
      </c>
      <c r="D17" s="499"/>
      <c r="E17" s="499" t="s">
        <v>168</v>
      </c>
      <c r="F17" s="707" t="s">
        <v>242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227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227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227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227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227"/>
    </row>
    <row r="18" spans="1:66" ht="11.25" customHeight="1">
      <c r="A18" s="178" t="str">
        <f>'d)Pers.Técnico'!A18</f>
        <v>Personal técnico incluye: Prestaciones</v>
      </c>
      <c r="B18" s="4"/>
      <c r="C18" s="60"/>
      <c r="D18" s="499"/>
      <c r="E18" s="499" t="s">
        <v>453</v>
      </c>
      <c r="F18" s="910" t="s">
        <v>203</v>
      </c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227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227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227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227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227"/>
    </row>
    <row r="19" spans="1:66" ht="12" customHeight="1">
      <c r="A19" s="378"/>
      <c r="B19" s="232"/>
      <c r="C19" s="650"/>
      <c r="D19" s="403"/>
      <c r="E19" s="403" t="s">
        <v>168</v>
      </c>
      <c r="F19" s="918" t="s">
        <v>56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225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225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225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225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225"/>
    </row>
    <row r="20" spans="1:66">
      <c r="A20" s="204"/>
      <c r="B20" s="30"/>
      <c r="C20" s="228"/>
      <c r="D20" s="745"/>
      <c r="E20" s="493"/>
      <c r="F20" s="493"/>
      <c r="G20" s="45">
        <f>'d)Pers.Técnico'!E20</f>
        <v>10.24</v>
      </c>
      <c r="H20" s="45">
        <f>'d)Pers.Técnico'!F20</f>
        <v>19.2</v>
      </c>
      <c r="I20" s="45">
        <f>'d)Pers.Técnico'!G20</f>
        <v>18.559999999999999</v>
      </c>
      <c r="J20" s="45">
        <f>'d)Pers.Técnico'!H20</f>
        <v>0</v>
      </c>
      <c r="K20" s="45">
        <f>'d)Pers.Técnico'!I20</f>
        <v>0</v>
      </c>
      <c r="L20" s="45">
        <f>'d)Pers.Técnico'!J20</f>
        <v>0</v>
      </c>
      <c r="M20" s="45">
        <f>'d)Pers.Técnico'!K20</f>
        <v>0</v>
      </c>
      <c r="N20" s="45">
        <f>'d)Pers.Técnico'!L20</f>
        <v>0</v>
      </c>
      <c r="O20" s="45">
        <f>'d)Pers.Técnico'!M20</f>
        <v>0</v>
      </c>
      <c r="P20" s="45">
        <f>'d)Pers.Técnico'!N20</f>
        <v>0</v>
      </c>
      <c r="Q20" s="45">
        <f>'d)Pers.Técnico'!O20</f>
        <v>0</v>
      </c>
      <c r="R20" s="215">
        <f>'d)Pers.Técnico'!P20</f>
        <v>0</v>
      </c>
      <c r="S20" s="354">
        <f>'d)Pers.Técnico'!Q20</f>
        <v>0</v>
      </c>
      <c r="T20" s="45">
        <f>'d)Pers.Técnico'!R20</f>
        <v>0</v>
      </c>
      <c r="U20" s="45">
        <f>'d)Pers.Técnico'!S20</f>
        <v>0</v>
      </c>
      <c r="V20" s="45">
        <f>'d)Pers.Técnico'!T20</f>
        <v>0</v>
      </c>
      <c r="W20" s="45">
        <f>'d)Pers.Técnico'!U20</f>
        <v>0</v>
      </c>
      <c r="X20" s="45">
        <f>'d)Pers.Técnico'!V20</f>
        <v>0</v>
      </c>
      <c r="Y20" s="45">
        <f>'d)Pers.Técnico'!W20</f>
        <v>0</v>
      </c>
      <c r="Z20" s="45">
        <f>'d)Pers.Técnico'!X20</f>
        <v>0</v>
      </c>
      <c r="AA20" s="45">
        <f>'d)Pers.Técnico'!Y20</f>
        <v>0</v>
      </c>
      <c r="AB20" s="45">
        <f>'d)Pers.Técnico'!Z20</f>
        <v>0</v>
      </c>
      <c r="AC20" s="45">
        <f>'d)Pers.Técnico'!AA20</f>
        <v>0</v>
      </c>
      <c r="AD20" s="215">
        <f>'d)Pers.Técnico'!AB20</f>
        <v>0</v>
      </c>
      <c r="AE20" s="354">
        <f>'d)Pers.Técnico'!AC20</f>
        <v>0</v>
      </c>
      <c r="AF20" s="45">
        <f>'d)Pers.Técnico'!AD20</f>
        <v>0</v>
      </c>
      <c r="AG20" s="45">
        <f>'d)Pers.Técnico'!AE20</f>
        <v>0</v>
      </c>
      <c r="AH20" s="45">
        <f>'d)Pers.Técnico'!AF20</f>
        <v>0</v>
      </c>
      <c r="AI20" s="45">
        <f>'d)Pers.Técnico'!AG20</f>
        <v>0</v>
      </c>
      <c r="AJ20" s="45">
        <f>'d)Pers.Técnico'!AH20</f>
        <v>0</v>
      </c>
      <c r="AK20" s="45">
        <f>'d)Pers.Técnico'!AI20</f>
        <v>0</v>
      </c>
      <c r="AL20" s="45">
        <f>'d)Pers.Técnico'!AJ20</f>
        <v>0</v>
      </c>
      <c r="AM20" s="45">
        <f>'d)Pers.Técnico'!AK20</f>
        <v>0</v>
      </c>
      <c r="AN20" s="45">
        <f>'d)Pers.Técnico'!AL20</f>
        <v>0</v>
      </c>
      <c r="AO20" s="45">
        <f>'d)Pers.Técnico'!AM20</f>
        <v>0</v>
      </c>
      <c r="AP20" s="215">
        <f>'d)Pers.Técnico'!AN20</f>
        <v>0</v>
      </c>
      <c r="AQ20" s="354">
        <f>'d)Pers.Técnico'!AO20</f>
        <v>0</v>
      </c>
      <c r="AR20" s="45">
        <f>'d)Pers.Técnico'!AP20</f>
        <v>0</v>
      </c>
      <c r="AS20" s="45">
        <f>'d)Pers.Técnico'!AQ20</f>
        <v>0</v>
      </c>
      <c r="AT20" s="45">
        <f>'d)Pers.Técnico'!AR20</f>
        <v>0</v>
      </c>
      <c r="AU20" s="45">
        <f>'d)Pers.Técnico'!AS20</f>
        <v>0</v>
      </c>
      <c r="AV20" s="45">
        <f>'d)Pers.Técnico'!AT20</f>
        <v>0</v>
      </c>
      <c r="AW20" s="45">
        <f>'d)Pers.Técnico'!AU20</f>
        <v>0</v>
      </c>
      <c r="AX20" s="45">
        <f>'d)Pers.Técnico'!AV20</f>
        <v>0</v>
      </c>
      <c r="AY20" s="45">
        <f>'d)Pers.Técnico'!AW20</f>
        <v>0</v>
      </c>
      <c r="AZ20" s="45">
        <f>'d)Pers.Técnico'!AX20</f>
        <v>0</v>
      </c>
      <c r="BA20" s="45">
        <f>'d)Pers.Técnico'!AY20</f>
        <v>0</v>
      </c>
      <c r="BB20" s="215">
        <f>'d)Pers.Técnico'!AZ20</f>
        <v>0</v>
      </c>
      <c r="BC20" s="880">
        <f>'d)Pers.Técnico'!BA20</f>
        <v>0</v>
      </c>
      <c r="BD20" s="45">
        <f>'d)Pers.Técnico'!BB20</f>
        <v>0</v>
      </c>
      <c r="BE20" s="45">
        <f>'d)Pers.Técnico'!BC20</f>
        <v>0</v>
      </c>
      <c r="BF20" s="45">
        <f>'d)Pers.Técnico'!BD20</f>
        <v>0</v>
      </c>
      <c r="BG20" s="45">
        <f>'d)Pers.Técnico'!BE20</f>
        <v>0</v>
      </c>
      <c r="BH20" s="45">
        <f>'d)Pers.Técnico'!BF20</f>
        <v>0</v>
      </c>
      <c r="BI20" s="45">
        <f>'d)Pers.Técnico'!BG20</f>
        <v>0</v>
      </c>
      <c r="BJ20" s="45">
        <f>'d)Pers.Técnico'!BH20</f>
        <v>0</v>
      </c>
      <c r="BK20" s="45">
        <f>'d)Pers.Técnico'!BI20</f>
        <v>0</v>
      </c>
      <c r="BL20" s="45">
        <f>'d)Pers.Técnico'!BJ20</f>
        <v>0</v>
      </c>
      <c r="BM20" s="45">
        <f>'d)Pers.Técnico'!BK20</f>
        <v>0</v>
      </c>
      <c r="BN20" s="215">
        <f>'d)Pers.Técnico'!BL20</f>
        <v>0</v>
      </c>
    </row>
    <row r="21" spans="1:66">
      <c r="A21" s="554" t="s">
        <v>168</v>
      </c>
      <c r="B21" s="46" t="str">
        <f>+'d)Pers.Técnico'!B20</f>
        <v>SUPERINTENDENTE</v>
      </c>
      <c r="C21" s="127" t="str">
        <f>'d)Pers.Técnico'!C20</f>
        <v>horas-Hombre</v>
      </c>
      <c r="D21" s="52">
        <f>SUM(G20:BN20)</f>
        <v>48</v>
      </c>
      <c r="E21" s="7">
        <f>IF('a)Plantilla'!C7&gt;0,'a)Plantilla'!D7/30,0)</f>
        <v>1000</v>
      </c>
      <c r="F21" s="7">
        <f>SUM(G21:BN21)</f>
        <v>6000</v>
      </c>
      <c r="G21" s="2">
        <f>IF(TipoProgramaPersonalTecnico=1,$E21*'a)Plantilla'!$C7*Programa!D$13,IF(TipoProgramaPersonalTecnico=2,$E21*G20,$E21/Hjor*G20))</f>
        <v>1280</v>
      </c>
      <c r="H21" s="2">
        <f>IF(TipoProgramaPersonalTecnico=1,$E21*'a)Plantilla'!$C7*Programa!D$14,IF(TipoProgramaPersonalTecnico=2,$E21*H20,$E21/Hjor*H20))</f>
        <v>2400</v>
      </c>
      <c r="I21" s="2">
        <f>IF(TipoProgramaPersonalTecnico=1,$E21*'a)Plantilla'!$C7*Programa!D$15,IF(TipoProgramaPersonalTecnico=2,$E21*I20,$E21/Hjor*I20))</f>
        <v>2320</v>
      </c>
      <c r="J21" s="2">
        <f>IF(TipoProgramaPersonalTecnico=1,$E21*'a)Plantilla'!$C7*Programa!D$16,IF(TipoProgramaPersonalTecnico=2,$E21*J20,$E21/Hjor*J20))</f>
        <v>0</v>
      </c>
      <c r="K21" s="2">
        <f>IF(TipoProgramaPersonalTecnico=1,$E21*'a)Plantilla'!$C7*Programa!D$17,IF(TipoProgramaPersonalTecnico=2,$E21*K20,$E21/Hjor*K20))</f>
        <v>0</v>
      </c>
      <c r="L21" s="2">
        <f>IF(TipoProgramaPersonalTecnico=1,$E21*'a)Plantilla'!$C7*Programa!D$18,IF(TipoProgramaPersonalTecnico=2,$E21*L20,$E21/Hjor*L20))</f>
        <v>0</v>
      </c>
      <c r="M21" s="2">
        <f>IF(TipoProgramaPersonalTecnico=1,$E21*'a)Plantilla'!$C7*Programa!D$19,IF(TipoProgramaPersonalTecnico=2,$E21*M20,$E21/Hjor*M20))</f>
        <v>0</v>
      </c>
      <c r="N21" s="2">
        <f>IF(TipoProgramaPersonalTecnico=1,$E21*'a)Plantilla'!$C7*Programa!D$20,IF(TipoProgramaPersonalTecnico=2,$E21*N20,$E21/Hjor*N20))</f>
        <v>0</v>
      </c>
      <c r="O21" s="2">
        <f>IF(TipoProgramaPersonalTecnico=1,$E21*'a)Plantilla'!$C7*Programa!D$21,IF(TipoProgramaPersonalTecnico=2,$E21*O20,$E21/Hjor*O20))</f>
        <v>0</v>
      </c>
      <c r="P21" s="2">
        <f>IF(TipoProgramaPersonalTecnico=1,$E21*'a)Plantilla'!$C7*Programa!D$22,IF(TipoProgramaPersonalTecnico=2,$E21*P20,$E21/Hjor*P20))</f>
        <v>0</v>
      </c>
      <c r="Q21" s="2">
        <f>IF(TipoProgramaPersonalTecnico=1,$E21*'a)Plantilla'!$C7*Programa!D$23,IF(TipoProgramaPersonalTecnico=2,$E21*Q20,$E21/Hjor*Q20))</f>
        <v>0</v>
      </c>
      <c r="R21" s="12">
        <f>IF(TipoProgramaPersonalTecnico=1,$E21*'a)Plantilla'!$C7*Programa!D$24,IF(TipoProgramaPersonalTecnico=2,$E21*R20,$E21/Hjor*R20))</f>
        <v>0</v>
      </c>
      <c r="S21" s="7">
        <f>IF(TipoProgramaPersonalTecnico=1,$E21*'a)Plantilla'!$C7*Programa!D$25,IF(TipoProgramaPersonalTecnico=2,$E21*S20,$E21/Hjor*S20))</f>
        <v>0</v>
      </c>
      <c r="T21" s="2">
        <f>IF(TipoProgramaPersonalTecnico=1,$E21*'a)Plantilla'!$C7*Programa!D$26,IF(TipoProgramaPersonalTecnico=2,$E21*T20,$E21/Hjor*T20))</f>
        <v>0</v>
      </c>
      <c r="U21" s="2">
        <f>IF(TipoProgramaPersonalTecnico=1,$E21*'a)Plantilla'!$C7*Programa!D$27,IF(TipoProgramaPersonalTecnico=2,$E21*U20,$E21/Hjor*U20))</f>
        <v>0</v>
      </c>
      <c r="V21" s="2">
        <f>IF(TipoProgramaPersonalTecnico=1,$E21*'a)Plantilla'!$C7*Programa!D$28,IF(TipoProgramaPersonalTecnico=2,$E21*V20,$E21/Hjor*V20))</f>
        <v>0</v>
      </c>
      <c r="W21" s="2">
        <f>IF(TipoProgramaPersonalTecnico=1,$E21*'a)Plantilla'!$C7*Programa!D$29,IF(TipoProgramaPersonalTecnico=2,$E21*W20,$E21/Hjor*W20))</f>
        <v>0</v>
      </c>
      <c r="X21" s="2">
        <f>IF(TipoProgramaPersonalTecnico=1,$E21*'a)Plantilla'!$C7*Programa!D$30,IF(TipoProgramaPersonalTecnico=2,$E21*X20,$E21/Hjor*X20))</f>
        <v>0</v>
      </c>
      <c r="Y21" s="2">
        <f>IF(TipoProgramaPersonalTecnico=1,$E21*'a)Plantilla'!$C7*Programa!D$31,IF(TipoProgramaPersonalTecnico=2,$E21*Y20,$E21/Hjor*Y20))</f>
        <v>0</v>
      </c>
      <c r="Z21" s="2">
        <f>IF(TipoProgramaPersonalTecnico=1,$E21*'a)Plantilla'!$C7*Programa!D$32,IF(TipoProgramaPersonalTecnico=2,$E21*Z20,$E21/Hjor*Z20))</f>
        <v>0</v>
      </c>
      <c r="AA21" s="2">
        <f>IF(TipoProgramaPersonalTecnico=1,$E21*'a)Plantilla'!$C7*Programa!D$33,IF(TipoProgramaPersonalTecnico=2,$E21*AA20,$E21/Hjor*AA20))</f>
        <v>0</v>
      </c>
      <c r="AB21" s="2">
        <f>IF(TipoProgramaPersonalTecnico=1,$E21*'a)Plantilla'!$C7*Programa!D$34,IF(TipoProgramaPersonalTecnico=2,$E21*AB20,$E21/Hjor*AB20))</f>
        <v>0</v>
      </c>
      <c r="AC21" s="2">
        <f>IF(TipoProgramaPersonalTecnico=1,$E21*'a)Plantilla'!$C7*Programa!D$35,IF(TipoProgramaPersonalTecnico=2,$E21*AC20,$E21/Hjor*AC20))</f>
        <v>0</v>
      </c>
      <c r="AD21" s="12">
        <f>IF(TipoProgramaPersonalTecnico=1,$E21*'a)Plantilla'!$C7*Programa!D$36,IF(TipoProgramaPersonalTecnico=2,$E21*AD20,$E21/Hjor*AD20))</f>
        <v>0</v>
      </c>
      <c r="AE21" s="7">
        <f>IF(TipoProgramaPersonalTecnico=1,$E21*'a)Plantilla'!$C7*Programa!D$37,IF(TipoProgramaPersonalTecnico=2,$E21*AE20,$E21/Hjor*AE20))</f>
        <v>0</v>
      </c>
      <c r="AF21" s="2">
        <f>IF(TipoProgramaPersonalTecnico=1,$E21*'a)Plantilla'!$C7*Programa!D$38,IF(TipoProgramaPersonalTecnico=2,$E21*AF20,$E21/Hjor*AF20))</f>
        <v>0</v>
      </c>
      <c r="AG21" s="2">
        <f>IF(TipoProgramaPersonalTecnico=1,$E21*'a)Plantilla'!$C7*Programa!D$39,IF(TipoProgramaPersonalTecnico=2,$E21*AG20,$E21/Hjor*AG20))</f>
        <v>0</v>
      </c>
      <c r="AH21" s="2">
        <f>IF(TipoProgramaPersonalTecnico=1,$E21*'a)Plantilla'!$C7*Programa!D$40,IF(TipoProgramaPersonalTecnico=2,$E21*AH20,$E21/Hjor*AH20))</f>
        <v>0</v>
      </c>
      <c r="AI21" s="2">
        <f>IF(TipoProgramaPersonalTecnico=1,$E21*'a)Plantilla'!$C7*Programa!D$41,IF(TipoProgramaPersonalTecnico=2,$E21*AI20,$E21/Hjor*AI20))</f>
        <v>0</v>
      </c>
      <c r="AJ21" s="2">
        <f>IF(TipoProgramaPersonalTecnico=1,$E21*'a)Plantilla'!$C7*Programa!D$42,IF(TipoProgramaPersonalTecnico=2,$E21*AJ20,$E21/Hjor*AJ20))</f>
        <v>0</v>
      </c>
      <c r="AK21" s="2">
        <f>IF(TipoProgramaPersonalTecnico=1,$E21*'a)Plantilla'!$C7*Programa!D$43,IF(TipoProgramaPersonalTecnico=2,$E21*AK20,$E21/Hjor*AK20))</f>
        <v>0</v>
      </c>
      <c r="AL21" s="2">
        <f>IF(TipoProgramaPersonalTecnico=1,$E21*'a)Plantilla'!$C7*Programa!D$44,IF(TipoProgramaPersonalTecnico=2,$E21*AL20,$E21/Hjor*AL20))</f>
        <v>0</v>
      </c>
      <c r="AM21" s="2">
        <f>IF(TipoProgramaPersonalTecnico=1,$E21*'a)Plantilla'!$C7*Programa!D$45,IF(TipoProgramaPersonalTecnico=2,$E21*AM20,$E21/Hjor*AM20))</f>
        <v>0</v>
      </c>
      <c r="AN21" s="2">
        <f>IF(TipoProgramaPersonalTecnico=1,$E21*'a)Plantilla'!$C7*Programa!D$46,IF(TipoProgramaPersonalTecnico=2,$E21*AN20,$E21/Hjor*AN20))</f>
        <v>0</v>
      </c>
      <c r="AO21" s="2">
        <f>IF(TipoProgramaPersonalTecnico=1,$E21*'a)Plantilla'!$C7*Programa!D$47,IF(TipoProgramaPersonalTecnico=2,$E21*AO20,$E21/Hjor*AO20))</f>
        <v>0</v>
      </c>
      <c r="AP21" s="12">
        <f>IF(TipoProgramaPersonalTecnico=1,$E21*'a)Plantilla'!$C7*Programa!D$48,IF(TipoProgramaPersonalTecnico=2,$E21*AP20,$E21/Hjor*AP20))</f>
        <v>0</v>
      </c>
      <c r="AQ21" s="7">
        <f>IF(TipoProgramaPersonalTecnico=1,$E21*'a)Plantilla'!$C7*Programa!D$49,IF(TipoProgramaPersonalTecnico=2,$E21*AQ20,$E21/Hjor*AQ20))</f>
        <v>0</v>
      </c>
      <c r="AR21" s="2">
        <f>IF(TipoProgramaPersonalTecnico=1,$E21*'a)Plantilla'!$C7*Programa!D$50,IF(TipoProgramaPersonalTecnico=2,$E21*AR20,$E21/Hjor*AR20))</f>
        <v>0</v>
      </c>
      <c r="AS21" s="2">
        <f>IF(TipoProgramaPersonalTecnico=1,$E21*'a)Plantilla'!$C7*Programa!D$51,IF(TipoProgramaPersonalTecnico=2,$E21*AS20,$E21/Hjor*AS20))</f>
        <v>0</v>
      </c>
      <c r="AT21" s="2">
        <f>IF(TipoProgramaPersonalTecnico=1,$E21*'a)Plantilla'!$C7*Programa!D$52,IF(TipoProgramaPersonalTecnico=2,$E21*AT20,$E21/Hjor*AT20))</f>
        <v>0</v>
      </c>
      <c r="AU21" s="2">
        <f>IF(TipoProgramaPersonalTecnico=1,$E21*'a)Plantilla'!$C7*Programa!D$53,IF(TipoProgramaPersonalTecnico=2,$E21*AU20,$E21/Hjor*AU20))</f>
        <v>0</v>
      </c>
      <c r="AV21" s="2">
        <f>IF(TipoProgramaPersonalTecnico=1,$E21*'a)Plantilla'!$C7*Programa!D$54,IF(TipoProgramaPersonalTecnico=2,$E21*AV20,$E21/Hjor*AV20))</f>
        <v>0</v>
      </c>
      <c r="AW21" s="2">
        <f>IF(TipoProgramaPersonalTecnico=1,$E21*'a)Plantilla'!$C7*Programa!D$55,IF(TipoProgramaPersonalTecnico=2,$E21*AW20,$E21/Hjor*AW20))</f>
        <v>0</v>
      </c>
      <c r="AX21" s="2">
        <f>IF(TipoProgramaPersonalTecnico=1,$E21*'a)Plantilla'!$C7*Programa!D$56,IF(TipoProgramaPersonalTecnico=2,$E21*AX20,$E21/Hjor*AX20))</f>
        <v>0</v>
      </c>
      <c r="AY21" s="2">
        <f>IF(TipoProgramaPersonalTecnico=1,$E21*'a)Plantilla'!$C7*Programa!D$57,IF(TipoProgramaPersonalTecnico=2,$E21*AY20,$E21/Hjor*AY20))</f>
        <v>0</v>
      </c>
      <c r="AZ21" s="2">
        <f>IF(TipoProgramaPersonalTecnico=1,$E21*'a)Plantilla'!$C7*Programa!D$58,IF(TipoProgramaPersonalTecnico=2,$E21*AZ20,$E21/Hjor*AZ20))</f>
        <v>0</v>
      </c>
      <c r="BA21" s="55">
        <f>IF(TipoProgramaPersonalTecnico=1,$E21*'a)Plantilla'!$C7*Programa!D$59,IF(TipoProgramaPersonalTecnico=2,$E21*BA20,$E21/Hjor*BA20))</f>
        <v>0</v>
      </c>
      <c r="BB21" s="56">
        <f>IF(TipoProgramaPersonalTecnico=1,$E21*'a)Plantilla'!$C7*Programa!D$60,IF(TipoProgramaPersonalTecnico=2,$E21*BB20,$E21/Hjor*BB20))</f>
        <v>0</v>
      </c>
      <c r="BC21" s="53">
        <f>IF(TipoProgramaPersonalTecnico=1,$E21*'a)Plantilla'!$C7*Programa!D$61,IF(TipoProgramaPersonalTecnico=2,$E21*BC20,$E21/Hjor*BC20))</f>
        <v>0</v>
      </c>
      <c r="BD21" s="2">
        <f>IF(TipoProgramaPersonalTecnico=1,$E21*'a)Plantilla'!$C7*Programa!D$62,IF(TipoProgramaPersonalTecnico=2,$E21*BD20,$E21/Hjor*BD20))</f>
        <v>0</v>
      </c>
      <c r="BE21" s="2">
        <f>IF(TipoProgramaPersonalTecnico=1,$E21*'a)Plantilla'!$C7*Programa!D$63,IF(TipoProgramaPersonalTecnico=2,$E21*BE20,$E21/Hjor*BE20))</f>
        <v>0</v>
      </c>
      <c r="BF21" s="2">
        <f>IF(TipoProgramaPersonalTecnico=1,$E21*'a)Plantilla'!$C7*Programa!D$64,IF(TipoProgramaPersonalTecnico=2,$E21*BF20,$E21/Hjor*BF20))</f>
        <v>0</v>
      </c>
      <c r="BG21" s="2">
        <f>IF(TipoProgramaPersonalTecnico=1,$E21*'a)Plantilla'!$C7*Programa!D$65,IF(TipoProgramaPersonalTecnico=2,$E21*BG20,$E21/Hjor*BG20))</f>
        <v>0</v>
      </c>
      <c r="BH21" s="2">
        <f>IF(TipoProgramaPersonalTecnico=1,$E21*'a)Plantilla'!$C7*Programa!D$66,IF(TipoProgramaPersonalTecnico=2,$E21*BH20,$E21/Hjor*BH20))</f>
        <v>0</v>
      </c>
      <c r="BI21" s="2">
        <f>IF(TipoProgramaPersonalTecnico=1,$E21*'a)Plantilla'!$C7*Programa!D$67,IF(TipoProgramaPersonalTecnico=2,$E21*BI20,$E21/Hjor*BI20))</f>
        <v>0</v>
      </c>
      <c r="BJ21" s="2">
        <f>IF(TipoProgramaPersonalTecnico=1,$E21*'a)Plantilla'!$C7*Programa!D$68,IF(TipoProgramaPersonalTecnico=2,$E21*BJ20,$E21/Hjor*BJ20))</f>
        <v>0</v>
      </c>
      <c r="BK21" s="2">
        <f>IF(TipoProgramaPersonalTecnico=1,$E21*'a)Plantilla'!$C7*Programa!D$69,IF(TipoProgramaPersonalTecnico=2,$E21*BK20,$E21/Hjor*BK20))</f>
        <v>0</v>
      </c>
      <c r="BL21" s="2">
        <f>IF(TipoProgramaPersonalTecnico=1,$E21*'a)Plantilla'!$C7*Programa!D$70,IF(TipoProgramaPersonalTecnico=2,$E21*BL20,$E21/Hjor*BL20))</f>
        <v>0</v>
      </c>
      <c r="BM21" s="2">
        <f>IF(TipoProgramaPersonalTecnico=1,$E21*'a)Plantilla'!$C7*Programa!D$71,IF(TipoProgramaPersonalTecnico=2,$E21*BM20,$E21/Hjor*BM20))</f>
        <v>0</v>
      </c>
      <c r="BN21" s="12">
        <f>IF(TipoProgramaPersonalTecnico=1,$E21*'a)Plantilla'!$C7*Programa!D$72,IF(TipoProgramaPersonalTecnico=2,$E21*BN20,$E21/Hjor*BN20))</f>
        <v>0</v>
      </c>
    </row>
    <row r="22" spans="1:66" ht="7.5" customHeight="1">
      <c r="A22" s="67"/>
      <c r="B22" s="19"/>
      <c r="C22" s="127"/>
      <c r="D22" s="54"/>
      <c r="E22" s="19"/>
      <c r="F22" s="19"/>
      <c r="G22" s="1" t="s">
        <v>168</v>
      </c>
      <c r="H22" s="1" t="s">
        <v>168</v>
      </c>
      <c r="I22" s="1" t="s">
        <v>168</v>
      </c>
      <c r="J22" s="1" t="s">
        <v>168</v>
      </c>
      <c r="K22" s="1" t="s">
        <v>168</v>
      </c>
      <c r="L22" s="1" t="s">
        <v>168</v>
      </c>
      <c r="M22" s="1" t="s">
        <v>168</v>
      </c>
      <c r="N22" s="1" t="s">
        <v>168</v>
      </c>
      <c r="O22" s="1" t="s">
        <v>168</v>
      </c>
      <c r="P22" s="1" t="s">
        <v>168</v>
      </c>
      <c r="Q22" s="1" t="s">
        <v>168</v>
      </c>
      <c r="R22" s="8" t="s">
        <v>168</v>
      </c>
      <c r="S22" s="13" t="s">
        <v>168</v>
      </c>
      <c r="T22" s="1" t="s">
        <v>168</v>
      </c>
      <c r="U22" s="1" t="s">
        <v>168</v>
      </c>
      <c r="V22" s="1" t="s">
        <v>168</v>
      </c>
      <c r="W22" s="1" t="s">
        <v>168</v>
      </c>
      <c r="X22" s="1" t="s">
        <v>168</v>
      </c>
      <c r="Y22" s="1" t="s">
        <v>168</v>
      </c>
      <c r="Z22" s="1" t="s">
        <v>168</v>
      </c>
      <c r="AA22" s="1" t="s">
        <v>168</v>
      </c>
      <c r="AB22" s="1" t="s">
        <v>168</v>
      </c>
      <c r="AC22" s="1" t="s">
        <v>168</v>
      </c>
      <c r="AD22" s="8" t="s">
        <v>168</v>
      </c>
      <c r="AE22" s="13" t="s">
        <v>168</v>
      </c>
      <c r="AF22" s="1" t="s">
        <v>168</v>
      </c>
      <c r="AG22" s="1" t="s">
        <v>168</v>
      </c>
      <c r="AH22" s="1" t="s">
        <v>168</v>
      </c>
      <c r="AI22" s="1" t="s">
        <v>168</v>
      </c>
      <c r="AJ22" s="1" t="s">
        <v>168</v>
      </c>
      <c r="AK22" s="1" t="s">
        <v>168</v>
      </c>
      <c r="AL22" s="1" t="s">
        <v>168</v>
      </c>
      <c r="AM22" s="1" t="s">
        <v>168</v>
      </c>
      <c r="AN22" s="1" t="s">
        <v>168</v>
      </c>
      <c r="AO22" s="1" t="s">
        <v>168</v>
      </c>
      <c r="AP22" s="8" t="s">
        <v>168</v>
      </c>
      <c r="AQ22" s="13" t="s">
        <v>168</v>
      </c>
      <c r="AR22" s="1" t="s">
        <v>168</v>
      </c>
      <c r="AS22" s="1" t="s">
        <v>168</v>
      </c>
      <c r="AT22" s="1" t="s">
        <v>168</v>
      </c>
      <c r="AU22" s="1" t="s">
        <v>168</v>
      </c>
      <c r="AV22" s="1" t="s">
        <v>168</v>
      </c>
      <c r="AW22" s="1" t="s">
        <v>168</v>
      </c>
      <c r="AX22" s="1" t="s">
        <v>168</v>
      </c>
      <c r="AY22" s="1" t="s">
        <v>168</v>
      </c>
      <c r="AZ22" s="1" t="s">
        <v>168</v>
      </c>
      <c r="BA22" s="1" t="s">
        <v>168</v>
      </c>
      <c r="BB22" s="8" t="s">
        <v>168</v>
      </c>
      <c r="BC22" s="13" t="s">
        <v>168</v>
      </c>
      <c r="BD22" s="1" t="s">
        <v>168</v>
      </c>
      <c r="BE22" s="1" t="s">
        <v>168</v>
      </c>
      <c r="BF22" s="1" t="s">
        <v>168</v>
      </c>
      <c r="BG22" s="1" t="s">
        <v>168</v>
      </c>
      <c r="BH22" s="1" t="s">
        <v>168</v>
      </c>
      <c r="BI22" s="1" t="s">
        <v>168</v>
      </c>
      <c r="BJ22" s="1" t="s">
        <v>168</v>
      </c>
      <c r="BK22" s="1" t="s">
        <v>168</v>
      </c>
      <c r="BL22" s="1" t="s">
        <v>168</v>
      </c>
      <c r="BM22" s="1" t="s">
        <v>168</v>
      </c>
      <c r="BN22" s="8" t="s">
        <v>168</v>
      </c>
    </row>
    <row r="23" spans="1:66" ht="12" customHeight="1">
      <c r="A23" s="67"/>
      <c r="B23" s="46"/>
      <c r="C23" s="127"/>
      <c r="D23" s="52"/>
      <c r="E23" s="59"/>
      <c r="F23" s="59"/>
      <c r="G23" s="50">
        <f>'d)Pers.Técnico'!E22</f>
        <v>12.8</v>
      </c>
      <c r="H23" s="50">
        <f>'d)Pers.Técnico'!F22</f>
        <v>24</v>
      </c>
      <c r="I23" s="50">
        <f>'d)Pers.Técnico'!G22</f>
        <v>23.2</v>
      </c>
      <c r="J23" s="50">
        <f>'d)Pers.Técnico'!H22</f>
        <v>0</v>
      </c>
      <c r="K23" s="50">
        <f>'d)Pers.Técnico'!I22</f>
        <v>0</v>
      </c>
      <c r="L23" s="50">
        <f>'d)Pers.Técnico'!J22</f>
        <v>0</v>
      </c>
      <c r="M23" s="50">
        <f>'d)Pers.Técnico'!K22</f>
        <v>0</v>
      </c>
      <c r="N23" s="50">
        <f>'d)Pers.Técnico'!L22</f>
        <v>0</v>
      </c>
      <c r="O23" s="50">
        <f>'d)Pers.Técnico'!M22</f>
        <v>0</v>
      </c>
      <c r="P23" s="50">
        <f>'d)Pers.Técnico'!N22</f>
        <v>0</v>
      </c>
      <c r="Q23" s="50">
        <f>'d)Pers.Técnico'!O22</f>
        <v>0</v>
      </c>
      <c r="R23" s="283">
        <f>'d)Pers.Técnico'!P22</f>
        <v>0</v>
      </c>
      <c r="S23" s="50">
        <f>'d)Pers.Técnico'!Q22</f>
        <v>0</v>
      </c>
      <c r="T23" s="50">
        <f>'d)Pers.Técnico'!R22</f>
        <v>0</v>
      </c>
      <c r="U23" s="50">
        <f>'d)Pers.Técnico'!S22</f>
        <v>0</v>
      </c>
      <c r="V23" s="50">
        <f>'d)Pers.Técnico'!T22</f>
        <v>0</v>
      </c>
      <c r="W23" s="50">
        <f>'d)Pers.Técnico'!U22</f>
        <v>0</v>
      </c>
      <c r="X23" s="50">
        <f>'d)Pers.Técnico'!V22</f>
        <v>0</v>
      </c>
      <c r="Y23" s="50">
        <f>'d)Pers.Técnico'!W22</f>
        <v>0</v>
      </c>
      <c r="Z23" s="50">
        <f>'d)Pers.Técnico'!X22</f>
        <v>0</v>
      </c>
      <c r="AA23" s="50">
        <f>'d)Pers.Técnico'!Y22</f>
        <v>0</v>
      </c>
      <c r="AB23" s="50">
        <f>'d)Pers.Técnico'!Z22</f>
        <v>0</v>
      </c>
      <c r="AC23" s="50">
        <f>'d)Pers.Técnico'!AA22</f>
        <v>0</v>
      </c>
      <c r="AD23" s="283">
        <f>'d)Pers.Técnico'!AB22</f>
        <v>0</v>
      </c>
      <c r="AE23" s="50">
        <f>'d)Pers.Técnico'!AC22</f>
        <v>0</v>
      </c>
      <c r="AF23" s="50">
        <f>'d)Pers.Técnico'!AD22</f>
        <v>0</v>
      </c>
      <c r="AG23" s="50">
        <f>'d)Pers.Técnico'!AE22</f>
        <v>0</v>
      </c>
      <c r="AH23" s="50">
        <f>'d)Pers.Técnico'!AF22</f>
        <v>0</v>
      </c>
      <c r="AI23" s="50">
        <f>'d)Pers.Técnico'!AG22</f>
        <v>0</v>
      </c>
      <c r="AJ23" s="50">
        <f>'d)Pers.Técnico'!AH22</f>
        <v>0</v>
      </c>
      <c r="AK23" s="50">
        <f>'d)Pers.Técnico'!AI22</f>
        <v>0</v>
      </c>
      <c r="AL23" s="50">
        <f>'d)Pers.Técnico'!AJ22</f>
        <v>0</v>
      </c>
      <c r="AM23" s="50">
        <f>'d)Pers.Técnico'!AK22</f>
        <v>0</v>
      </c>
      <c r="AN23" s="50">
        <f>'d)Pers.Técnico'!AL22</f>
        <v>0</v>
      </c>
      <c r="AO23" s="50">
        <f>'d)Pers.Técnico'!AM22</f>
        <v>0</v>
      </c>
      <c r="AP23" s="283">
        <f>'d)Pers.Técnico'!AN22</f>
        <v>0</v>
      </c>
      <c r="AQ23" s="50">
        <f>'d)Pers.Técnico'!AO22</f>
        <v>0</v>
      </c>
      <c r="AR23" s="50">
        <f>'d)Pers.Técnico'!AP22</f>
        <v>0</v>
      </c>
      <c r="AS23" s="50">
        <f>'d)Pers.Técnico'!AQ22</f>
        <v>0</v>
      </c>
      <c r="AT23" s="50">
        <f>'d)Pers.Técnico'!AR22</f>
        <v>0</v>
      </c>
      <c r="AU23" s="50">
        <f>'d)Pers.Técnico'!AS22</f>
        <v>0</v>
      </c>
      <c r="AV23" s="50">
        <f>'d)Pers.Técnico'!AT22</f>
        <v>0</v>
      </c>
      <c r="AW23" s="50">
        <f>'d)Pers.Técnico'!AU22</f>
        <v>0</v>
      </c>
      <c r="AX23" s="50">
        <f>'d)Pers.Técnico'!AV22</f>
        <v>0</v>
      </c>
      <c r="AY23" s="50">
        <f>'d)Pers.Técnico'!AW22</f>
        <v>0</v>
      </c>
      <c r="AZ23" s="50">
        <f>'d)Pers.Técnico'!AX22</f>
        <v>0</v>
      </c>
      <c r="BA23" s="1017">
        <f>'d)Pers.Técnico'!AY22</f>
        <v>0</v>
      </c>
      <c r="BB23" s="589">
        <f>'d)Pers.Técnico'!AZ22</f>
        <v>0</v>
      </c>
      <c r="BC23" s="898">
        <f>'d)Pers.Técnico'!BA22</f>
        <v>0</v>
      </c>
      <c r="BD23" s="1088">
        <f>'d)Pers.Técnico'!BB22</f>
        <v>0</v>
      </c>
      <c r="BE23" s="50">
        <f>'d)Pers.Técnico'!BC22</f>
        <v>0</v>
      </c>
      <c r="BF23" s="50">
        <f>'d)Pers.Técnico'!BD22</f>
        <v>0</v>
      </c>
      <c r="BG23" s="50">
        <f>'d)Pers.Técnico'!BE22</f>
        <v>0</v>
      </c>
      <c r="BH23" s="50">
        <f>'d)Pers.Técnico'!BF22</f>
        <v>0</v>
      </c>
      <c r="BI23" s="50">
        <f>'d)Pers.Técnico'!BG22</f>
        <v>0</v>
      </c>
      <c r="BJ23" s="50">
        <f>'d)Pers.Técnico'!BH22</f>
        <v>0</v>
      </c>
      <c r="BK23" s="50">
        <f>'d)Pers.Técnico'!BI22</f>
        <v>0</v>
      </c>
      <c r="BL23" s="50">
        <f>'d)Pers.Técnico'!BJ22</f>
        <v>0</v>
      </c>
      <c r="BM23" s="50">
        <f>'d)Pers.Técnico'!BK22</f>
        <v>0</v>
      </c>
      <c r="BN23" s="283">
        <f>'d)Pers.Técnico'!BL22</f>
        <v>0</v>
      </c>
    </row>
    <row r="24" spans="1:66">
      <c r="A24" s="67"/>
      <c r="B24" s="46" t="str">
        <f>+'d)Pers.Técnico'!B22</f>
        <v>AUXILIAR SUPERINTENDENTE</v>
      </c>
      <c r="C24" s="127" t="str">
        <f>'d)Pers.Técnico'!C22</f>
        <v>horas-Hombre</v>
      </c>
      <c r="D24" s="52">
        <f>SUM(G23:BN23)</f>
        <v>60</v>
      </c>
      <c r="E24" s="7">
        <f>IF('a)Plantilla'!C8&gt;0,'a)Plantilla'!D8/30,0)</f>
        <v>533.33000000000004</v>
      </c>
      <c r="F24" s="7">
        <f>SUM(G24:BN24)</f>
        <v>3999.98</v>
      </c>
      <c r="G24" s="2">
        <f>IF(TipoProgramaPersonalTecnico=1,$E24*'a)Plantilla'!$C8*Programa!D$13,IF(TipoProgramaPersonalTecnico=2,$E24*G23,$E24/Hjor*G23))</f>
        <v>853.33</v>
      </c>
      <c r="H24" s="2">
        <f>IF(TipoProgramaPersonalTecnico=1,$E24*'a)Plantilla'!$C8*Programa!D$14,IF(TipoProgramaPersonalTecnico=2,$E24*H23,$E24/Hjor*H23))</f>
        <v>1599.99</v>
      </c>
      <c r="I24" s="2">
        <f>IF(TipoProgramaPersonalTecnico=1,$E24*'a)Plantilla'!$C8*Programa!D$15,IF(TipoProgramaPersonalTecnico=2,$E24*I23,$E24/Hjor*I23))</f>
        <v>1546.66</v>
      </c>
      <c r="J24" s="2">
        <f>IF(TipoProgramaPersonalTecnico=1,$E24*'a)Plantilla'!$C8*Programa!D$16,IF(TipoProgramaPersonalTecnico=2,$E24*J23,$E24/Hjor*J23))</f>
        <v>0</v>
      </c>
      <c r="K24" s="2">
        <f>IF(TipoProgramaPersonalTecnico=1,$E24*'a)Plantilla'!$C8*Programa!D$17,IF(TipoProgramaPersonalTecnico=2,$E24*K23,$E24/Hjor*K23))</f>
        <v>0</v>
      </c>
      <c r="L24" s="2">
        <f>IF(TipoProgramaPersonalTecnico=1,$E24*'a)Plantilla'!$C8*Programa!D$18,IF(TipoProgramaPersonalTecnico=2,$E24*L23,$E24/Hjor*L23))</f>
        <v>0</v>
      </c>
      <c r="M24" s="2">
        <f>IF(TipoProgramaPersonalTecnico=1,$E24*'a)Plantilla'!$C8*Programa!D$19,IF(TipoProgramaPersonalTecnico=2,$E24*M23,$E24/Hjor*M23))</f>
        <v>0</v>
      </c>
      <c r="N24" s="2">
        <f>IF(TipoProgramaPersonalTecnico=1,$E24*'a)Plantilla'!$C8*Programa!D$20,IF(TipoProgramaPersonalTecnico=2,$E24*N23,$E24/Hjor*N23))</f>
        <v>0</v>
      </c>
      <c r="O24" s="2">
        <f>IF(TipoProgramaPersonalTecnico=1,$E24*'a)Plantilla'!$C8*Programa!D$21,IF(TipoProgramaPersonalTecnico=2,$E24*O23,$E24/Hjor*O23))</f>
        <v>0</v>
      </c>
      <c r="P24" s="2">
        <f>IF(TipoProgramaPersonalTecnico=1,$E24*'a)Plantilla'!$C8*Programa!D$22,IF(TipoProgramaPersonalTecnico=2,$E24*P23,$E24/Hjor*P23))</f>
        <v>0</v>
      </c>
      <c r="Q24" s="2">
        <f>IF(TipoProgramaPersonalTecnico=1,$E24*'a)Plantilla'!$C8*Programa!D$23,IF(TipoProgramaPersonalTecnico=2,$E24*Q23,$E24/Hjor*Q23))</f>
        <v>0</v>
      </c>
      <c r="R24" s="12">
        <f>IF(TipoProgramaPersonalTecnico=1,$E24*'a)Plantilla'!$C8*Programa!D$24,IF(TipoProgramaPersonalTecnico=2,$E24*R23,$E24/Hjor*R23))</f>
        <v>0</v>
      </c>
      <c r="S24" s="7">
        <f>IF(TipoProgramaPersonalTecnico=1,$E24*'a)Plantilla'!$C8*Programa!D$25,IF(TipoProgramaPersonalTecnico=2,$E24*S23,$E24/Hjor*S23))</f>
        <v>0</v>
      </c>
      <c r="T24" s="2">
        <f>IF(TipoProgramaPersonalTecnico=1,$E24*'a)Plantilla'!$C8*Programa!D$26,IF(TipoProgramaPersonalTecnico=2,$E24*T23,$E24/Hjor*T23))</f>
        <v>0</v>
      </c>
      <c r="U24" s="2">
        <f>IF(TipoProgramaPersonalTecnico=1,$E24*'a)Plantilla'!$C8*Programa!D$27,IF(TipoProgramaPersonalTecnico=2,$E24*U23,$E24/Hjor*U23))</f>
        <v>0</v>
      </c>
      <c r="V24" s="2">
        <f>IF(TipoProgramaPersonalTecnico=1,$E24*'a)Plantilla'!$C8*Programa!D$28,IF(TipoProgramaPersonalTecnico=2,$E24*V23,$E24/Hjor*V23))</f>
        <v>0</v>
      </c>
      <c r="W24" s="2">
        <f>IF(TipoProgramaPersonalTecnico=1,$E24*'a)Plantilla'!$C8*Programa!D$29,IF(TipoProgramaPersonalTecnico=2,$E24*W23,$E24/Hjor*W23))</f>
        <v>0</v>
      </c>
      <c r="X24" s="2">
        <f>IF(TipoProgramaPersonalTecnico=1,$E24*'a)Plantilla'!$C8*Programa!D$30,IF(TipoProgramaPersonalTecnico=2,$E24*X23,$E24/Hjor*X23))</f>
        <v>0</v>
      </c>
      <c r="Y24" s="2">
        <f>IF(TipoProgramaPersonalTecnico=1,$E24*'a)Plantilla'!$C8*Programa!D$31,IF(TipoProgramaPersonalTecnico=2,$E24*Y23,$E24/Hjor*Y23))</f>
        <v>0</v>
      </c>
      <c r="Z24" s="2">
        <f>IF(TipoProgramaPersonalTecnico=1,$E24*'a)Plantilla'!$C8*Programa!D$32,IF(TipoProgramaPersonalTecnico=2,$E24*Z23,$E24/Hjor*Z23))</f>
        <v>0</v>
      </c>
      <c r="AA24" s="2">
        <f>IF(TipoProgramaPersonalTecnico=1,$E24*'a)Plantilla'!$C8*Programa!D$33,IF(TipoProgramaPersonalTecnico=2,$E24*AA23,$E24/Hjor*AA23))</f>
        <v>0</v>
      </c>
      <c r="AB24" s="2">
        <f>IF(TipoProgramaPersonalTecnico=1,$E24*'a)Plantilla'!$C8*Programa!D$34,IF(TipoProgramaPersonalTecnico=2,$E24*AB23,$E24/Hjor*AB23))</f>
        <v>0</v>
      </c>
      <c r="AC24" s="2">
        <f>IF(TipoProgramaPersonalTecnico=1,$E24*'a)Plantilla'!$C8*Programa!D$35,IF(TipoProgramaPersonalTecnico=2,$E24*AC23,$E24/Hjor*AC23))</f>
        <v>0</v>
      </c>
      <c r="AD24" s="12">
        <f>IF(TipoProgramaPersonalTecnico=1,$E24*'a)Plantilla'!$C8*Programa!D$36,IF(TipoProgramaPersonalTecnico=2,$E24*AD23,$E24/Hjor*AD23))</f>
        <v>0</v>
      </c>
      <c r="AE24" s="7">
        <f>IF(TipoProgramaPersonalTecnico=1,$E24*'a)Plantilla'!$C8*Programa!D$37,IF(TipoProgramaPersonalTecnico=2,$E24*AE23,$E24/Hjor*AE23))</f>
        <v>0</v>
      </c>
      <c r="AF24" s="2">
        <f>IF(TipoProgramaPersonalTecnico=1,$E24*'a)Plantilla'!$C8*Programa!D$38,IF(TipoProgramaPersonalTecnico=2,$E24*AF23,$E24/Hjor*AF23))</f>
        <v>0</v>
      </c>
      <c r="AG24" s="2">
        <f>IF(TipoProgramaPersonalTecnico=1,$E24*'a)Plantilla'!$C8*Programa!D$39,IF(TipoProgramaPersonalTecnico=2,$E24*AG23,$E24/Hjor*AG23))</f>
        <v>0</v>
      </c>
      <c r="AH24" s="2">
        <f>IF(TipoProgramaPersonalTecnico=1,$E24*'a)Plantilla'!$C8*Programa!D$40,IF(TipoProgramaPersonalTecnico=2,$E24*AH23,$E24/Hjor*AH23))</f>
        <v>0</v>
      </c>
      <c r="AI24" s="2">
        <f>IF(TipoProgramaPersonalTecnico=1,$E24*'a)Plantilla'!$C8*Programa!D$41,IF(TipoProgramaPersonalTecnico=2,$E24*AI23,$E24/Hjor*AI23))</f>
        <v>0</v>
      </c>
      <c r="AJ24" s="2">
        <f>IF(TipoProgramaPersonalTecnico=1,$E24*'a)Plantilla'!$C8*Programa!D$42,IF(TipoProgramaPersonalTecnico=2,$E24*AJ23,$E24/Hjor*AJ23))</f>
        <v>0</v>
      </c>
      <c r="AK24" s="2">
        <f>IF(TipoProgramaPersonalTecnico=1,$E24*'a)Plantilla'!$C8*Programa!D$43,IF(TipoProgramaPersonalTecnico=2,$E24*AK23,$E24/Hjor*AK23))</f>
        <v>0</v>
      </c>
      <c r="AL24" s="2">
        <f>IF(TipoProgramaPersonalTecnico=1,$E24*'a)Plantilla'!$C8*Programa!D$44,IF(TipoProgramaPersonalTecnico=2,$E24*AL23,$E24/Hjor*AL23))</f>
        <v>0</v>
      </c>
      <c r="AM24" s="2">
        <f>IF(TipoProgramaPersonalTecnico=1,$E24*'a)Plantilla'!$C8*Programa!D$45,IF(TipoProgramaPersonalTecnico=2,$E24*AM23,$E24/Hjor*AM23))</f>
        <v>0</v>
      </c>
      <c r="AN24" s="2">
        <f>IF(TipoProgramaPersonalTecnico=1,$E24*'a)Plantilla'!$C8*Programa!D$46,IF(TipoProgramaPersonalTecnico=2,$E24*AN23,$E24/Hjor*AN23))</f>
        <v>0</v>
      </c>
      <c r="AO24" s="2">
        <f>IF(TipoProgramaPersonalTecnico=1,$E24*'a)Plantilla'!$C8*Programa!D$47,IF(TipoProgramaPersonalTecnico=2,$E24*AO23,$E24/Hjor*AO23))</f>
        <v>0</v>
      </c>
      <c r="AP24" s="12">
        <f>IF(TipoProgramaPersonalTecnico=1,$E24*'a)Plantilla'!$C8*Programa!D$48,IF(TipoProgramaPersonalTecnico=2,$E24*AP23,$E24/Hjor*AP23))</f>
        <v>0</v>
      </c>
      <c r="AQ24" s="7">
        <f>IF(TipoProgramaPersonalTecnico=1,$E24*'a)Plantilla'!$C8*Programa!D$49,IF(TipoProgramaPersonalTecnico=2,$E24*AQ23,$E24/Hjor*AQ23))</f>
        <v>0</v>
      </c>
      <c r="AR24" s="2">
        <f>IF(TipoProgramaPersonalTecnico=1,$E24*'a)Plantilla'!$C8*Programa!D$50,IF(TipoProgramaPersonalTecnico=2,$E24*AR23,$E24/Hjor*AR23))</f>
        <v>0</v>
      </c>
      <c r="AS24" s="2">
        <f>IF(TipoProgramaPersonalTecnico=1,$E24*'a)Plantilla'!$C8*Programa!D$51,IF(TipoProgramaPersonalTecnico=2,$E24*AS23,$E24/Hjor*AS23))</f>
        <v>0</v>
      </c>
      <c r="AT24" s="2">
        <f>IF(TipoProgramaPersonalTecnico=1,$E24*'a)Plantilla'!$C8*Programa!D$52,IF(TipoProgramaPersonalTecnico=2,$E24*AT23,$E24/Hjor*AT23))</f>
        <v>0</v>
      </c>
      <c r="AU24" s="2">
        <f>IF(TipoProgramaPersonalTecnico=1,$E24*'a)Plantilla'!$C8*Programa!D$53,IF(TipoProgramaPersonalTecnico=2,$E24*AU23,$E24/Hjor*AU23))</f>
        <v>0</v>
      </c>
      <c r="AV24" s="2">
        <f>IF(TipoProgramaPersonalTecnico=1,$E24*'a)Plantilla'!$C8*Programa!D$54,IF(TipoProgramaPersonalTecnico=2,$E24*AV23,$E24/Hjor*AV23))</f>
        <v>0</v>
      </c>
      <c r="AW24" s="2">
        <f>IF(TipoProgramaPersonalTecnico=1,$E24*'a)Plantilla'!$C8*Programa!D$55,IF(TipoProgramaPersonalTecnico=2,$E24*AW23,$E24/Hjor*AW23))</f>
        <v>0</v>
      </c>
      <c r="AX24" s="2">
        <f>IF(TipoProgramaPersonalTecnico=1,$E24*'a)Plantilla'!$C8*Programa!D$56,IF(TipoProgramaPersonalTecnico=2,$E24*AX23,$E24/Hjor*AX23))</f>
        <v>0</v>
      </c>
      <c r="AY24" s="2">
        <f>IF(TipoProgramaPersonalTecnico=1,$E24*'a)Plantilla'!$C8*Programa!D$57,IF(TipoProgramaPersonalTecnico=2,$E24*AY23,$E24/Hjor*AY23))</f>
        <v>0</v>
      </c>
      <c r="AZ24" s="2">
        <f>IF(TipoProgramaPersonalTecnico=1,$E24*'a)Plantilla'!$C8*Programa!D$58,IF(TipoProgramaPersonalTecnico=2,$E24*AZ23,$E24/Hjor*AZ23))</f>
        <v>0</v>
      </c>
      <c r="BA24" s="55">
        <f>IF(TipoProgramaPersonalTecnico=1,$E24*'a)Plantilla'!$C8*Programa!D$59,IF(TipoProgramaPersonalTecnico=2,$E24*BA23,$E24/Hjor*BA23))</f>
        <v>0</v>
      </c>
      <c r="BB24" s="56">
        <f>IF(TipoProgramaPersonalTecnico=1,$E24*'a)Plantilla'!$C8*Programa!D$60,IF(TipoProgramaPersonalTecnico=2,$E24*BB23,$E24/Hjor*BB23))</f>
        <v>0</v>
      </c>
      <c r="BC24" s="53">
        <f>IF(TipoProgramaPersonalTecnico=1,$E24*'a)Plantilla'!$C8*Programa!D$61,IF(TipoProgramaPersonalTecnico=2,$E24*BC23,$E24/Hjor*BC23))</f>
        <v>0</v>
      </c>
      <c r="BD24" s="2">
        <f>IF(TipoProgramaPersonalTecnico=1,$E24*'a)Plantilla'!$C8*Programa!D$62,IF(TipoProgramaPersonalTecnico=2,$E24*BD23,$E24/Hjor*BD23))</f>
        <v>0</v>
      </c>
      <c r="BE24" s="2">
        <f>IF(TipoProgramaPersonalTecnico=1,$E24*'a)Plantilla'!$C8*Programa!D$63,IF(TipoProgramaPersonalTecnico=2,$E24*BE23,$E24/Hjor*BE23))</f>
        <v>0</v>
      </c>
      <c r="BF24" s="2">
        <f>IF(TipoProgramaPersonalTecnico=1,$E24*'a)Plantilla'!$C8*Programa!D$64,IF(TipoProgramaPersonalTecnico=2,$E24*BF23,$E24/Hjor*BF23))</f>
        <v>0</v>
      </c>
      <c r="BG24" s="2">
        <f>IF(TipoProgramaPersonalTecnico=1,$E24*'a)Plantilla'!$C8*Programa!D$65,IF(TipoProgramaPersonalTecnico=2,$E24*BG23,$E24/Hjor*BG23))</f>
        <v>0</v>
      </c>
      <c r="BH24" s="2">
        <f>IF(TipoProgramaPersonalTecnico=1,$E24*'a)Plantilla'!$C8*Programa!D$66,IF(TipoProgramaPersonalTecnico=2,$E24*BH23,$E24/Hjor*BH23))</f>
        <v>0</v>
      </c>
      <c r="BI24" s="2">
        <f>IF(TipoProgramaPersonalTecnico=1,$E24*'a)Plantilla'!$C8*Programa!D$67,IF(TipoProgramaPersonalTecnico=2,$E24*BI23,$E24/Hjor*BI23))</f>
        <v>0</v>
      </c>
      <c r="BJ24" s="2">
        <f>IF(TipoProgramaPersonalTecnico=1,$E24*'a)Plantilla'!$C8*Programa!D$68,IF(TipoProgramaPersonalTecnico=2,$E24*BJ23,$E24/Hjor*BJ23))</f>
        <v>0</v>
      </c>
      <c r="BK24" s="2">
        <f>IF(TipoProgramaPersonalTecnico=1,$E24*'a)Plantilla'!$C8*Programa!D$69,IF(TipoProgramaPersonalTecnico=2,$E24*BK23,$E24/Hjor*BK23))</f>
        <v>0</v>
      </c>
      <c r="BL24" s="2">
        <f>IF(TipoProgramaPersonalTecnico=1,$E24*'a)Plantilla'!$C8*Programa!D$70,IF(TipoProgramaPersonalTecnico=2,$E24*BL23,$E24/Hjor*BL23))</f>
        <v>0</v>
      </c>
      <c r="BM24" s="2">
        <f>IF(TipoProgramaPersonalTecnico=1,$E24*'a)Plantilla'!$C8*Programa!D$71,IF(TipoProgramaPersonalTecnico=2,$E24*BM23,$E24/Hjor*BM23))</f>
        <v>0</v>
      </c>
      <c r="BN24" s="12">
        <f>IF(TipoProgramaPersonalTecnico=1,$E24*'a)Plantilla'!$C8*Programa!D$72,IF(TipoProgramaPersonalTecnico=2,$E24*BN23,$E24/Hjor*BN23))</f>
        <v>0</v>
      </c>
    </row>
    <row r="25" spans="1:66" ht="7.5" customHeight="1">
      <c r="A25" s="67"/>
      <c r="B25" s="19"/>
      <c r="C25" s="127"/>
      <c r="D25" s="54"/>
      <c r="E25" s="19"/>
      <c r="F25" s="19"/>
      <c r="G25" s="1" t="s">
        <v>168</v>
      </c>
      <c r="H25" s="1" t="s">
        <v>168</v>
      </c>
      <c r="I25" s="1" t="s">
        <v>168</v>
      </c>
      <c r="J25" s="1" t="s">
        <v>168</v>
      </c>
      <c r="K25" s="1" t="s">
        <v>168</v>
      </c>
      <c r="L25" s="1" t="s">
        <v>168</v>
      </c>
      <c r="M25" s="1" t="s">
        <v>168</v>
      </c>
      <c r="N25" s="1" t="s">
        <v>168</v>
      </c>
      <c r="O25" s="1" t="s">
        <v>168</v>
      </c>
      <c r="P25" s="1" t="s">
        <v>168</v>
      </c>
      <c r="Q25" s="1" t="s">
        <v>168</v>
      </c>
      <c r="R25" s="8" t="s">
        <v>168</v>
      </c>
      <c r="S25" s="13" t="s">
        <v>168</v>
      </c>
      <c r="T25" s="1" t="s">
        <v>168</v>
      </c>
      <c r="U25" s="1" t="s">
        <v>168</v>
      </c>
      <c r="V25" s="1" t="s">
        <v>168</v>
      </c>
      <c r="W25" s="1" t="s">
        <v>168</v>
      </c>
      <c r="X25" s="1" t="s">
        <v>168</v>
      </c>
      <c r="Y25" s="1" t="s">
        <v>168</v>
      </c>
      <c r="Z25" s="1" t="s">
        <v>168</v>
      </c>
      <c r="AA25" s="1" t="s">
        <v>168</v>
      </c>
      <c r="AB25" s="1" t="s">
        <v>168</v>
      </c>
      <c r="AC25" s="1" t="s">
        <v>168</v>
      </c>
      <c r="AD25" s="8" t="s">
        <v>168</v>
      </c>
      <c r="AE25" s="13" t="s">
        <v>168</v>
      </c>
      <c r="AF25" s="1" t="s">
        <v>168</v>
      </c>
      <c r="AG25" s="1" t="s">
        <v>168</v>
      </c>
      <c r="AH25" s="1" t="s">
        <v>168</v>
      </c>
      <c r="AI25" s="1" t="s">
        <v>168</v>
      </c>
      <c r="AJ25" s="1" t="s">
        <v>168</v>
      </c>
      <c r="AK25" s="1" t="s">
        <v>168</v>
      </c>
      <c r="AL25" s="1" t="s">
        <v>168</v>
      </c>
      <c r="AM25" s="1" t="s">
        <v>168</v>
      </c>
      <c r="AN25" s="1" t="s">
        <v>168</v>
      </c>
      <c r="AO25" s="1" t="s">
        <v>168</v>
      </c>
      <c r="AP25" s="8" t="s">
        <v>168</v>
      </c>
      <c r="AQ25" s="13" t="s">
        <v>168</v>
      </c>
      <c r="AR25" s="1" t="s">
        <v>168</v>
      </c>
      <c r="AS25" s="1" t="s">
        <v>168</v>
      </c>
      <c r="AT25" s="1" t="s">
        <v>168</v>
      </c>
      <c r="AU25" s="1" t="s">
        <v>168</v>
      </c>
      <c r="AV25" s="1" t="s">
        <v>168</v>
      </c>
      <c r="AW25" s="1" t="s">
        <v>168</v>
      </c>
      <c r="AX25" s="1" t="s">
        <v>168</v>
      </c>
      <c r="AY25" s="1" t="s">
        <v>168</v>
      </c>
      <c r="AZ25" s="1" t="s">
        <v>168</v>
      </c>
      <c r="BA25" s="1" t="s">
        <v>168</v>
      </c>
      <c r="BB25" s="8" t="s">
        <v>168</v>
      </c>
      <c r="BC25" s="13" t="s">
        <v>168</v>
      </c>
      <c r="BD25" s="1" t="s">
        <v>168</v>
      </c>
      <c r="BE25" s="1" t="s">
        <v>168</v>
      </c>
      <c r="BF25" s="1" t="s">
        <v>168</v>
      </c>
      <c r="BG25" s="1" t="s">
        <v>168</v>
      </c>
      <c r="BH25" s="1" t="s">
        <v>168</v>
      </c>
      <c r="BI25" s="1" t="s">
        <v>168</v>
      </c>
      <c r="BJ25" s="1" t="s">
        <v>168</v>
      </c>
      <c r="BK25" s="1" t="s">
        <v>168</v>
      </c>
      <c r="BL25" s="1" t="s">
        <v>168</v>
      </c>
      <c r="BM25" s="1" t="s">
        <v>168</v>
      </c>
      <c r="BN25" s="8" t="s">
        <v>168</v>
      </c>
    </row>
    <row r="26" spans="1:66">
      <c r="A26" s="67"/>
      <c r="B26" s="46"/>
      <c r="C26" s="127"/>
      <c r="D26" s="52"/>
      <c r="E26" s="59"/>
      <c r="F26" s="59"/>
      <c r="G26" s="3">
        <f>'d)Pers.Técnico'!E24</f>
        <v>0</v>
      </c>
      <c r="H26" s="3">
        <f>'d)Pers.Técnico'!F24</f>
        <v>0</v>
      </c>
      <c r="I26" s="3">
        <f>'d)Pers.Técnico'!G24</f>
        <v>0</v>
      </c>
      <c r="J26" s="3">
        <f>'d)Pers.Técnico'!H24</f>
        <v>0</v>
      </c>
      <c r="K26" s="3">
        <f>'d)Pers.Técnico'!I24</f>
        <v>0</v>
      </c>
      <c r="L26" s="3">
        <f>'d)Pers.Técnico'!J24</f>
        <v>0</v>
      </c>
      <c r="M26" s="3">
        <f>'d)Pers.Técnico'!K24</f>
        <v>0</v>
      </c>
      <c r="N26" s="3">
        <f>'d)Pers.Técnico'!L24</f>
        <v>0</v>
      </c>
      <c r="O26" s="3">
        <f>'d)Pers.Técnico'!M24</f>
        <v>0</v>
      </c>
      <c r="P26" s="3">
        <f>'d)Pers.Técnico'!N24</f>
        <v>0</v>
      </c>
      <c r="Q26" s="3">
        <f>'d)Pers.Técnico'!O24</f>
        <v>0</v>
      </c>
      <c r="R26" s="14">
        <f>'d)Pers.Técnico'!P24</f>
        <v>0</v>
      </c>
      <c r="S26" s="20">
        <f>'d)Pers.Técnico'!Q24</f>
        <v>0</v>
      </c>
      <c r="T26" s="3">
        <f>'d)Pers.Técnico'!R24</f>
        <v>0</v>
      </c>
      <c r="U26" s="3">
        <f>'d)Pers.Técnico'!S24</f>
        <v>0</v>
      </c>
      <c r="V26" s="3">
        <f>'d)Pers.Técnico'!T24</f>
        <v>0</v>
      </c>
      <c r="W26" s="3">
        <f>'d)Pers.Técnico'!U24</f>
        <v>0</v>
      </c>
      <c r="X26" s="3">
        <f>'d)Pers.Técnico'!V24</f>
        <v>0</v>
      </c>
      <c r="Y26" s="3">
        <f>'d)Pers.Técnico'!W24</f>
        <v>0</v>
      </c>
      <c r="Z26" s="3">
        <f>'d)Pers.Técnico'!X24</f>
        <v>0</v>
      </c>
      <c r="AA26" s="3">
        <f>'d)Pers.Técnico'!Y24</f>
        <v>0</v>
      </c>
      <c r="AB26" s="3">
        <f>'d)Pers.Técnico'!Z24</f>
        <v>0</v>
      </c>
      <c r="AC26" s="3">
        <f>'d)Pers.Técnico'!AA24</f>
        <v>0</v>
      </c>
      <c r="AD26" s="14">
        <f>'d)Pers.Técnico'!AB24</f>
        <v>0</v>
      </c>
      <c r="AE26" s="20">
        <f>'d)Pers.Técnico'!AC24</f>
        <v>0</v>
      </c>
      <c r="AF26" s="3">
        <f>'d)Pers.Técnico'!AD24</f>
        <v>0</v>
      </c>
      <c r="AG26" s="3">
        <f>'d)Pers.Técnico'!AE24</f>
        <v>0</v>
      </c>
      <c r="AH26" s="3">
        <f>'d)Pers.Técnico'!AF24</f>
        <v>0</v>
      </c>
      <c r="AI26" s="3">
        <f>'d)Pers.Técnico'!AG24</f>
        <v>0</v>
      </c>
      <c r="AJ26" s="3">
        <f>'d)Pers.Técnico'!AH24</f>
        <v>0</v>
      </c>
      <c r="AK26" s="3">
        <f>'d)Pers.Técnico'!AI24</f>
        <v>0</v>
      </c>
      <c r="AL26" s="3">
        <f>'d)Pers.Técnico'!AJ24</f>
        <v>0</v>
      </c>
      <c r="AM26" s="3">
        <f>'d)Pers.Técnico'!AK24</f>
        <v>0</v>
      </c>
      <c r="AN26" s="3">
        <f>'d)Pers.Técnico'!AL24</f>
        <v>0</v>
      </c>
      <c r="AO26" s="3">
        <f>'d)Pers.Técnico'!AM24</f>
        <v>0</v>
      </c>
      <c r="AP26" s="14">
        <f>'d)Pers.Técnico'!AN24</f>
        <v>0</v>
      </c>
      <c r="AQ26" s="20">
        <f>'d)Pers.Técnico'!AO24</f>
        <v>0</v>
      </c>
      <c r="AR26" s="3">
        <f>'d)Pers.Técnico'!AP24</f>
        <v>0</v>
      </c>
      <c r="AS26" s="3">
        <f>'d)Pers.Técnico'!AQ24</f>
        <v>0</v>
      </c>
      <c r="AT26" s="3">
        <f>'d)Pers.Técnico'!AR24</f>
        <v>0</v>
      </c>
      <c r="AU26" s="3">
        <f>'d)Pers.Técnico'!AS24</f>
        <v>0</v>
      </c>
      <c r="AV26" s="3">
        <f>'d)Pers.Técnico'!AT24</f>
        <v>0</v>
      </c>
      <c r="AW26" s="3">
        <f>'d)Pers.Técnico'!AU24</f>
        <v>0</v>
      </c>
      <c r="AX26" s="3">
        <f>'d)Pers.Técnico'!AV24</f>
        <v>0</v>
      </c>
      <c r="AY26" s="3">
        <f>'d)Pers.Técnico'!AW24</f>
        <v>0</v>
      </c>
      <c r="AZ26" s="3">
        <f>'d)Pers.Técnico'!AX24</f>
        <v>0</v>
      </c>
      <c r="BA26" s="1">
        <f>'d)Pers.Técnico'!AY24</f>
        <v>0</v>
      </c>
      <c r="BB26" s="60">
        <f>'d)Pers.Técnico'!AZ24</f>
        <v>0</v>
      </c>
      <c r="BC26" s="61">
        <f>'d)Pers.Técnico'!BA24</f>
        <v>0</v>
      </c>
      <c r="BD26" s="3">
        <f>'d)Pers.Técnico'!BB24</f>
        <v>0</v>
      </c>
      <c r="BE26" s="3">
        <f>'d)Pers.Técnico'!BC24</f>
        <v>0</v>
      </c>
      <c r="BF26" s="3">
        <f>'d)Pers.Técnico'!BD24</f>
        <v>0</v>
      </c>
      <c r="BG26" s="3">
        <f>'d)Pers.Técnico'!BE24</f>
        <v>0</v>
      </c>
      <c r="BH26" s="3">
        <f>'d)Pers.Técnico'!BF24</f>
        <v>0</v>
      </c>
      <c r="BI26" s="3">
        <f>'d)Pers.Técnico'!BG24</f>
        <v>0</v>
      </c>
      <c r="BJ26" s="3">
        <f>'d)Pers.Técnico'!BH24</f>
        <v>0</v>
      </c>
      <c r="BK26" s="3">
        <f>'d)Pers.Técnico'!BI24</f>
        <v>0</v>
      </c>
      <c r="BL26" s="3">
        <f>'d)Pers.Técnico'!BJ24</f>
        <v>0</v>
      </c>
      <c r="BM26" s="3">
        <f>'d)Pers.Técnico'!BK24</f>
        <v>0</v>
      </c>
      <c r="BN26" s="14">
        <f>'d)Pers.Técnico'!BL24</f>
        <v>0</v>
      </c>
    </row>
    <row r="27" spans="1:66">
      <c r="A27" s="67"/>
      <c r="B27" s="46" t="str">
        <f>+'d)Pers.Técnico'!B24</f>
        <v/>
      </c>
      <c r="C27" s="127" t="str">
        <f>'d)Pers.Técnico'!C24</f>
        <v/>
      </c>
      <c r="D27" s="52">
        <f>SUM(G26:BN26)</f>
        <v>0</v>
      </c>
      <c r="E27" s="7">
        <f>IF('a)Plantilla'!C9&gt;0,'a)Plantilla'!D9/30,0)</f>
        <v>0</v>
      </c>
      <c r="F27" s="7">
        <f>SUM(G27:BN27)</f>
        <v>0</v>
      </c>
      <c r="G27" s="2">
        <f>IF(TipoProgramaPersonalTecnico=1,$E27*'a)Plantilla'!$C9*Programa!D$13,IF(TipoProgramaPersonalTecnico=2,$E27*G26,$E27/Hjor*G26))</f>
        <v>0</v>
      </c>
      <c r="H27" s="2">
        <f>IF(TipoProgramaPersonalTecnico=1,$E27*'a)Plantilla'!$C9*Programa!D$14,IF(TipoProgramaPersonalTecnico=2,$E27*H26,$E27/Hjor*H26))</f>
        <v>0</v>
      </c>
      <c r="I27" s="2">
        <f>IF(TipoProgramaPersonalTecnico=1,$E27*'a)Plantilla'!$C9*Programa!D$15,IF(TipoProgramaPersonalTecnico=2,$E27*I26,$E27/Hjor*I26))</f>
        <v>0</v>
      </c>
      <c r="J27" s="2">
        <f>IF(TipoProgramaPersonalTecnico=1,$E27*'a)Plantilla'!$C9*Programa!D$16,IF(TipoProgramaPersonalTecnico=2,$E27*J26,$E27/Hjor*J26))</f>
        <v>0</v>
      </c>
      <c r="K27" s="2">
        <f>IF(TipoProgramaPersonalTecnico=1,$E27*'a)Plantilla'!$C9*Programa!D$17,IF(TipoProgramaPersonalTecnico=2,$E27*K26,$E27/Hjor*K26))</f>
        <v>0</v>
      </c>
      <c r="L27" s="2">
        <f>IF(TipoProgramaPersonalTecnico=1,$E27*'a)Plantilla'!$C9*Programa!D$18,IF(TipoProgramaPersonalTecnico=2,$E27*L26,$E27/Hjor*L26))</f>
        <v>0</v>
      </c>
      <c r="M27" s="2">
        <f>IF(TipoProgramaPersonalTecnico=1,$E27*'a)Plantilla'!$C9*Programa!D$19,IF(TipoProgramaPersonalTecnico=2,$E27*M26,$E27/Hjor*M26))</f>
        <v>0</v>
      </c>
      <c r="N27" s="2">
        <f>IF(TipoProgramaPersonalTecnico=1,$E27*'a)Plantilla'!$C9*Programa!D$20,IF(TipoProgramaPersonalTecnico=2,$E27*N26,$E27/Hjor*N26))</f>
        <v>0</v>
      </c>
      <c r="O27" s="2">
        <f>IF(TipoProgramaPersonalTecnico=1,$E27*'a)Plantilla'!$C9*Programa!D$21,IF(TipoProgramaPersonalTecnico=2,$E27*O26,$E27/Hjor*O26))</f>
        <v>0</v>
      </c>
      <c r="P27" s="2">
        <f>IF(TipoProgramaPersonalTecnico=1,$E27*'a)Plantilla'!$C9*Programa!D$22,IF(TipoProgramaPersonalTecnico=2,$E27*P26,$E27/Hjor*P26))</f>
        <v>0</v>
      </c>
      <c r="Q27" s="2">
        <f>IF(TipoProgramaPersonalTecnico=1,$E27*'a)Plantilla'!$C9*Programa!D$23,IF(TipoProgramaPersonalTecnico=2,$E27*Q26,$E27/Hjor*Q26))</f>
        <v>0</v>
      </c>
      <c r="R27" s="12">
        <f>IF(TipoProgramaPersonalTecnico=1,$E27*'a)Plantilla'!$C9*Programa!D$24,IF(TipoProgramaPersonalTecnico=2,$E27*R26,$E27/Hjor*R26))</f>
        <v>0</v>
      </c>
      <c r="S27" s="7">
        <f>IF(TipoProgramaPersonalTecnico=1,$E27*'a)Plantilla'!$C9*Programa!D$25,IF(TipoProgramaPersonalTecnico=2,$E27*S26,$E27/Hjor*S26))</f>
        <v>0</v>
      </c>
      <c r="T27" s="2">
        <f>IF(TipoProgramaPersonalTecnico=1,$E27*'a)Plantilla'!$C9*Programa!D$26,IF(TipoProgramaPersonalTecnico=2,$E27*T26,$E27/Hjor*T26))</f>
        <v>0</v>
      </c>
      <c r="U27" s="2">
        <f>IF(TipoProgramaPersonalTecnico=1,$E27*'a)Plantilla'!$C9*Programa!D$27,IF(TipoProgramaPersonalTecnico=2,$E27*U26,$E27/Hjor*U26))</f>
        <v>0</v>
      </c>
      <c r="V27" s="2">
        <f>IF(TipoProgramaPersonalTecnico=1,$E27*'a)Plantilla'!$C9*Programa!D$28,IF(TipoProgramaPersonalTecnico=2,$E27*V26,$E27/Hjor*V26))</f>
        <v>0</v>
      </c>
      <c r="W27" s="2">
        <f>IF(TipoProgramaPersonalTecnico=1,$E27*'a)Plantilla'!$C9*Programa!D$29,IF(TipoProgramaPersonalTecnico=2,$E27*W26,$E27/Hjor*W26))</f>
        <v>0</v>
      </c>
      <c r="X27" s="2">
        <f>IF(TipoProgramaPersonalTecnico=1,$E27*'a)Plantilla'!$C9*Programa!D$30,IF(TipoProgramaPersonalTecnico=2,$E27*X26,$E27/Hjor*X26))</f>
        <v>0</v>
      </c>
      <c r="Y27" s="2">
        <f>IF(TipoProgramaPersonalTecnico=1,$E27*'a)Plantilla'!$C9*Programa!D$31,IF(TipoProgramaPersonalTecnico=2,$E27*Y26,$E27/Hjor*Y26))</f>
        <v>0</v>
      </c>
      <c r="Z27" s="2">
        <f>IF(TipoProgramaPersonalTecnico=1,$E27*'a)Plantilla'!$C9*Programa!D$32,IF(TipoProgramaPersonalTecnico=2,$E27*Z26,$E27/Hjor*Z26))</f>
        <v>0</v>
      </c>
      <c r="AA27" s="2">
        <f>IF(TipoProgramaPersonalTecnico=1,$E27*'a)Plantilla'!$C9*Programa!D$33,IF(TipoProgramaPersonalTecnico=2,$E27*AA26,$E27/Hjor*AA26))</f>
        <v>0</v>
      </c>
      <c r="AB27" s="2">
        <f>IF(TipoProgramaPersonalTecnico=1,$E27*'a)Plantilla'!$C9*Programa!D$34,IF(TipoProgramaPersonalTecnico=2,$E27*AB26,$E27/Hjor*AB26))</f>
        <v>0</v>
      </c>
      <c r="AC27" s="2">
        <f>IF(TipoProgramaPersonalTecnico=1,$E27*'a)Plantilla'!$C9*Programa!D$35,IF(TipoProgramaPersonalTecnico=2,$E27*AC26,$E27/Hjor*AC26))</f>
        <v>0</v>
      </c>
      <c r="AD27" s="12">
        <f>IF(TipoProgramaPersonalTecnico=1,$E27*'a)Plantilla'!$C9*Programa!D$36,IF(TipoProgramaPersonalTecnico=2,$E27*AD26,$E27/Hjor*AD26))</f>
        <v>0</v>
      </c>
      <c r="AE27" s="7">
        <f>IF(TipoProgramaPersonalTecnico=1,$E27*'a)Plantilla'!$C9*Programa!D$37,IF(TipoProgramaPersonalTecnico=2,$E27*AE26,$E27/Hjor*AE26))</f>
        <v>0</v>
      </c>
      <c r="AF27" s="2">
        <f>IF(TipoProgramaPersonalTecnico=1,$E27*'a)Plantilla'!$C9*Programa!D$38,IF(TipoProgramaPersonalTecnico=2,$E27*AF26,$E27/Hjor*AF26))</f>
        <v>0</v>
      </c>
      <c r="AG27" s="2">
        <f>IF(TipoProgramaPersonalTecnico=1,$E27*'a)Plantilla'!$C9*Programa!D$39,IF(TipoProgramaPersonalTecnico=2,$E27*AG26,$E27/Hjor*AG26))</f>
        <v>0</v>
      </c>
      <c r="AH27" s="2">
        <f>IF(TipoProgramaPersonalTecnico=1,$E27*'a)Plantilla'!$C9*Programa!D$40,IF(TipoProgramaPersonalTecnico=2,$E27*AH26,$E27/Hjor*AH26))</f>
        <v>0</v>
      </c>
      <c r="AI27" s="2">
        <f>IF(TipoProgramaPersonalTecnico=1,$E27*'a)Plantilla'!$C9*Programa!D$41,IF(TipoProgramaPersonalTecnico=2,$E27*AI26,$E27/Hjor*AI26))</f>
        <v>0</v>
      </c>
      <c r="AJ27" s="2">
        <f>IF(TipoProgramaPersonalTecnico=1,$E27*'a)Plantilla'!$C9*Programa!D$42,IF(TipoProgramaPersonalTecnico=2,$E27*AJ26,$E27/Hjor*AJ26))</f>
        <v>0</v>
      </c>
      <c r="AK27" s="2">
        <f>IF(TipoProgramaPersonalTecnico=1,$E27*'a)Plantilla'!$C9*Programa!D$43,IF(TipoProgramaPersonalTecnico=2,$E27*AK26,$E27/Hjor*AK26))</f>
        <v>0</v>
      </c>
      <c r="AL27" s="2">
        <f>IF(TipoProgramaPersonalTecnico=1,$E27*'a)Plantilla'!$C9*Programa!D$44,IF(TipoProgramaPersonalTecnico=2,$E27*AL26,$E27/Hjor*AL26))</f>
        <v>0</v>
      </c>
      <c r="AM27" s="2">
        <f>IF(TipoProgramaPersonalTecnico=1,$E27*'a)Plantilla'!$C9*Programa!D$45,IF(TipoProgramaPersonalTecnico=2,$E27*AM26,$E27/Hjor*AM26))</f>
        <v>0</v>
      </c>
      <c r="AN27" s="2">
        <f>IF(TipoProgramaPersonalTecnico=1,$E27*'a)Plantilla'!$C9*Programa!D$46,IF(TipoProgramaPersonalTecnico=2,$E27*AN26,$E27/Hjor*AN26))</f>
        <v>0</v>
      </c>
      <c r="AO27" s="2">
        <f>IF(TipoProgramaPersonalTecnico=1,$E27*'a)Plantilla'!$C9*Programa!D$47,IF(TipoProgramaPersonalTecnico=2,$E27*AO26,$E27/Hjor*AO26))</f>
        <v>0</v>
      </c>
      <c r="AP27" s="12">
        <f>IF(TipoProgramaPersonalTecnico=1,$E27*'a)Plantilla'!$C9*Programa!D$48,IF(TipoProgramaPersonalTecnico=2,$E27*AP26,$E27/Hjor*AP26))</f>
        <v>0</v>
      </c>
      <c r="AQ27" s="7">
        <f>IF(TipoProgramaPersonalTecnico=1,$E27*'a)Plantilla'!$C9*Programa!D$49,IF(TipoProgramaPersonalTecnico=2,$E27*AQ26,$E27/Hjor*AQ26))</f>
        <v>0</v>
      </c>
      <c r="AR27" s="2">
        <f>IF(TipoProgramaPersonalTecnico=1,$E27*'a)Plantilla'!$C9*Programa!D$50,IF(TipoProgramaPersonalTecnico=2,$E27*AR26,$E27/Hjor*AR26))</f>
        <v>0</v>
      </c>
      <c r="AS27" s="2">
        <f>IF(TipoProgramaPersonalTecnico=1,$E27*'a)Plantilla'!$C9*Programa!D$51,IF(TipoProgramaPersonalTecnico=2,$E27*AS26,$E27/Hjor*AS26))</f>
        <v>0</v>
      </c>
      <c r="AT27" s="2">
        <f>IF(TipoProgramaPersonalTecnico=1,$E27*'a)Plantilla'!$C9*Programa!D$52,IF(TipoProgramaPersonalTecnico=2,$E27*AT26,$E27/Hjor*AT26))</f>
        <v>0</v>
      </c>
      <c r="AU27" s="2">
        <f>IF(TipoProgramaPersonalTecnico=1,$E27*'a)Plantilla'!$C9*Programa!D$53,IF(TipoProgramaPersonalTecnico=2,$E27*AU26,$E27/Hjor*AU26))</f>
        <v>0</v>
      </c>
      <c r="AV27" s="2">
        <f>IF(TipoProgramaPersonalTecnico=1,$E27*'a)Plantilla'!$C9*Programa!D$54,IF(TipoProgramaPersonalTecnico=2,$E27*AV26,$E27/Hjor*AV26))</f>
        <v>0</v>
      </c>
      <c r="AW27" s="2">
        <f>IF(TipoProgramaPersonalTecnico=1,$E27*'a)Plantilla'!$C9*Programa!D$55,IF(TipoProgramaPersonalTecnico=2,$E27*AW26,$E27/Hjor*AW26))</f>
        <v>0</v>
      </c>
      <c r="AX27" s="2">
        <f>IF(TipoProgramaPersonalTecnico=1,$E27*'a)Plantilla'!$C9*Programa!D$56,IF(TipoProgramaPersonalTecnico=2,$E27*AX26,$E27/Hjor*AX26))</f>
        <v>0</v>
      </c>
      <c r="AY27" s="2">
        <f>IF(TipoProgramaPersonalTecnico=1,$E27*'a)Plantilla'!$C9*Programa!D$57,IF(TipoProgramaPersonalTecnico=2,$E27*AY26,$E27/Hjor*AY26))</f>
        <v>0</v>
      </c>
      <c r="AZ27" s="2">
        <f>IF(TipoProgramaPersonalTecnico=1,$E27*'a)Plantilla'!$C9*Programa!D$58,IF(TipoProgramaPersonalTecnico=2,$E27*AZ26,$E27/Hjor*AZ26))</f>
        <v>0</v>
      </c>
      <c r="BA27" s="55">
        <f>IF(TipoProgramaPersonalTecnico=1,$E27*'a)Plantilla'!$C9*Programa!D$59,IF(TipoProgramaPersonalTecnico=2,$E27*BA26,$E27/Hjor*BA26))</f>
        <v>0</v>
      </c>
      <c r="BB27" s="56">
        <f>IF(TipoProgramaPersonalTecnico=1,$E27*'a)Plantilla'!$C9*Programa!D$60,IF(TipoProgramaPersonalTecnico=2,$E27*BB26,$E27/Hjor*BB26))</f>
        <v>0</v>
      </c>
      <c r="BC27" s="53">
        <f>IF(TipoProgramaPersonalTecnico=1,$E27*'a)Plantilla'!$C9*Programa!D$61,IF(TipoProgramaPersonalTecnico=2,$E27*BC26,$E27/Hjor*BC26))</f>
        <v>0</v>
      </c>
      <c r="BD27" s="2">
        <f>IF(TipoProgramaPersonalTecnico=1,$E27*'a)Plantilla'!$C9*Programa!D$62,IF(TipoProgramaPersonalTecnico=2,$E27*BD26,$E27/Hjor*BD26))</f>
        <v>0</v>
      </c>
      <c r="BE27" s="2">
        <f>IF(TipoProgramaPersonalTecnico=1,$E27*'a)Plantilla'!$C9*Programa!D$63,IF(TipoProgramaPersonalTecnico=2,$E27*BE26,$E27/Hjor*BE26))</f>
        <v>0</v>
      </c>
      <c r="BF27" s="2">
        <f>IF(TipoProgramaPersonalTecnico=1,$E27*'a)Plantilla'!$C9*Programa!D$64,IF(TipoProgramaPersonalTecnico=2,$E27*BF26,$E27/Hjor*BF26))</f>
        <v>0</v>
      </c>
      <c r="BG27" s="2">
        <f>IF(TipoProgramaPersonalTecnico=1,$E27*'a)Plantilla'!$C9*Programa!D$65,IF(TipoProgramaPersonalTecnico=2,$E27*BG26,$E27/Hjor*BG26))</f>
        <v>0</v>
      </c>
      <c r="BH27" s="2">
        <f>IF(TipoProgramaPersonalTecnico=1,$E27*'a)Plantilla'!$C9*Programa!D$66,IF(TipoProgramaPersonalTecnico=2,$E27*BH26,$E27/Hjor*BH26))</f>
        <v>0</v>
      </c>
      <c r="BI27" s="2">
        <f>IF(TipoProgramaPersonalTecnico=1,$E27*'a)Plantilla'!$C9*Programa!D$67,IF(TipoProgramaPersonalTecnico=2,$E27*BI26,$E27/Hjor*BI26))</f>
        <v>0</v>
      </c>
      <c r="BJ27" s="2">
        <f>IF(TipoProgramaPersonalTecnico=1,$E27*'a)Plantilla'!$C9*Programa!D$68,IF(TipoProgramaPersonalTecnico=2,$E27*BJ26,$E27/Hjor*BJ26))</f>
        <v>0</v>
      </c>
      <c r="BK27" s="2">
        <f>IF(TipoProgramaPersonalTecnico=1,$E27*'a)Plantilla'!$C9*Programa!D$69,IF(TipoProgramaPersonalTecnico=2,$E27*BK26,$E27/Hjor*BK26))</f>
        <v>0</v>
      </c>
      <c r="BL27" s="2">
        <f>IF(TipoProgramaPersonalTecnico=1,$E27*'a)Plantilla'!$C9*Programa!D$70,IF(TipoProgramaPersonalTecnico=2,$E27*BL26,$E27/Hjor*BL26))</f>
        <v>0</v>
      </c>
      <c r="BM27" s="2">
        <f>IF(TipoProgramaPersonalTecnico=1,$E27*'a)Plantilla'!$C9*Programa!D$71,IF(TipoProgramaPersonalTecnico=2,$E27*BM26,$E27/Hjor*BM26))</f>
        <v>0</v>
      </c>
      <c r="BN27" s="12">
        <f>IF(TipoProgramaPersonalTecnico=1,$E27*'a)Plantilla'!$C9*Programa!D$72,IF(TipoProgramaPersonalTecnico=2,$E27*BN26,$E27/Hjor*BN26))</f>
        <v>0</v>
      </c>
    </row>
    <row r="28" spans="1:66" ht="7.5" customHeight="1">
      <c r="A28" s="67"/>
      <c r="B28" s="19"/>
      <c r="C28" s="127"/>
      <c r="D28" s="54"/>
      <c r="E28" s="19"/>
      <c r="F28" s="19"/>
      <c r="G28" s="1" t="s">
        <v>168</v>
      </c>
      <c r="H28" s="1" t="s">
        <v>168</v>
      </c>
      <c r="I28" s="1" t="s">
        <v>168</v>
      </c>
      <c r="J28" s="1" t="s">
        <v>168</v>
      </c>
      <c r="K28" s="1" t="s">
        <v>168</v>
      </c>
      <c r="L28" s="1" t="s">
        <v>168</v>
      </c>
      <c r="M28" s="1" t="s">
        <v>168</v>
      </c>
      <c r="N28" s="1" t="s">
        <v>168</v>
      </c>
      <c r="O28" s="1" t="s">
        <v>168</v>
      </c>
      <c r="P28" s="1" t="s">
        <v>168</v>
      </c>
      <c r="Q28" s="1" t="s">
        <v>168</v>
      </c>
      <c r="R28" s="8" t="s">
        <v>168</v>
      </c>
      <c r="S28" s="13" t="s">
        <v>168</v>
      </c>
      <c r="T28" s="1" t="s">
        <v>168</v>
      </c>
      <c r="U28" s="1" t="s">
        <v>168</v>
      </c>
      <c r="V28" s="1" t="s">
        <v>168</v>
      </c>
      <c r="W28" s="1" t="s">
        <v>168</v>
      </c>
      <c r="X28" s="1" t="s">
        <v>168</v>
      </c>
      <c r="Y28" s="1" t="s">
        <v>168</v>
      </c>
      <c r="Z28" s="1" t="s">
        <v>168</v>
      </c>
      <c r="AA28" s="1" t="s">
        <v>168</v>
      </c>
      <c r="AB28" s="1" t="s">
        <v>168</v>
      </c>
      <c r="AC28" s="1" t="s">
        <v>168</v>
      </c>
      <c r="AD28" s="8" t="s">
        <v>168</v>
      </c>
      <c r="AE28" s="13" t="s">
        <v>168</v>
      </c>
      <c r="AF28" s="1" t="s">
        <v>168</v>
      </c>
      <c r="AG28" s="1" t="s">
        <v>168</v>
      </c>
      <c r="AH28" s="1" t="s">
        <v>168</v>
      </c>
      <c r="AI28" s="1" t="s">
        <v>168</v>
      </c>
      <c r="AJ28" s="1" t="s">
        <v>168</v>
      </c>
      <c r="AK28" s="1" t="s">
        <v>168</v>
      </c>
      <c r="AL28" s="1" t="s">
        <v>168</v>
      </c>
      <c r="AM28" s="1" t="s">
        <v>168</v>
      </c>
      <c r="AN28" s="1" t="s">
        <v>168</v>
      </c>
      <c r="AO28" s="1" t="s">
        <v>168</v>
      </c>
      <c r="AP28" s="8" t="s">
        <v>168</v>
      </c>
      <c r="AQ28" s="13" t="s">
        <v>168</v>
      </c>
      <c r="AR28" s="1" t="s">
        <v>168</v>
      </c>
      <c r="AS28" s="1" t="s">
        <v>168</v>
      </c>
      <c r="AT28" s="1" t="s">
        <v>168</v>
      </c>
      <c r="AU28" s="1" t="s">
        <v>168</v>
      </c>
      <c r="AV28" s="1" t="s">
        <v>168</v>
      </c>
      <c r="AW28" s="1" t="s">
        <v>168</v>
      </c>
      <c r="AX28" s="1" t="s">
        <v>168</v>
      </c>
      <c r="AY28" s="1" t="s">
        <v>168</v>
      </c>
      <c r="AZ28" s="1" t="s">
        <v>168</v>
      </c>
      <c r="BA28" s="1" t="s">
        <v>168</v>
      </c>
      <c r="BB28" s="8" t="s">
        <v>168</v>
      </c>
      <c r="BC28" s="13" t="s">
        <v>168</v>
      </c>
      <c r="BD28" s="1" t="s">
        <v>168</v>
      </c>
      <c r="BE28" s="1" t="s">
        <v>168</v>
      </c>
      <c r="BF28" s="1" t="s">
        <v>168</v>
      </c>
      <c r="BG28" s="1" t="s">
        <v>168</v>
      </c>
      <c r="BH28" s="1" t="s">
        <v>168</v>
      </c>
      <c r="BI28" s="1" t="s">
        <v>168</v>
      </c>
      <c r="BJ28" s="1" t="s">
        <v>168</v>
      </c>
      <c r="BK28" s="1" t="s">
        <v>168</v>
      </c>
      <c r="BL28" s="1" t="s">
        <v>168</v>
      </c>
      <c r="BM28" s="1" t="s">
        <v>168</v>
      </c>
      <c r="BN28" s="8" t="s">
        <v>168</v>
      </c>
    </row>
    <row r="29" spans="1:66">
      <c r="A29" s="67"/>
      <c r="B29" s="46"/>
      <c r="C29" s="127"/>
      <c r="D29" s="52"/>
      <c r="E29" s="59"/>
      <c r="F29" s="59"/>
      <c r="G29" s="3">
        <f>'d)Pers.Técnico'!E26</f>
        <v>0</v>
      </c>
      <c r="H29" s="3">
        <f>'d)Pers.Técnico'!F26</f>
        <v>0</v>
      </c>
      <c r="I29" s="3">
        <f>'d)Pers.Técnico'!G26</f>
        <v>0</v>
      </c>
      <c r="J29" s="3">
        <f>'d)Pers.Técnico'!H26</f>
        <v>0</v>
      </c>
      <c r="K29" s="3">
        <f>'d)Pers.Técnico'!I26</f>
        <v>0</v>
      </c>
      <c r="L29" s="3">
        <f>'d)Pers.Técnico'!J26</f>
        <v>0</v>
      </c>
      <c r="M29" s="3">
        <f>'d)Pers.Técnico'!K26</f>
        <v>0</v>
      </c>
      <c r="N29" s="3">
        <f>'d)Pers.Técnico'!L26</f>
        <v>0</v>
      </c>
      <c r="O29" s="3">
        <f>'d)Pers.Técnico'!M26</f>
        <v>0</v>
      </c>
      <c r="P29" s="3">
        <f>'d)Pers.Técnico'!N26</f>
        <v>0</v>
      </c>
      <c r="Q29" s="3">
        <f>'d)Pers.Técnico'!O26</f>
        <v>0</v>
      </c>
      <c r="R29" s="14">
        <f>'d)Pers.Técnico'!P26</f>
        <v>0</v>
      </c>
      <c r="S29" s="20">
        <f>'d)Pers.Técnico'!Q26</f>
        <v>0</v>
      </c>
      <c r="T29" s="3">
        <f>'d)Pers.Técnico'!R26</f>
        <v>0</v>
      </c>
      <c r="U29" s="3">
        <f>'d)Pers.Técnico'!S26</f>
        <v>0</v>
      </c>
      <c r="V29" s="3">
        <f>'d)Pers.Técnico'!T26</f>
        <v>0</v>
      </c>
      <c r="W29" s="3">
        <f>'d)Pers.Técnico'!U26</f>
        <v>0</v>
      </c>
      <c r="X29" s="3">
        <f>'d)Pers.Técnico'!V26</f>
        <v>0</v>
      </c>
      <c r="Y29" s="3">
        <f>'d)Pers.Técnico'!W26</f>
        <v>0</v>
      </c>
      <c r="Z29" s="3">
        <f>'d)Pers.Técnico'!X26</f>
        <v>0</v>
      </c>
      <c r="AA29" s="3">
        <f>'d)Pers.Técnico'!Y26</f>
        <v>0</v>
      </c>
      <c r="AB29" s="3">
        <f>'d)Pers.Técnico'!Z26</f>
        <v>0</v>
      </c>
      <c r="AC29" s="3">
        <f>'d)Pers.Técnico'!AA26</f>
        <v>0</v>
      </c>
      <c r="AD29" s="14">
        <f>'d)Pers.Técnico'!AB26</f>
        <v>0</v>
      </c>
      <c r="AE29" s="20">
        <f>'d)Pers.Técnico'!AC26</f>
        <v>0</v>
      </c>
      <c r="AF29" s="3">
        <f>'d)Pers.Técnico'!AD26</f>
        <v>0</v>
      </c>
      <c r="AG29" s="3">
        <f>'d)Pers.Técnico'!AE26</f>
        <v>0</v>
      </c>
      <c r="AH29" s="3">
        <f>'d)Pers.Técnico'!AF26</f>
        <v>0</v>
      </c>
      <c r="AI29" s="3">
        <f>'d)Pers.Técnico'!AG26</f>
        <v>0</v>
      </c>
      <c r="AJ29" s="3">
        <f>'d)Pers.Técnico'!AH26</f>
        <v>0</v>
      </c>
      <c r="AK29" s="3">
        <f>'d)Pers.Técnico'!AI26</f>
        <v>0</v>
      </c>
      <c r="AL29" s="3">
        <f>'d)Pers.Técnico'!AJ26</f>
        <v>0</v>
      </c>
      <c r="AM29" s="3">
        <f>'d)Pers.Técnico'!AK26</f>
        <v>0</v>
      </c>
      <c r="AN29" s="3">
        <f>'d)Pers.Técnico'!AL26</f>
        <v>0</v>
      </c>
      <c r="AO29" s="3">
        <f>'d)Pers.Técnico'!AM26</f>
        <v>0</v>
      </c>
      <c r="AP29" s="14">
        <f>'d)Pers.Técnico'!AN26</f>
        <v>0</v>
      </c>
      <c r="AQ29" s="20">
        <f>'d)Pers.Técnico'!AO26</f>
        <v>0</v>
      </c>
      <c r="AR29" s="3">
        <f>'d)Pers.Técnico'!AP26</f>
        <v>0</v>
      </c>
      <c r="AS29" s="3">
        <f>'d)Pers.Técnico'!AQ26</f>
        <v>0</v>
      </c>
      <c r="AT29" s="3">
        <f>'d)Pers.Técnico'!AR26</f>
        <v>0</v>
      </c>
      <c r="AU29" s="3">
        <f>'d)Pers.Técnico'!AS26</f>
        <v>0</v>
      </c>
      <c r="AV29" s="3">
        <f>'d)Pers.Técnico'!AT26</f>
        <v>0</v>
      </c>
      <c r="AW29" s="3">
        <f>'d)Pers.Técnico'!AU26</f>
        <v>0</v>
      </c>
      <c r="AX29" s="3">
        <f>'d)Pers.Técnico'!AV26</f>
        <v>0</v>
      </c>
      <c r="AY29" s="3">
        <f>'d)Pers.Técnico'!AW26</f>
        <v>0</v>
      </c>
      <c r="AZ29" s="3">
        <f>'d)Pers.Técnico'!AX26</f>
        <v>0</v>
      </c>
      <c r="BA29" s="1">
        <f>'d)Pers.Técnico'!AY26</f>
        <v>0</v>
      </c>
      <c r="BB29" s="60">
        <f>'d)Pers.Técnico'!AZ26</f>
        <v>0</v>
      </c>
      <c r="BC29" s="61">
        <f>'d)Pers.Técnico'!BA26</f>
        <v>0</v>
      </c>
      <c r="BD29" s="3">
        <f>'d)Pers.Técnico'!BB26</f>
        <v>0</v>
      </c>
      <c r="BE29" s="3">
        <f>'d)Pers.Técnico'!BC26</f>
        <v>0</v>
      </c>
      <c r="BF29" s="3">
        <f>'d)Pers.Técnico'!BD26</f>
        <v>0</v>
      </c>
      <c r="BG29" s="3">
        <f>'d)Pers.Técnico'!BE26</f>
        <v>0</v>
      </c>
      <c r="BH29" s="3">
        <f>'d)Pers.Técnico'!BF26</f>
        <v>0</v>
      </c>
      <c r="BI29" s="3">
        <f>'d)Pers.Técnico'!BG26</f>
        <v>0</v>
      </c>
      <c r="BJ29" s="3">
        <f>'d)Pers.Técnico'!BH26</f>
        <v>0</v>
      </c>
      <c r="BK29" s="3">
        <f>'d)Pers.Técnico'!BI26</f>
        <v>0</v>
      </c>
      <c r="BL29" s="3">
        <f>'d)Pers.Técnico'!BJ26</f>
        <v>0</v>
      </c>
      <c r="BM29" s="3">
        <f>'d)Pers.Técnico'!BK26</f>
        <v>0</v>
      </c>
      <c r="BN29" s="14">
        <f>'d)Pers.Técnico'!BL26</f>
        <v>0</v>
      </c>
    </row>
    <row r="30" spans="1:66">
      <c r="A30" s="67"/>
      <c r="B30" s="46" t="str">
        <f>+'d)Pers.Técnico'!B26</f>
        <v/>
      </c>
      <c r="C30" s="127" t="str">
        <f>'d)Pers.Técnico'!C26</f>
        <v/>
      </c>
      <c r="D30" s="52">
        <f>SUM(G29:BN29)</f>
        <v>0</v>
      </c>
      <c r="E30" s="7">
        <f>IF('a)Plantilla'!C10&gt;0,'a)Plantilla'!D10/30,0)</f>
        <v>0</v>
      </c>
      <c r="F30" s="7">
        <f>SUM(G30:BN30)</f>
        <v>0</v>
      </c>
      <c r="G30" s="2">
        <f>IF(TipoProgramaPersonalTecnico=1,$E30*'a)Plantilla'!$C10*Programa!D$13,IF(TipoProgramaPersonalTecnico=2,$E30*G29,$E30/Hjor*G29))</f>
        <v>0</v>
      </c>
      <c r="H30" s="2">
        <f>IF(TipoProgramaPersonalTecnico=1,$E30*'a)Plantilla'!$C10*Programa!D$14,IF(TipoProgramaPersonalTecnico=2,$E30*H29,$E30/Hjor*H29))</f>
        <v>0</v>
      </c>
      <c r="I30" s="2">
        <f>IF(TipoProgramaPersonalTecnico=1,$E30*'a)Plantilla'!$C10*Programa!D$15,IF(TipoProgramaPersonalTecnico=2,$E30*I29,$E30/Hjor*I29))</f>
        <v>0</v>
      </c>
      <c r="J30" s="2">
        <f>IF(TipoProgramaPersonalTecnico=1,$E30*'a)Plantilla'!$C10*Programa!D$16,IF(TipoProgramaPersonalTecnico=2,$E30*J29,$E30/Hjor*J29))</f>
        <v>0</v>
      </c>
      <c r="K30" s="2">
        <f>IF(TipoProgramaPersonalTecnico=1,$E30*'a)Plantilla'!$C10*Programa!D$17,IF(TipoProgramaPersonalTecnico=2,$E30*K29,$E30/Hjor*K29))</f>
        <v>0</v>
      </c>
      <c r="L30" s="2">
        <f>IF(TipoProgramaPersonalTecnico=1,$E30*'a)Plantilla'!$C10*Programa!D$18,IF(TipoProgramaPersonalTecnico=2,$E30*L29,$E30/Hjor*L29))</f>
        <v>0</v>
      </c>
      <c r="M30" s="2">
        <f>IF(TipoProgramaPersonalTecnico=1,$E30*'a)Plantilla'!$C10*Programa!D$19,IF(TipoProgramaPersonalTecnico=2,$E30*M29,$E30/Hjor*M29))</f>
        <v>0</v>
      </c>
      <c r="N30" s="2">
        <f>IF(TipoProgramaPersonalTecnico=1,$E30*'a)Plantilla'!$C10*Programa!D$20,IF(TipoProgramaPersonalTecnico=2,$E30*N29,$E30/Hjor*N29))</f>
        <v>0</v>
      </c>
      <c r="O30" s="2">
        <f>IF(TipoProgramaPersonalTecnico=1,$E30*'a)Plantilla'!$C10*Programa!D$21,IF(TipoProgramaPersonalTecnico=2,$E30*O29,$E30/Hjor*O29))</f>
        <v>0</v>
      </c>
      <c r="P30" s="2">
        <f>IF(TipoProgramaPersonalTecnico=1,$E30*'a)Plantilla'!$C10*Programa!D$22,IF(TipoProgramaPersonalTecnico=2,$E30*P29,$E30/Hjor*P29))</f>
        <v>0</v>
      </c>
      <c r="Q30" s="2">
        <f>IF(TipoProgramaPersonalTecnico=1,$E30*'a)Plantilla'!$C10*Programa!D$23,IF(TipoProgramaPersonalTecnico=2,$E30*Q29,$E30/Hjor*Q29))</f>
        <v>0</v>
      </c>
      <c r="R30" s="12">
        <f>IF(TipoProgramaPersonalTecnico=1,$E30*'a)Plantilla'!$C10*Programa!D$24,IF(TipoProgramaPersonalTecnico=2,$E30*R29,$E30/Hjor*R29))</f>
        <v>0</v>
      </c>
      <c r="S30" s="7">
        <f>IF(TipoProgramaPersonalTecnico=1,$E30*'a)Plantilla'!$C10*Programa!D$25,IF(TipoProgramaPersonalTecnico=2,$E30*S29,$E30/Hjor*S29))</f>
        <v>0</v>
      </c>
      <c r="T30" s="2">
        <f>IF(TipoProgramaPersonalTecnico=1,$E30*'a)Plantilla'!$C10*Programa!D$26,IF(TipoProgramaPersonalTecnico=2,$E30*T29,$E30/Hjor*T29))</f>
        <v>0</v>
      </c>
      <c r="U30" s="2">
        <f>IF(TipoProgramaPersonalTecnico=1,$E30*'a)Plantilla'!$C10*Programa!D$27,IF(TipoProgramaPersonalTecnico=2,$E30*U29,$E30/Hjor*U29))</f>
        <v>0</v>
      </c>
      <c r="V30" s="2">
        <f>IF(TipoProgramaPersonalTecnico=1,$E30*'a)Plantilla'!$C10*Programa!D$28,IF(TipoProgramaPersonalTecnico=2,$E30*V29,$E30/Hjor*V29))</f>
        <v>0</v>
      </c>
      <c r="W30" s="2">
        <f>IF(TipoProgramaPersonalTecnico=1,$E30*'a)Plantilla'!$C10*Programa!D$29,IF(TipoProgramaPersonalTecnico=2,$E30*W29,$E30/Hjor*W29))</f>
        <v>0</v>
      </c>
      <c r="X30" s="2">
        <f>IF(TipoProgramaPersonalTecnico=1,$E30*'a)Plantilla'!$C10*Programa!D$30,IF(TipoProgramaPersonalTecnico=2,$E30*X29,$E30/Hjor*X29))</f>
        <v>0</v>
      </c>
      <c r="Y30" s="2">
        <f>IF(TipoProgramaPersonalTecnico=1,$E30*'a)Plantilla'!$C10*Programa!D$31,IF(TipoProgramaPersonalTecnico=2,$E30*Y29,$E30/Hjor*Y29))</f>
        <v>0</v>
      </c>
      <c r="Z30" s="2">
        <f>IF(TipoProgramaPersonalTecnico=1,$E30*'a)Plantilla'!$C10*Programa!D$32,IF(TipoProgramaPersonalTecnico=2,$E30*Z29,$E30/Hjor*Z29))</f>
        <v>0</v>
      </c>
      <c r="AA30" s="2">
        <f>IF(TipoProgramaPersonalTecnico=1,$E30*'a)Plantilla'!$C10*Programa!D$33,IF(TipoProgramaPersonalTecnico=2,$E30*AA29,$E30/Hjor*AA29))</f>
        <v>0</v>
      </c>
      <c r="AB30" s="2">
        <f>IF(TipoProgramaPersonalTecnico=1,$E30*'a)Plantilla'!$C10*Programa!D$34,IF(TipoProgramaPersonalTecnico=2,$E30*AB29,$E30/Hjor*AB29))</f>
        <v>0</v>
      </c>
      <c r="AC30" s="2">
        <f>IF(TipoProgramaPersonalTecnico=1,$E30*'a)Plantilla'!$C10*Programa!D$35,IF(TipoProgramaPersonalTecnico=2,$E30*AC29,$E30/Hjor*AC29))</f>
        <v>0</v>
      </c>
      <c r="AD30" s="12">
        <f>IF(TipoProgramaPersonalTecnico=1,$E30*'a)Plantilla'!$C10*Programa!D$36,IF(TipoProgramaPersonalTecnico=2,$E30*AD29,$E30/Hjor*AD29))</f>
        <v>0</v>
      </c>
      <c r="AE30" s="7">
        <f>IF(TipoProgramaPersonalTecnico=1,$E30*'a)Plantilla'!$C10*Programa!D$37,IF(TipoProgramaPersonalTecnico=2,$E30*AE29,$E30/Hjor*AE29))</f>
        <v>0</v>
      </c>
      <c r="AF30" s="2">
        <f>IF(TipoProgramaPersonalTecnico=1,$E30*'a)Plantilla'!$C10*Programa!D$38,IF(TipoProgramaPersonalTecnico=2,$E30*AF29,$E30/Hjor*AF29))</f>
        <v>0</v>
      </c>
      <c r="AG30" s="2">
        <f>IF(TipoProgramaPersonalTecnico=1,$E30*'a)Plantilla'!$C10*Programa!D$39,IF(TipoProgramaPersonalTecnico=2,$E30*AG29,$E30/Hjor*AG29))</f>
        <v>0</v>
      </c>
      <c r="AH30" s="2">
        <f>IF(TipoProgramaPersonalTecnico=1,$E30*'a)Plantilla'!$C10*Programa!D$40,IF(TipoProgramaPersonalTecnico=2,$E30*AH29,$E30/Hjor*AH29))</f>
        <v>0</v>
      </c>
      <c r="AI30" s="2">
        <f>IF(TipoProgramaPersonalTecnico=1,$E30*'a)Plantilla'!$C10*Programa!D$41,IF(TipoProgramaPersonalTecnico=2,$E30*AI29,$E30/Hjor*AI29))</f>
        <v>0</v>
      </c>
      <c r="AJ30" s="2">
        <f>IF(TipoProgramaPersonalTecnico=1,$E30*'a)Plantilla'!$C10*Programa!D$42,IF(TipoProgramaPersonalTecnico=2,$E30*AJ29,$E30/Hjor*AJ29))</f>
        <v>0</v>
      </c>
      <c r="AK30" s="2">
        <f>IF(TipoProgramaPersonalTecnico=1,$E30*'a)Plantilla'!$C10*Programa!D$43,IF(TipoProgramaPersonalTecnico=2,$E30*AK29,$E30/Hjor*AK29))</f>
        <v>0</v>
      </c>
      <c r="AL30" s="2">
        <f>IF(TipoProgramaPersonalTecnico=1,$E30*'a)Plantilla'!$C10*Programa!D$44,IF(TipoProgramaPersonalTecnico=2,$E30*AL29,$E30/Hjor*AL29))</f>
        <v>0</v>
      </c>
      <c r="AM30" s="2">
        <f>IF(TipoProgramaPersonalTecnico=1,$E30*'a)Plantilla'!$C10*Programa!D$45,IF(TipoProgramaPersonalTecnico=2,$E30*AM29,$E30/Hjor*AM29))</f>
        <v>0</v>
      </c>
      <c r="AN30" s="2">
        <f>IF(TipoProgramaPersonalTecnico=1,$E30*'a)Plantilla'!$C10*Programa!D$46,IF(TipoProgramaPersonalTecnico=2,$E30*AN29,$E30/Hjor*AN29))</f>
        <v>0</v>
      </c>
      <c r="AO30" s="2">
        <f>IF(TipoProgramaPersonalTecnico=1,$E30*'a)Plantilla'!$C10*Programa!D$47,IF(TipoProgramaPersonalTecnico=2,$E30*AO29,$E30/Hjor*AO29))</f>
        <v>0</v>
      </c>
      <c r="AP30" s="12">
        <f>IF(TipoProgramaPersonalTecnico=1,$E30*'a)Plantilla'!$C10*Programa!D$48,IF(TipoProgramaPersonalTecnico=2,$E30*AP29,$E30/Hjor*AP29))</f>
        <v>0</v>
      </c>
      <c r="AQ30" s="7">
        <f>IF(TipoProgramaPersonalTecnico=1,$E30*'a)Plantilla'!$C10*Programa!D$49,IF(TipoProgramaPersonalTecnico=2,$E30*AQ29,$E30/Hjor*AQ29))</f>
        <v>0</v>
      </c>
      <c r="AR30" s="2">
        <f>IF(TipoProgramaPersonalTecnico=1,$E30*'a)Plantilla'!$C10*Programa!D$50,IF(TipoProgramaPersonalTecnico=2,$E30*AR29,$E30/Hjor*AR29))</f>
        <v>0</v>
      </c>
      <c r="AS30" s="2">
        <f>IF(TipoProgramaPersonalTecnico=1,$E30*'a)Plantilla'!$C10*Programa!D$51,IF(TipoProgramaPersonalTecnico=2,$E30*AS29,$E30/Hjor*AS29))</f>
        <v>0</v>
      </c>
      <c r="AT30" s="2">
        <f>IF(TipoProgramaPersonalTecnico=1,$E30*'a)Plantilla'!$C10*Programa!D$52,IF(TipoProgramaPersonalTecnico=2,$E30*AT29,$E30/Hjor*AT29))</f>
        <v>0</v>
      </c>
      <c r="AU30" s="2">
        <f>IF(TipoProgramaPersonalTecnico=1,$E30*'a)Plantilla'!$C10*Programa!D$53,IF(TipoProgramaPersonalTecnico=2,$E30*AU29,$E30/Hjor*AU29))</f>
        <v>0</v>
      </c>
      <c r="AV30" s="2">
        <f>IF(TipoProgramaPersonalTecnico=1,$E30*'a)Plantilla'!$C10*Programa!D$54,IF(TipoProgramaPersonalTecnico=2,$E30*AV29,$E30/Hjor*AV29))</f>
        <v>0</v>
      </c>
      <c r="AW30" s="2">
        <f>IF(TipoProgramaPersonalTecnico=1,$E30*'a)Plantilla'!$C10*Programa!D$55,IF(TipoProgramaPersonalTecnico=2,$E30*AW29,$E30/Hjor*AW29))</f>
        <v>0</v>
      </c>
      <c r="AX30" s="2">
        <f>IF(TipoProgramaPersonalTecnico=1,$E30*'a)Plantilla'!$C10*Programa!D$56,IF(TipoProgramaPersonalTecnico=2,$E30*AX29,$E30/Hjor*AX29))</f>
        <v>0</v>
      </c>
      <c r="AY30" s="2">
        <f>IF(TipoProgramaPersonalTecnico=1,$E30*'a)Plantilla'!$C10*Programa!D$57,IF(TipoProgramaPersonalTecnico=2,$E30*AY29,$E30/Hjor*AY29))</f>
        <v>0</v>
      </c>
      <c r="AZ30" s="2">
        <f>IF(TipoProgramaPersonalTecnico=1,$E30*'a)Plantilla'!$C10*Programa!D$58,IF(TipoProgramaPersonalTecnico=2,$E30*AZ29,$E30/Hjor*AZ29))</f>
        <v>0</v>
      </c>
      <c r="BA30" s="55">
        <f>IF(TipoProgramaPersonalTecnico=1,$E30*'a)Plantilla'!$C10*Programa!D$59,IF(TipoProgramaPersonalTecnico=2,$E30*BA29,$E30/Hjor*BA29))</f>
        <v>0</v>
      </c>
      <c r="BB30" s="56">
        <f>IF(TipoProgramaPersonalTecnico=1,$E30*'a)Plantilla'!$C10*Programa!D$60,IF(TipoProgramaPersonalTecnico=2,$E30*BB29,$E30/Hjor*BB29))</f>
        <v>0</v>
      </c>
      <c r="BC30" s="53">
        <f>IF(TipoProgramaPersonalTecnico=1,$E30*'a)Plantilla'!$C10*Programa!D$61,IF(TipoProgramaPersonalTecnico=2,$E30*BC29,$E30/Hjor*BC29))</f>
        <v>0</v>
      </c>
      <c r="BD30" s="2">
        <f>IF(TipoProgramaPersonalTecnico=1,$E30*'a)Plantilla'!$C10*Programa!D$62,IF(TipoProgramaPersonalTecnico=2,$E30*BD29,$E30/Hjor*BD29))</f>
        <v>0</v>
      </c>
      <c r="BE30" s="2">
        <f>IF(TipoProgramaPersonalTecnico=1,$E30*'a)Plantilla'!$C10*Programa!D$63,IF(TipoProgramaPersonalTecnico=2,$E30*BE29,$E30/Hjor*BE29))</f>
        <v>0</v>
      </c>
      <c r="BF30" s="2">
        <f>IF(TipoProgramaPersonalTecnico=1,$E30*'a)Plantilla'!$C10*Programa!D$64,IF(TipoProgramaPersonalTecnico=2,$E30*BF29,$E30/Hjor*BF29))</f>
        <v>0</v>
      </c>
      <c r="BG30" s="2">
        <f>IF(TipoProgramaPersonalTecnico=1,$E30*'a)Plantilla'!$C10*Programa!D$65,IF(TipoProgramaPersonalTecnico=2,$E30*BG29,$E30/Hjor*BG29))</f>
        <v>0</v>
      </c>
      <c r="BH30" s="2">
        <f>IF(TipoProgramaPersonalTecnico=1,$E30*'a)Plantilla'!$C10*Programa!D$66,IF(TipoProgramaPersonalTecnico=2,$E30*BH29,$E30/Hjor*BH29))</f>
        <v>0</v>
      </c>
      <c r="BI30" s="2">
        <f>IF(TipoProgramaPersonalTecnico=1,$E30*'a)Plantilla'!$C10*Programa!D$67,IF(TipoProgramaPersonalTecnico=2,$E30*BI29,$E30/Hjor*BI29))</f>
        <v>0</v>
      </c>
      <c r="BJ30" s="2">
        <f>IF(TipoProgramaPersonalTecnico=1,$E30*'a)Plantilla'!$C10*Programa!D$68,IF(TipoProgramaPersonalTecnico=2,$E30*BJ29,$E30/Hjor*BJ29))</f>
        <v>0</v>
      </c>
      <c r="BK30" s="2">
        <f>IF(TipoProgramaPersonalTecnico=1,$E30*'a)Plantilla'!$C10*Programa!D$69,IF(TipoProgramaPersonalTecnico=2,$E30*BK29,$E30/Hjor*BK29))</f>
        <v>0</v>
      </c>
      <c r="BL30" s="2">
        <f>IF(TipoProgramaPersonalTecnico=1,$E30*'a)Plantilla'!$C10*Programa!D$70,IF(TipoProgramaPersonalTecnico=2,$E30*BL29,$E30/Hjor*BL29))</f>
        <v>0</v>
      </c>
      <c r="BM30" s="2">
        <f>IF(TipoProgramaPersonalTecnico=1,$E30*'a)Plantilla'!$C10*Programa!D$71,IF(TipoProgramaPersonalTecnico=2,$E30*BM29,$E30/Hjor*BM29))</f>
        <v>0</v>
      </c>
      <c r="BN30" s="12">
        <f>IF(TipoProgramaPersonalTecnico=1,$E30*'a)Plantilla'!$C10*Programa!D$72,IF(TipoProgramaPersonalTecnico=2,$E30*BN29,$E30/Hjor*BN29))</f>
        <v>0</v>
      </c>
    </row>
    <row r="31" spans="1:66" ht="7.5" customHeight="1">
      <c r="A31" s="67"/>
      <c r="B31" s="19"/>
      <c r="C31" s="127"/>
      <c r="D31" s="54"/>
      <c r="E31" s="19"/>
      <c r="F31" s="19"/>
      <c r="G31" s="1" t="s">
        <v>168</v>
      </c>
      <c r="H31" s="1" t="s">
        <v>168</v>
      </c>
      <c r="I31" s="1" t="s">
        <v>168</v>
      </c>
      <c r="J31" s="1" t="s">
        <v>168</v>
      </c>
      <c r="K31" s="1" t="s">
        <v>168</v>
      </c>
      <c r="L31" s="1" t="s">
        <v>168</v>
      </c>
      <c r="M31" s="1" t="s">
        <v>168</v>
      </c>
      <c r="N31" s="1" t="s">
        <v>168</v>
      </c>
      <c r="O31" s="1" t="s">
        <v>168</v>
      </c>
      <c r="P31" s="1" t="s">
        <v>168</v>
      </c>
      <c r="Q31" s="1" t="s">
        <v>168</v>
      </c>
      <c r="R31" s="8" t="s">
        <v>168</v>
      </c>
      <c r="S31" s="13" t="s">
        <v>168</v>
      </c>
      <c r="T31" s="1" t="s">
        <v>168</v>
      </c>
      <c r="U31" s="1" t="s">
        <v>168</v>
      </c>
      <c r="V31" s="1" t="s">
        <v>168</v>
      </c>
      <c r="W31" s="1" t="s">
        <v>168</v>
      </c>
      <c r="X31" s="1" t="s">
        <v>168</v>
      </c>
      <c r="Y31" s="1" t="s">
        <v>168</v>
      </c>
      <c r="Z31" s="1" t="s">
        <v>168</v>
      </c>
      <c r="AA31" s="1" t="s">
        <v>168</v>
      </c>
      <c r="AB31" s="1" t="s">
        <v>168</v>
      </c>
      <c r="AC31" s="1" t="s">
        <v>168</v>
      </c>
      <c r="AD31" s="8" t="s">
        <v>168</v>
      </c>
      <c r="AE31" s="13" t="s">
        <v>168</v>
      </c>
      <c r="AF31" s="1" t="s">
        <v>168</v>
      </c>
      <c r="AG31" s="1" t="s">
        <v>168</v>
      </c>
      <c r="AH31" s="1" t="s">
        <v>168</v>
      </c>
      <c r="AI31" s="1" t="s">
        <v>168</v>
      </c>
      <c r="AJ31" s="1" t="s">
        <v>168</v>
      </c>
      <c r="AK31" s="1" t="s">
        <v>168</v>
      </c>
      <c r="AL31" s="1" t="s">
        <v>168</v>
      </c>
      <c r="AM31" s="1" t="s">
        <v>168</v>
      </c>
      <c r="AN31" s="1" t="s">
        <v>168</v>
      </c>
      <c r="AO31" s="1" t="s">
        <v>168</v>
      </c>
      <c r="AP31" s="8" t="s">
        <v>168</v>
      </c>
      <c r="AQ31" s="13" t="s">
        <v>168</v>
      </c>
      <c r="AR31" s="1" t="s">
        <v>168</v>
      </c>
      <c r="AS31" s="1" t="s">
        <v>168</v>
      </c>
      <c r="AT31" s="1" t="s">
        <v>168</v>
      </c>
      <c r="AU31" s="1" t="s">
        <v>168</v>
      </c>
      <c r="AV31" s="1" t="s">
        <v>168</v>
      </c>
      <c r="AW31" s="1" t="s">
        <v>168</v>
      </c>
      <c r="AX31" s="1" t="s">
        <v>168</v>
      </c>
      <c r="AY31" s="1" t="s">
        <v>168</v>
      </c>
      <c r="AZ31" s="1" t="s">
        <v>168</v>
      </c>
      <c r="BA31" s="1" t="s">
        <v>168</v>
      </c>
      <c r="BB31" s="8" t="s">
        <v>168</v>
      </c>
      <c r="BC31" s="13" t="s">
        <v>168</v>
      </c>
      <c r="BD31" s="1" t="s">
        <v>168</v>
      </c>
      <c r="BE31" s="1" t="s">
        <v>168</v>
      </c>
      <c r="BF31" s="1" t="s">
        <v>168</v>
      </c>
      <c r="BG31" s="1" t="s">
        <v>168</v>
      </c>
      <c r="BH31" s="1" t="s">
        <v>168</v>
      </c>
      <c r="BI31" s="1" t="s">
        <v>168</v>
      </c>
      <c r="BJ31" s="1" t="s">
        <v>168</v>
      </c>
      <c r="BK31" s="1" t="s">
        <v>168</v>
      </c>
      <c r="BL31" s="1" t="s">
        <v>168</v>
      </c>
      <c r="BM31" s="1" t="s">
        <v>168</v>
      </c>
      <c r="BN31" s="8" t="s">
        <v>168</v>
      </c>
    </row>
    <row r="32" spans="1:66">
      <c r="A32" s="67"/>
      <c r="B32" s="46"/>
      <c r="C32" s="127"/>
      <c r="D32" s="52"/>
      <c r="E32" s="59"/>
      <c r="F32" s="59"/>
      <c r="G32" s="3">
        <f>'d)Pers.Técnico'!E28</f>
        <v>0</v>
      </c>
      <c r="H32" s="3">
        <f>'d)Pers.Técnico'!F28</f>
        <v>0</v>
      </c>
      <c r="I32" s="3">
        <f>'d)Pers.Técnico'!G28</f>
        <v>0</v>
      </c>
      <c r="J32" s="3">
        <f>'d)Pers.Técnico'!H28</f>
        <v>0</v>
      </c>
      <c r="K32" s="3">
        <f>'d)Pers.Técnico'!I28</f>
        <v>0</v>
      </c>
      <c r="L32" s="3">
        <f>'d)Pers.Técnico'!J28</f>
        <v>0</v>
      </c>
      <c r="M32" s="3">
        <f>'d)Pers.Técnico'!K28</f>
        <v>0</v>
      </c>
      <c r="N32" s="3">
        <f>'d)Pers.Técnico'!L28</f>
        <v>0</v>
      </c>
      <c r="O32" s="3">
        <f>'d)Pers.Técnico'!M28</f>
        <v>0</v>
      </c>
      <c r="P32" s="3">
        <f>'d)Pers.Técnico'!N28</f>
        <v>0</v>
      </c>
      <c r="Q32" s="3">
        <f>'d)Pers.Técnico'!O28</f>
        <v>0</v>
      </c>
      <c r="R32" s="14">
        <f>'d)Pers.Técnico'!P28</f>
        <v>0</v>
      </c>
      <c r="S32" s="20">
        <f>'d)Pers.Técnico'!Q28</f>
        <v>0</v>
      </c>
      <c r="T32" s="3">
        <f>'d)Pers.Técnico'!R28</f>
        <v>0</v>
      </c>
      <c r="U32" s="3">
        <f>'d)Pers.Técnico'!S28</f>
        <v>0</v>
      </c>
      <c r="V32" s="3">
        <f>'d)Pers.Técnico'!T28</f>
        <v>0</v>
      </c>
      <c r="W32" s="3">
        <f>'d)Pers.Técnico'!U28</f>
        <v>0</v>
      </c>
      <c r="X32" s="3">
        <f>'d)Pers.Técnico'!V28</f>
        <v>0</v>
      </c>
      <c r="Y32" s="3">
        <f>'d)Pers.Técnico'!W28</f>
        <v>0</v>
      </c>
      <c r="Z32" s="3">
        <f>'d)Pers.Técnico'!X28</f>
        <v>0</v>
      </c>
      <c r="AA32" s="3">
        <f>'d)Pers.Técnico'!Y28</f>
        <v>0</v>
      </c>
      <c r="AB32" s="3">
        <f>'d)Pers.Técnico'!Z28</f>
        <v>0</v>
      </c>
      <c r="AC32" s="3">
        <f>'d)Pers.Técnico'!AA28</f>
        <v>0</v>
      </c>
      <c r="AD32" s="14">
        <f>'d)Pers.Técnico'!AB28</f>
        <v>0</v>
      </c>
      <c r="AE32" s="20">
        <f>'d)Pers.Técnico'!AC28</f>
        <v>0</v>
      </c>
      <c r="AF32" s="3">
        <f>'d)Pers.Técnico'!AD28</f>
        <v>0</v>
      </c>
      <c r="AG32" s="3">
        <f>'d)Pers.Técnico'!AE28</f>
        <v>0</v>
      </c>
      <c r="AH32" s="3">
        <f>'d)Pers.Técnico'!AF28</f>
        <v>0</v>
      </c>
      <c r="AI32" s="3">
        <f>'d)Pers.Técnico'!AG28</f>
        <v>0</v>
      </c>
      <c r="AJ32" s="3">
        <f>'d)Pers.Técnico'!AH28</f>
        <v>0</v>
      </c>
      <c r="AK32" s="3">
        <f>'d)Pers.Técnico'!AI28</f>
        <v>0</v>
      </c>
      <c r="AL32" s="3">
        <f>'d)Pers.Técnico'!AJ28</f>
        <v>0</v>
      </c>
      <c r="AM32" s="3">
        <f>'d)Pers.Técnico'!AK28</f>
        <v>0</v>
      </c>
      <c r="AN32" s="3">
        <f>'d)Pers.Técnico'!AL28</f>
        <v>0</v>
      </c>
      <c r="AO32" s="3">
        <f>'d)Pers.Técnico'!AM28</f>
        <v>0</v>
      </c>
      <c r="AP32" s="14">
        <f>'d)Pers.Técnico'!AN28</f>
        <v>0</v>
      </c>
      <c r="AQ32" s="20">
        <f>'d)Pers.Técnico'!AO28</f>
        <v>0</v>
      </c>
      <c r="AR32" s="3">
        <f>'d)Pers.Técnico'!AP28</f>
        <v>0</v>
      </c>
      <c r="AS32" s="3">
        <f>'d)Pers.Técnico'!AQ28</f>
        <v>0</v>
      </c>
      <c r="AT32" s="3">
        <f>'d)Pers.Técnico'!AR28</f>
        <v>0</v>
      </c>
      <c r="AU32" s="3">
        <f>'d)Pers.Técnico'!AS28</f>
        <v>0</v>
      </c>
      <c r="AV32" s="3">
        <f>'d)Pers.Técnico'!AT28</f>
        <v>0</v>
      </c>
      <c r="AW32" s="3">
        <f>'d)Pers.Técnico'!AU28</f>
        <v>0</v>
      </c>
      <c r="AX32" s="3">
        <f>'d)Pers.Técnico'!AV28</f>
        <v>0</v>
      </c>
      <c r="AY32" s="3">
        <f>'d)Pers.Técnico'!AW28</f>
        <v>0</v>
      </c>
      <c r="AZ32" s="3">
        <f>'d)Pers.Técnico'!AX28</f>
        <v>0</v>
      </c>
      <c r="BA32" s="1">
        <f>'d)Pers.Técnico'!AY28</f>
        <v>0</v>
      </c>
      <c r="BB32" s="60">
        <f>'d)Pers.Técnico'!AZ28</f>
        <v>0</v>
      </c>
      <c r="BC32" s="61">
        <f>'d)Pers.Técnico'!BA28</f>
        <v>0</v>
      </c>
      <c r="BD32" s="3">
        <f>'d)Pers.Técnico'!BB28</f>
        <v>0</v>
      </c>
      <c r="BE32" s="3">
        <f>'d)Pers.Técnico'!BC28</f>
        <v>0</v>
      </c>
      <c r="BF32" s="3">
        <f>'d)Pers.Técnico'!BD28</f>
        <v>0</v>
      </c>
      <c r="BG32" s="3">
        <f>'d)Pers.Técnico'!BE28</f>
        <v>0</v>
      </c>
      <c r="BH32" s="3">
        <f>'d)Pers.Técnico'!BF28</f>
        <v>0</v>
      </c>
      <c r="BI32" s="3">
        <f>'d)Pers.Técnico'!BG28</f>
        <v>0</v>
      </c>
      <c r="BJ32" s="3">
        <f>'d)Pers.Técnico'!BH28</f>
        <v>0</v>
      </c>
      <c r="BK32" s="3">
        <f>'d)Pers.Técnico'!BI28</f>
        <v>0</v>
      </c>
      <c r="BL32" s="3">
        <f>'d)Pers.Técnico'!BJ28</f>
        <v>0</v>
      </c>
      <c r="BM32" s="3">
        <f>'d)Pers.Técnico'!BK28</f>
        <v>0</v>
      </c>
      <c r="BN32" s="14">
        <f>'d)Pers.Técnico'!BL28</f>
        <v>0</v>
      </c>
    </row>
    <row r="33" spans="1:66">
      <c r="A33" s="67"/>
      <c r="B33" s="46" t="str">
        <f>+'d)Pers.Técnico'!B28</f>
        <v/>
      </c>
      <c r="C33" s="127" t="str">
        <f>'d)Pers.Técnico'!C28</f>
        <v/>
      </c>
      <c r="D33" s="52">
        <f>SUM(G32:BN32)</f>
        <v>0</v>
      </c>
      <c r="E33" s="7">
        <f>IF('a)Plantilla'!C11&gt;0,'a)Plantilla'!D11/30,0)</f>
        <v>0</v>
      </c>
      <c r="F33" s="7">
        <f>SUM(G33:BN33)</f>
        <v>0</v>
      </c>
      <c r="G33" s="2">
        <f>IF(TipoProgramaPersonalTecnico=1,$E33*'a)Plantilla'!$C11*Programa!D$13,IF(TipoProgramaPersonalTecnico=2,$E33*G32,$E33/Hjor*G32))</f>
        <v>0</v>
      </c>
      <c r="H33" s="2">
        <f>IF(TipoProgramaPersonalTecnico=1,$E33*'a)Plantilla'!$C11*Programa!D$14,IF(TipoProgramaPersonalTecnico=2,$E33*H32,$E33/Hjor*H32))</f>
        <v>0</v>
      </c>
      <c r="I33" s="2">
        <f>IF(TipoProgramaPersonalTecnico=1,$E33*'a)Plantilla'!$C11*Programa!D$15,IF(TipoProgramaPersonalTecnico=2,$E33*I32,$E33/Hjor*I32))</f>
        <v>0</v>
      </c>
      <c r="J33" s="2">
        <f>IF(TipoProgramaPersonalTecnico=1,$E33*'a)Plantilla'!$C11*Programa!D$16,IF(TipoProgramaPersonalTecnico=2,$E33*J32,$E33/Hjor*J32))</f>
        <v>0</v>
      </c>
      <c r="K33" s="2">
        <f>IF(TipoProgramaPersonalTecnico=1,$E33*'a)Plantilla'!$C11*Programa!D$17,IF(TipoProgramaPersonalTecnico=2,$E33*K32,$E33/Hjor*K32))</f>
        <v>0</v>
      </c>
      <c r="L33" s="2">
        <f>IF(TipoProgramaPersonalTecnico=1,$E33*'a)Plantilla'!$C11*Programa!D$18,IF(TipoProgramaPersonalTecnico=2,$E33*L32,$E33/Hjor*L32))</f>
        <v>0</v>
      </c>
      <c r="M33" s="2">
        <f>IF(TipoProgramaPersonalTecnico=1,$E33*'a)Plantilla'!$C11*Programa!D$19,IF(TipoProgramaPersonalTecnico=2,$E33*M32,$E33/Hjor*M32))</f>
        <v>0</v>
      </c>
      <c r="N33" s="2">
        <f>IF(TipoProgramaPersonalTecnico=1,$E33*'a)Plantilla'!$C11*Programa!D$20,IF(TipoProgramaPersonalTecnico=2,$E33*N32,$E33/Hjor*N32))</f>
        <v>0</v>
      </c>
      <c r="O33" s="2">
        <f>IF(TipoProgramaPersonalTecnico=1,$E33*'a)Plantilla'!$C11*Programa!D$21,IF(TipoProgramaPersonalTecnico=2,$E33*O32,$E33/Hjor*O32))</f>
        <v>0</v>
      </c>
      <c r="P33" s="2">
        <f>IF(TipoProgramaPersonalTecnico=1,$E33*'a)Plantilla'!$C11*Programa!D$22,IF(TipoProgramaPersonalTecnico=2,$E33*P32,$E33/Hjor*P32))</f>
        <v>0</v>
      </c>
      <c r="Q33" s="2">
        <f>IF(TipoProgramaPersonalTecnico=1,$E33*'a)Plantilla'!$C11*Programa!D$23,IF(TipoProgramaPersonalTecnico=2,$E33*Q32,$E33/Hjor*Q32))</f>
        <v>0</v>
      </c>
      <c r="R33" s="12">
        <f>IF(TipoProgramaPersonalTecnico=1,$E33*'a)Plantilla'!$C11*Programa!D$24,IF(TipoProgramaPersonalTecnico=2,$E33*R32,$E33/Hjor*R32))</f>
        <v>0</v>
      </c>
      <c r="S33" s="7">
        <f>IF(TipoProgramaPersonalTecnico=1,$E33*'a)Plantilla'!$C11*Programa!D$25,IF(TipoProgramaPersonalTecnico=2,$E33*S32,$E33/Hjor*S32))</f>
        <v>0</v>
      </c>
      <c r="T33" s="2">
        <f>IF(TipoProgramaPersonalTecnico=1,$E33*'a)Plantilla'!$C11*Programa!D$26,IF(TipoProgramaPersonalTecnico=2,$E33*T32,$E33/Hjor*T32))</f>
        <v>0</v>
      </c>
      <c r="U33" s="2">
        <f>IF(TipoProgramaPersonalTecnico=1,$E33*'a)Plantilla'!$C11*Programa!D$27,IF(TipoProgramaPersonalTecnico=2,$E33*U32,$E33/Hjor*U32))</f>
        <v>0</v>
      </c>
      <c r="V33" s="2">
        <f>IF(TipoProgramaPersonalTecnico=1,$E33*'a)Plantilla'!$C11*Programa!D$28,IF(TipoProgramaPersonalTecnico=2,$E33*V32,$E33/Hjor*V32))</f>
        <v>0</v>
      </c>
      <c r="W33" s="2">
        <f>IF(TipoProgramaPersonalTecnico=1,$E33*'a)Plantilla'!$C11*Programa!D$29,IF(TipoProgramaPersonalTecnico=2,$E33*W32,$E33/Hjor*W32))</f>
        <v>0</v>
      </c>
      <c r="X33" s="2">
        <f>IF(TipoProgramaPersonalTecnico=1,$E33*'a)Plantilla'!$C11*Programa!D$30,IF(TipoProgramaPersonalTecnico=2,$E33*X32,$E33/Hjor*X32))</f>
        <v>0</v>
      </c>
      <c r="Y33" s="2">
        <f>IF(TipoProgramaPersonalTecnico=1,$E33*'a)Plantilla'!$C11*Programa!D$31,IF(TipoProgramaPersonalTecnico=2,$E33*Y32,$E33/Hjor*Y32))</f>
        <v>0</v>
      </c>
      <c r="Z33" s="2">
        <f>IF(TipoProgramaPersonalTecnico=1,$E33*'a)Plantilla'!$C11*Programa!D$32,IF(TipoProgramaPersonalTecnico=2,$E33*Z32,$E33/Hjor*Z32))</f>
        <v>0</v>
      </c>
      <c r="AA33" s="2">
        <f>IF(TipoProgramaPersonalTecnico=1,$E33*'a)Plantilla'!$C11*Programa!D$33,IF(TipoProgramaPersonalTecnico=2,$E33*AA32,$E33/Hjor*AA32))</f>
        <v>0</v>
      </c>
      <c r="AB33" s="2">
        <f>IF(TipoProgramaPersonalTecnico=1,$E33*'a)Plantilla'!$C11*Programa!D$34,IF(TipoProgramaPersonalTecnico=2,$E33*AB32,$E33/Hjor*AB32))</f>
        <v>0</v>
      </c>
      <c r="AC33" s="2">
        <f>IF(TipoProgramaPersonalTecnico=1,$E33*'a)Plantilla'!$C11*Programa!D$35,IF(TipoProgramaPersonalTecnico=2,$E33*AC32,$E33/Hjor*AC32))</f>
        <v>0</v>
      </c>
      <c r="AD33" s="12">
        <f>IF(TipoProgramaPersonalTecnico=1,$E33*'a)Plantilla'!$C11*Programa!D$36,IF(TipoProgramaPersonalTecnico=2,$E33*AD32,$E33/Hjor*AD32))</f>
        <v>0</v>
      </c>
      <c r="AE33" s="7">
        <f>IF(TipoProgramaPersonalTecnico=1,$E33*'a)Plantilla'!$C11*Programa!D$37,IF(TipoProgramaPersonalTecnico=2,$E33*AE32,$E33/Hjor*AE32))</f>
        <v>0</v>
      </c>
      <c r="AF33" s="2">
        <f>IF(TipoProgramaPersonalTecnico=1,$E33*'a)Plantilla'!$C11*Programa!D$38,IF(TipoProgramaPersonalTecnico=2,$E33*AF32,$E33/Hjor*AF32))</f>
        <v>0</v>
      </c>
      <c r="AG33" s="2">
        <f>IF(TipoProgramaPersonalTecnico=1,$E33*'a)Plantilla'!$C11*Programa!D$39,IF(TipoProgramaPersonalTecnico=2,$E33*AG32,$E33/Hjor*AG32))</f>
        <v>0</v>
      </c>
      <c r="AH33" s="2">
        <f>IF(TipoProgramaPersonalTecnico=1,$E33*'a)Plantilla'!$C11*Programa!D$40,IF(TipoProgramaPersonalTecnico=2,$E33*AH32,$E33/Hjor*AH32))</f>
        <v>0</v>
      </c>
      <c r="AI33" s="2">
        <f>IF(TipoProgramaPersonalTecnico=1,$E33*'a)Plantilla'!$C11*Programa!D$41,IF(TipoProgramaPersonalTecnico=2,$E33*AI32,$E33/Hjor*AI32))</f>
        <v>0</v>
      </c>
      <c r="AJ33" s="2">
        <f>IF(TipoProgramaPersonalTecnico=1,$E33*'a)Plantilla'!$C11*Programa!D$42,IF(TipoProgramaPersonalTecnico=2,$E33*AJ32,$E33/Hjor*AJ32))</f>
        <v>0</v>
      </c>
      <c r="AK33" s="2">
        <f>IF(TipoProgramaPersonalTecnico=1,$E33*'a)Plantilla'!$C11*Programa!D$43,IF(TipoProgramaPersonalTecnico=2,$E33*AK32,$E33/Hjor*AK32))</f>
        <v>0</v>
      </c>
      <c r="AL33" s="2">
        <f>IF(TipoProgramaPersonalTecnico=1,$E33*'a)Plantilla'!$C11*Programa!D$44,IF(TipoProgramaPersonalTecnico=2,$E33*AL32,$E33/Hjor*AL32))</f>
        <v>0</v>
      </c>
      <c r="AM33" s="2">
        <f>IF(TipoProgramaPersonalTecnico=1,$E33*'a)Plantilla'!$C11*Programa!D$45,IF(TipoProgramaPersonalTecnico=2,$E33*AM32,$E33/Hjor*AM32))</f>
        <v>0</v>
      </c>
      <c r="AN33" s="2">
        <f>IF(TipoProgramaPersonalTecnico=1,$E33*'a)Plantilla'!$C11*Programa!D$46,IF(TipoProgramaPersonalTecnico=2,$E33*AN32,$E33/Hjor*AN32))</f>
        <v>0</v>
      </c>
      <c r="AO33" s="2">
        <f>IF(TipoProgramaPersonalTecnico=1,$E33*'a)Plantilla'!$C11*Programa!D$47,IF(TipoProgramaPersonalTecnico=2,$E33*AO32,$E33/Hjor*AO32))</f>
        <v>0</v>
      </c>
      <c r="AP33" s="12">
        <f>IF(TipoProgramaPersonalTecnico=1,$E33*'a)Plantilla'!$C11*Programa!D$48,IF(TipoProgramaPersonalTecnico=2,$E33*AP32,$E33/Hjor*AP32))</f>
        <v>0</v>
      </c>
      <c r="AQ33" s="7">
        <f>IF(TipoProgramaPersonalTecnico=1,$E33*'a)Plantilla'!$C11*Programa!D$49,IF(TipoProgramaPersonalTecnico=2,$E33*AQ32,$E33/Hjor*AQ32))</f>
        <v>0</v>
      </c>
      <c r="AR33" s="2">
        <f>IF(TipoProgramaPersonalTecnico=1,$E33*'a)Plantilla'!$C11*Programa!D$50,IF(TipoProgramaPersonalTecnico=2,$E33*AR32,$E33/Hjor*AR32))</f>
        <v>0</v>
      </c>
      <c r="AS33" s="2">
        <f>IF(TipoProgramaPersonalTecnico=1,$E33*'a)Plantilla'!$C11*Programa!D$51,IF(TipoProgramaPersonalTecnico=2,$E33*AS32,$E33/Hjor*AS32))</f>
        <v>0</v>
      </c>
      <c r="AT33" s="2">
        <f>IF(TipoProgramaPersonalTecnico=1,$E33*'a)Plantilla'!$C11*Programa!D$52,IF(TipoProgramaPersonalTecnico=2,$E33*AT32,$E33/Hjor*AT32))</f>
        <v>0</v>
      </c>
      <c r="AU33" s="2">
        <f>IF(TipoProgramaPersonalTecnico=1,$E33*'a)Plantilla'!$C11*Programa!D$53,IF(TipoProgramaPersonalTecnico=2,$E33*AU32,$E33/Hjor*AU32))</f>
        <v>0</v>
      </c>
      <c r="AV33" s="2">
        <f>IF(TipoProgramaPersonalTecnico=1,$E33*'a)Plantilla'!$C11*Programa!D$54,IF(TipoProgramaPersonalTecnico=2,$E33*AV32,$E33/Hjor*AV32))</f>
        <v>0</v>
      </c>
      <c r="AW33" s="2">
        <f>IF(TipoProgramaPersonalTecnico=1,$E33*'a)Plantilla'!$C11*Programa!D$55,IF(TipoProgramaPersonalTecnico=2,$E33*AW32,$E33/Hjor*AW32))</f>
        <v>0</v>
      </c>
      <c r="AX33" s="2">
        <f>IF(TipoProgramaPersonalTecnico=1,$E33*'a)Plantilla'!$C11*Programa!D$56,IF(TipoProgramaPersonalTecnico=2,$E33*AX32,$E33/Hjor*AX32))</f>
        <v>0</v>
      </c>
      <c r="AY33" s="2">
        <f>IF(TipoProgramaPersonalTecnico=1,$E33*'a)Plantilla'!$C11*Programa!D$57,IF(TipoProgramaPersonalTecnico=2,$E33*AY32,$E33/Hjor*AY32))</f>
        <v>0</v>
      </c>
      <c r="AZ33" s="2">
        <f>IF(TipoProgramaPersonalTecnico=1,$E33*'a)Plantilla'!$C11*Programa!D$58,IF(TipoProgramaPersonalTecnico=2,$E33*AZ32,$E33/Hjor*AZ32))</f>
        <v>0</v>
      </c>
      <c r="BA33" s="55">
        <f>IF(TipoProgramaPersonalTecnico=1,$E33*'a)Plantilla'!$C11*Programa!D$59,IF(TipoProgramaPersonalTecnico=2,$E33*BA32,$E33/Hjor*BA32))</f>
        <v>0</v>
      </c>
      <c r="BB33" s="56">
        <f>IF(TipoProgramaPersonalTecnico=1,$E33*'a)Plantilla'!$C11*Programa!D$60,IF(TipoProgramaPersonalTecnico=2,$E33*BB32,$E33/Hjor*BB32))</f>
        <v>0</v>
      </c>
      <c r="BC33" s="53">
        <f>IF(TipoProgramaPersonalTecnico=1,$E33*'a)Plantilla'!$C11*Programa!D$61,IF(TipoProgramaPersonalTecnico=2,$E33*BC32,$E33/Hjor*BC32))</f>
        <v>0</v>
      </c>
      <c r="BD33" s="2">
        <f>IF(TipoProgramaPersonalTecnico=1,$E33*'a)Plantilla'!$C11*Programa!D$62,IF(TipoProgramaPersonalTecnico=2,$E33*BD32,$E33/Hjor*BD32))</f>
        <v>0</v>
      </c>
      <c r="BE33" s="2">
        <f>IF(TipoProgramaPersonalTecnico=1,$E33*'a)Plantilla'!$C11*Programa!D$63,IF(TipoProgramaPersonalTecnico=2,$E33*BE32,$E33/Hjor*BE32))</f>
        <v>0</v>
      </c>
      <c r="BF33" s="2">
        <f>IF(TipoProgramaPersonalTecnico=1,$E33*'a)Plantilla'!$C11*Programa!D$64,IF(TipoProgramaPersonalTecnico=2,$E33*BF32,$E33/Hjor*BF32))</f>
        <v>0</v>
      </c>
      <c r="BG33" s="2">
        <f>IF(TipoProgramaPersonalTecnico=1,$E33*'a)Plantilla'!$C11*Programa!D$65,IF(TipoProgramaPersonalTecnico=2,$E33*BG32,$E33/Hjor*BG32))</f>
        <v>0</v>
      </c>
      <c r="BH33" s="2">
        <f>IF(TipoProgramaPersonalTecnico=1,$E33*'a)Plantilla'!$C11*Programa!D$66,IF(TipoProgramaPersonalTecnico=2,$E33*BH32,$E33/Hjor*BH32))</f>
        <v>0</v>
      </c>
      <c r="BI33" s="2">
        <f>IF(TipoProgramaPersonalTecnico=1,$E33*'a)Plantilla'!$C11*Programa!D$67,IF(TipoProgramaPersonalTecnico=2,$E33*BI32,$E33/Hjor*BI32))</f>
        <v>0</v>
      </c>
      <c r="BJ33" s="2">
        <f>IF(TipoProgramaPersonalTecnico=1,$E33*'a)Plantilla'!$C11*Programa!D$68,IF(TipoProgramaPersonalTecnico=2,$E33*BJ32,$E33/Hjor*BJ32))</f>
        <v>0</v>
      </c>
      <c r="BK33" s="2">
        <f>IF(TipoProgramaPersonalTecnico=1,$E33*'a)Plantilla'!$C11*Programa!D$69,IF(TipoProgramaPersonalTecnico=2,$E33*BK32,$E33/Hjor*BK32))</f>
        <v>0</v>
      </c>
      <c r="BL33" s="2">
        <f>IF(TipoProgramaPersonalTecnico=1,$E33*'a)Plantilla'!$C11*Programa!D$70,IF(TipoProgramaPersonalTecnico=2,$E33*BL32,$E33/Hjor*BL32))</f>
        <v>0</v>
      </c>
      <c r="BM33" s="2">
        <f>IF(TipoProgramaPersonalTecnico=1,$E33*'a)Plantilla'!$C11*Programa!D$71,IF(TipoProgramaPersonalTecnico=2,$E33*BM32,$E33/Hjor*BM32))</f>
        <v>0</v>
      </c>
      <c r="BN33" s="12">
        <f>IF(TipoProgramaPersonalTecnico=1,$E33*'a)Plantilla'!$C11*Programa!D$72,IF(TipoProgramaPersonalTecnico=2,$E33*BN32,$E33/Hjor*BN32))</f>
        <v>0</v>
      </c>
    </row>
    <row r="34" spans="1:66" ht="7.5" customHeight="1">
      <c r="A34" s="67"/>
      <c r="B34" s="19"/>
      <c r="C34" s="127"/>
      <c r="D34" s="54"/>
      <c r="E34" s="19"/>
      <c r="F34" s="19"/>
      <c r="G34" s="1" t="s">
        <v>168</v>
      </c>
      <c r="H34" s="1" t="s">
        <v>168</v>
      </c>
      <c r="I34" s="1" t="s">
        <v>168</v>
      </c>
      <c r="J34" s="1" t="s">
        <v>168</v>
      </c>
      <c r="K34" s="1" t="s">
        <v>168</v>
      </c>
      <c r="L34" s="1" t="s">
        <v>168</v>
      </c>
      <c r="M34" s="1" t="s">
        <v>168</v>
      </c>
      <c r="N34" s="1" t="s">
        <v>168</v>
      </c>
      <c r="O34" s="1" t="s">
        <v>168</v>
      </c>
      <c r="P34" s="1" t="s">
        <v>168</v>
      </c>
      <c r="Q34" s="1" t="s">
        <v>168</v>
      </c>
      <c r="R34" s="8" t="s">
        <v>168</v>
      </c>
      <c r="S34" s="13" t="s">
        <v>168</v>
      </c>
      <c r="T34" s="1" t="s">
        <v>168</v>
      </c>
      <c r="U34" s="1" t="s">
        <v>168</v>
      </c>
      <c r="V34" s="1" t="s">
        <v>168</v>
      </c>
      <c r="W34" s="1" t="s">
        <v>168</v>
      </c>
      <c r="X34" s="1" t="s">
        <v>168</v>
      </c>
      <c r="Y34" s="1" t="s">
        <v>168</v>
      </c>
      <c r="Z34" s="1" t="s">
        <v>168</v>
      </c>
      <c r="AA34" s="1" t="s">
        <v>168</v>
      </c>
      <c r="AB34" s="1" t="s">
        <v>168</v>
      </c>
      <c r="AC34" s="1" t="s">
        <v>168</v>
      </c>
      <c r="AD34" s="8" t="s">
        <v>168</v>
      </c>
      <c r="AE34" s="13" t="s">
        <v>168</v>
      </c>
      <c r="AF34" s="1" t="s">
        <v>168</v>
      </c>
      <c r="AG34" s="1" t="s">
        <v>168</v>
      </c>
      <c r="AH34" s="1" t="s">
        <v>168</v>
      </c>
      <c r="AI34" s="1" t="s">
        <v>168</v>
      </c>
      <c r="AJ34" s="1" t="s">
        <v>168</v>
      </c>
      <c r="AK34" s="1" t="s">
        <v>168</v>
      </c>
      <c r="AL34" s="1" t="s">
        <v>168</v>
      </c>
      <c r="AM34" s="1" t="s">
        <v>168</v>
      </c>
      <c r="AN34" s="1" t="s">
        <v>168</v>
      </c>
      <c r="AO34" s="1" t="s">
        <v>168</v>
      </c>
      <c r="AP34" s="8" t="s">
        <v>168</v>
      </c>
      <c r="AQ34" s="13" t="s">
        <v>168</v>
      </c>
      <c r="AR34" s="1" t="s">
        <v>168</v>
      </c>
      <c r="AS34" s="1" t="s">
        <v>168</v>
      </c>
      <c r="AT34" s="1" t="s">
        <v>168</v>
      </c>
      <c r="AU34" s="1" t="s">
        <v>168</v>
      </c>
      <c r="AV34" s="1" t="s">
        <v>168</v>
      </c>
      <c r="AW34" s="1" t="s">
        <v>168</v>
      </c>
      <c r="AX34" s="1" t="s">
        <v>168</v>
      </c>
      <c r="AY34" s="1" t="s">
        <v>168</v>
      </c>
      <c r="AZ34" s="1" t="s">
        <v>168</v>
      </c>
      <c r="BA34" s="1" t="s">
        <v>168</v>
      </c>
      <c r="BB34" s="8" t="s">
        <v>168</v>
      </c>
      <c r="BC34" s="13" t="s">
        <v>168</v>
      </c>
      <c r="BD34" s="1" t="s">
        <v>168</v>
      </c>
      <c r="BE34" s="1" t="s">
        <v>168</v>
      </c>
      <c r="BF34" s="1" t="s">
        <v>168</v>
      </c>
      <c r="BG34" s="1" t="s">
        <v>168</v>
      </c>
      <c r="BH34" s="1" t="s">
        <v>168</v>
      </c>
      <c r="BI34" s="1" t="s">
        <v>168</v>
      </c>
      <c r="BJ34" s="1" t="s">
        <v>168</v>
      </c>
      <c r="BK34" s="1" t="s">
        <v>168</v>
      </c>
      <c r="BL34" s="1" t="s">
        <v>168</v>
      </c>
      <c r="BM34" s="1" t="s">
        <v>168</v>
      </c>
      <c r="BN34" s="8" t="s">
        <v>168</v>
      </c>
    </row>
    <row r="35" spans="1:66">
      <c r="A35" s="67"/>
      <c r="B35" s="46"/>
      <c r="C35" s="127"/>
      <c r="D35" s="52"/>
      <c r="E35" s="59"/>
      <c r="F35" s="59"/>
      <c r="G35" s="3">
        <f>'d)Pers.Técnico'!E30</f>
        <v>0</v>
      </c>
      <c r="H35" s="3">
        <f>'d)Pers.Técnico'!F30</f>
        <v>0</v>
      </c>
      <c r="I35" s="3">
        <f>'d)Pers.Técnico'!G30</f>
        <v>0</v>
      </c>
      <c r="J35" s="3">
        <f>'d)Pers.Técnico'!H30</f>
        <v>0</v>
      </c>
      <c r="K35" s="3">
        <f>'d)Pers.Técnico'!I30</f>
        <v>0</v>
      </c>
      <c r="L35" s="3">
        <f>'d)Pers.Técnico'!J30</f>
        <v>0</v>
      </c>
      <c r="M35" s="3">
        <f>'d)Pers.Técnico'!K30</f>
        <v>0</v>
      </c>
      <c r="N35" s="3">
        <f>'d)Pers.Técnico'!L30</f>
        <v>0</v>
      </c>
      <c r="O35" s="3">
        <f>'d)Pers.Técnico'!M30</f>
        <v>0</v>
      </c>
      <c r="P35" s="3">
        <f>'d)Pers.Técnico'!N30</f>
        <v>0</v>
      </c>
      <c r="Q35" s="3">
        <f>'d)Pers.Técnico'!O30</f>
        <v>0</v>
      </c>
      <c r="R35" s="14">
        <f>'d)Pers.Técnico'!P30</f>
        <v>0</v>
      </c>
      <c r="S35" s="20">
        <f>'d)Pers.Técnico'!Q30</f>
        <v>0</v>
      </c>
      <c r="T35" s="3">
        <f>'d)Pers.Técnico'!R30</f>
        <v>0</v>
      </c>
      <c r="U35" s="3">
        <f>'d)Pers.Técnico'!S30</f>
        <v>0</v>
      </c>
      <c r="V35" s="3">
        <f>'d)Pers.Técnico'!T30</f>
        <v>0</v>
      </c>
      <c r="W35" s="3">
        <f>'d)Pers.Técnico'!U30</f>
        <v>0</v>
      </c>
      <c r="X35" s="3">
        <f>'d)Pers.Técnico'!V30</f>
        <v>0</v>
      </c>
      <c r="Y35" s="3">
        <f>'d)Pers.Técnico'!W30</f>
        <v>0</v>
      </c>
      <c r="Z35" s="3">
        <f>'d)Pers.Técnico'!X30</f>
        <v>0</v>
      </c>
      <c r="AA35" s="3">
        <f>'d)Pers.Técnico'!Y30</f>
        <v>0</v>
      </c>
      <c r="AB35" s="3">
        <f>'d)Pers.Técnico'!Z30</f>
        <v>0</v>
      </c>
      <c r="AC35" s="3">
        <f>'d)Pers.Técnico'!AA30</f>
        <v>0</v>
      </c>
      <c r="AD35" s="14">
        <f>'d)Pers.Técnico'!AB30</f>
        <v>0</v>
      </c>
      <c r="AE35" s="20">
        <f>'d)Pers.Técnico'!AC30</f>
        <v>0</v>
      </c>
      <c r="AF35" s="3">
        <f>'d)Pers.Técnico'!AD30</f>
        <v>0</v>
      </c>
      <c r="AG35" s="3">
        <f>'d)Pers.Técnico'!AE30</f>
        <v>0</v>
      </c>
      <c r="AH35" s="3">
        <f>'d)Pers.Técnico'!AF30</f>
        <v>0</v>
      </c>
      <c r="AI35" s="3">
        <f>'d)Pers.Técnico'!AG30</f>
        <v>0</v>
      </c>
      <c r="AJ35" s="3">
        <f>'d)Pers.Técnico'!AH30</f>
        <v>0</v>
      </c>
      <c r="AK35" s="3">
        <f>'d)Pers.Técnico'!AI30</f>
        <v>0</v>
      </c>
      <c r="AL35" s="3">
        <f>'d)Pers.Técnico'!AJ30</f>
        <v>0</v>
      </c>
      <c r="AM35" s="3">
        <f>'d)Pers.Técnico'!AK30</f>
        <v>0</v>
      </c>
      <c r="AN35" s="3">
        <f>'d)Pers.Técnico'!AL30</f>
        <v>0</v>
      </c>
      <c r="AO35" s="3">
        <f>'d)Pers.Técnico'!AM30</f>
        <v>0</v>
      </c>
      <c r="AP35" s="14">
        <f>'d)Pers.Técnico'!AN30</f>
        <v>0</v>
      </c>
      <c r="AQ35" s="20">
        <f>'d)Pers.Técnico'!AO30</f>
        <v>0</v>
      </c>
      <c r="AR35" s="3">
        <f>'d)Pers.Técnico'!AP30</f>
        <v>0</v>
      </c>
      <c r="AS35" s="3">
        <f>'d)Pers.Técnico'!AQ30</f>
        <v>0</v>
      </c>
      <c r="AT35" s="3">
        <f>'d)Pers.Técnico'!AR30</f>
        <v>0</v>
      </c>
      <c r="AU35" s="3">
        <f>'d)Pers.Técnico'!AS30</f>
        <v>0</v>
      </c>
      <c r="AV35" s="3">
        <f>'d)Pers.Técnico'!AT30</f>
        <v>0</v>
      </c>
      <c r="AW35" s="3">
        <f>'d)Pers.Técnico'!AU30</f>
        <v>0</v>
      </c>
      <c r="AX35" s="3">
        <f>'d)Pers.Técnico'!AV30</f>
        <v>0</v>
      </c>
      <c r="AY35" s="3">
        <f>'d)Pers.Técnico'!AW30</f>
        <v>0</v>
      </c>
      <c r="AZ35" s="3">
        <f>'d)Pers.Técnico'!AX30</f>
        <v>0</v>
      </c>
      <c r="BA35" s="1">
        <f>'d)Pers.Técnico'!AY30</f>
        <v>0</v>
      </c>
      <c r="BB35" s="60">
        <f>'d)Pers.Técnico'!AZ30</f>
        <v>0</v>
      </c>
      <c r="BC35" s="61">
        <f>'d)Pers.Técnico'!BA30</f>
        <v>0</v>
      </c>
      <c r="BD35" s="3">
        <f>'d)Pers.Técnico'!BB30</f>
        <v>0</v>
      </c>
      <c r="BE35" s="3">
        <f>'d)Pers.Técnico'!BC30</f>
        <v>0</v>
      </c>
      <c r="BF35" s="3">
        <f>'d)Pers.Técnico'!BD30</f>
        <v>0</v>
      </c>
      <c r="BG35" s="3">
        <f>'d)Pers.Técnico'!BE30</f>
        <v>0</v>
      </c>
      <c r="BH35" s="3">
        <f>'d)Pers.Técnico'!BF30</f>
        <v>0</v>
      </c>
      <c r="BI35" s="3">
        <f>'d)Pers.Técnico'!BG30</f>
        <v>0</v>
      </c>
      <c r="BJ35" s="3">
        <f>'d)Pers.Técnico'!BH30</f>
        <v>0</v>
      </c>
      <c r="BK35" s="3">
        <f>'d)Pers.Técnico'!BI30</f>
        <v>0</v>
      </c>
      <c r="BL35" s="3">
        <f>'d)Pers.Técnico'!BJ30</f>
        <v>0</v>
      </c>
      <c r="BM35" s="3">
        <f>'d)Pers.Técnico'!BK30</f>
        <v>0</v>
      </c>
      <c r="BN35" s="14">
        <f>'d)Pers.Técnico'!BL30</f>
        <v>0</v>
      </c>
    </row>
    <row r="36" spans="1:66">
      <c r="A36" s="67"/>
      <c r="B36" s="46" t="str">
        <f>+'d)Pers.Técnico'!B30</f>
        <v/>
      </c>
      <c r="C36" s="127" t="str">
        <f>'d)Pers.Técnico'!C30</f>
        <v/>
      </c>
      <c r="D36" s="52">
        <f>SUM(G35:BN35)</f>
        <v>0</v>
      </c>
      <c r="E36" s="7">
        <f>IF('a)Plantilla'!C12&gt;0,'a)Plantilla'!D12/30,0)</f>
        <v>0</v>
      </c>
      <c r="F36" s="7">
        <f>SUM(G36:BN36)</f>
        <v>0</v>
      </c>
      <c r="G36" s="2">
        <f>IF(TipoProgramaPersonalTecnico=1,$E36*'a)Plantilla'!$C12*Programa!D$13,IF(TipoProgramaPersonalTecnico=2,$E36*G35,$E36/Hjor*G35))</f>
        <v>0</v>
      </c>
      <c r="H36" s="2">
        <f>IF(TipoProgramaPersonalTecnico=1,$E36*'a)Plantilla'!$C12*Programa!D$14,IF(TipoProgramaPersonalTecnico=2,$E36*H35,$E36/Hjor*H35))</f>
        <v>0</v>
      </c>
      <c r="I36" s="2">
        <f>IF(TipoProgramaPersonalTecnico=1,$E36*'a)Plantilla'!$C12*Programa!D$15,IF(TipoProgramaPersonalTecnico=2,$E36*I35,$E36/Hjor*I35))</f>
        <v>0</v>
      </c>
      <c r="J36" s="2">
        <f>IF(TipoProgramaPersonalTecnico=1,$E36*'a)Plantilla'!$C12*Programa!D$16,IF(TipoProgramaPersonalTecnico=2,$E36*J35,$E36/Hjor*J35))</f>
        <v>0</v>
      </c>
      <c r="K36" s="2">
        <f>IF(TipoProgramaPersonalTecnico=1,$E36*'a)Plantilla'!$C12*Programa!D$17,IF(TipoProgramaPersonalTecnico=2,$E36*K35,$E36/Hjor*K35))</f>
        <v>0</v>
      </c>
      <c r="L36" s="2">
        <f>IF(TipoProgramaPersonalTecnico=1,$E36*'a)Plantilla'!$C12*Programa!D$18,IF(TipoProgramaPersonalTecnico=2,$E36*L35,$E36/Hjor*L35))</f>
        <v>0</v>
      </c>
      <c r="M36" s="2">
        <f>IF(TipoProgramaPersonalTecnico=1,$E36*'a)Plantilla'!$C12*Programa!D$19,IF(TipoProgramaPersonalTecnico=2,$E36*M35,$E36/Hjor*M35))</f>
        <v>0</v>
      </c>
      <c r="N36" s="2">
        <f>IF(TipoProgramaPersonalTecnico=1,$E36*'a)Plantilla'!$C12*Programa!D$20,IF(TipoProgramaPersonalTecnico=2,$E36*N35,$E36/Hjor*N35))</f>
        <v>0</v>
      </c>
      <c r="O36" s="2">
        <f>IF(TipoProgramaPersonalTecnico=1,$E36*'a)Plantilla'!$C12*Programa!D$21,IF(TipoProgramaPersonalTecnico=2,$E36*O35,$E36/Hjor*O35))</f>
        <v>0</v>
      </c>
      <c r="P36" s="2">
        <f>IF(TipoProgramaPersonalTecnico=1,$E36*'a)Plantilla'!$C12*Programa!D$22,IF(TipoProgramaPersonalTecnico=2,$E36*P35,$E36/Hjor*P35))</f>
        <v>0</v>
      </c>
      <c r="Q36" s="2">
        <f>IF(TipoProgramaPersonalTecnico=1,$E36*'a)Plantilla'!$C12*Programa!D$23,IF(TipoProgramaPersonalTecnico=2,$E36*Q35,$E36/Hjor*Q35))</f>
        <v>0</v>
      </c>
      <c r="R36" s="12">
        <f>IF(TipoProgramaPersonalTecnico=1,$E36*'a)Plantilla'!$C12*Programa!D$24,IF(TipoProgramaPersonalTecnico=2,$E36*R35,$E36/Hjor*R35))</f>
        <v>0</v>
      </c>
      <c r="S36" s="7">
        <f>IF(TipoProgramaPersonalTecnico=1,$E36*'a)Plantilla'!$C12*Programa!D$25,IF(TipoProgramaPersonalTecnico=2,$E36*S35,$E36/Hjor*S35))</f>
        <v>0</v>
      </c>
      <c r="T36" s="2">
        <f>IF(TipoProgramaPersonalTecnico=1,$E36*'a)Plantilla'!$C12*Programa!D$26,IF(TipoProgramaPersonalTecnico=2,$E36*T35,$E36/Hjor*T35))</f>
        <v>0</v>
      </c>
      <c r="U36" s="2">
        <f>IF(TipoProgramaPersonalTecnico=1,$E36*'a)Plantilla'!$C12*Programa!D$27,IF(TipoProgramaPersonalTecnico=2,$E36*U35,$E36/Hjor*U35))</f>
        <v>0</v>
      </c>
      <c r="V36" s="2">
        <f>IF(TipoProgramaPersonalTecnico=1,$E36*'a)Plantilla'!$C12*Programa!D$28,IF(TipoProgramaPersonalTecnico=2,$E36*V35,$E36/Hjor*V35))</f>
        <v>0</v>
      </c>
      <c r="W36" s="2">
        <f>IF(TipoProgramaPersonalTecnico=1,$E36*'a)Plantilla'!$C12*Programa!D$29,IF(TipoProgramaPersonalTecnico=2,$E36*W35,$E36/Hjor*W35))</f>
        <v>0</v>
      </c>
      <c r="X36" s="2">
        <f>IF(TipoProgramaPersonalTecnico=1,$E36*'a)Plantilla'!$C12*Programa!D$30,IF(TipoProgramaPersonalTecnico=2,$E36*X35,$E36/Hjor*X35))</f>
        <v>0</v>
      </c>
      <c r="Y36" s="2">
        <f>IF(TipoProgramaPersonalTecnico=1,$E36*'a)Plantilla'!$C12*Programa!D$31,IF(TipoProgramaPersonalTecnico=2,$E36*Y35,$E36/Hjor*Y35))</f>
        <v>0</v>
      </c>
      <c r="Z36" s="2">
        <f>IF(TipoProgramaPersonalTecnico=1,$E36*'a)Plantilla'!$C12*Programa!D$32,IF(TipoProgramaPersonalTecnico=2,$E36*Z35,$E36/Hjor*Z35))</f>
        <v>0</v>
      </c>
      <c r="AA36" s="2">
        <f>IF(TipoProgramaPersonalTecnico=1,$E36*'a)Plantilla'!$C12*Programa!D$33,IF(TipoProgramaPersonalTecnico=2,$E36*AA35,$E36/Hjor*AA35))</f>
        <v>0</v>
      </c>
      <c r="AB36" s="2">
        <f>IF(TipoProgramaPersonalTecnico=1,$E36*'a)Plantilla'!$C12*Programa!D$34,IF(TipoProgramaPersonalTecnico=2,$E36*AB35,$E36/Hjor*AB35))</f>
        <v>0</v>
      </c>
      <c r="AC36" s="2">
        <f>IF(TipoProgramaPersonalTecnico=1,$E36*'a)Plantilla'!$C12*Programa!D$35,IF(TipoProgramaPersonalTecnico=2,$E36*AC35,$E36/Hjor*AC35))</f>
        <v>0</v>
      </c>
      <c r="AD36" s="12">
        <f>IF(TipoProgramaPersonalTecnico=1,$E36*'a)Plantilla'!$C12*Programa!D$36,IF(TipoProgramaPersonalTecnico=2,$E36*AD35,$E36/Hjor*AD35))</f>
        <v>0</v>
      </c>
      <c r="AE36" s="7">
        <f>IF(TipoProgramaPersonalTecnico=1,$E36*'a)Plantilla'!$C12*Programa!D$37,IF(TipoProgramaPersonalTecnico=2,$E36*AE35,$E36/Hjor*AE35))</f>
        <v>0</v>
      </c>
      <c r="AF36" s="2">
        <f>IF(TipoProgramaPersonalTecnico=1,$E36*'a)Plantilla'!$C12*Programa!D$38,IF(TipoProgramaPersonalTecnico=2,$E36*AF35,$E36/Hjor*AF35))</f>
        <v>0</v>
      </c>
      <c r="AG36" s="2">
        <f>IF(TipoProgramaPersonalTecnico=1,$E36*'a)Plantilla'!$C12*Programa!D$39,IF(TipoProgramaPersonalTecnico=2,$E36*AG35,$E36/Hjor*AG35))</f>
        <v>0</v>
      </c>
      <c r="AH36" s="2">
        <f>IF(TipoProgramaPersonalTecnico=1,$E36*'a)Plantilla'!$C12*Programa!D$40,IF(TipoProgramaPersonalTecnico=2,$E36*AH35,$E36/Hjor*AH35))</f>
        <v>0</v>
      </c>
      <c r="AI36" s="2">
        <f>IF(TipoProgramaPersonalTecnico=1,$E36*'a)Plantilla'!$C12*Programa!D$41,IF(TipoProgramaPersonalTecnico=2,$E36*AI35,$E36/Hjor*AI35))</f>
        <v>0</v>
      </c>
      <c r="AJ36" s="2">
        <f>IF(TipoProgramaPersonalTecnico=1,$E36*'a)Plantilla'!$C12*Programa!D$42,IF(TipoProgramaPersonalTecnico=2,$E36*AJ35,$E36/Hjor*AJ35))</f>
        <v>0</v>
      </c>
      <c r="AK36" s="2">
        <f>IF(TipoProgramaPersonalTecnico=1,$E36*'a)Plantilla'!$C12*Programa!D$43,IF(TipoProgramaPersonalTecnico=2,$E36*AK35,$E36/Hjor*AK35))</f>
        <v>0</v>
      </c>
      <c r="AL36" s="2">
        <f>IF(TipoProgramaPersonalTecnico=1,$E36*'a)Plantilla'!$C12*Programa!D$44,IF(TipoProgramaPersonalTecnico=2,$E36*AL35,$E36/Hjor*AL35))</f>
        <v>0</v>
      </c>
      <c r="AM36" s="2">
        <f>IF(TipoProgramaPersonalTecnico=1,$E36*'a)Plantilla'!$C12*Programa!D$45,IF(TipoProgramaPersonalTecnico=2,$E36*AM35,$E36/Hjor*AM35))</f>
        <v>0</v>
      </c>
      <c r="AN36" s="2">
        <f>IF(TipoProgramaPersonalTecnico=1,$E36*'a)Plantilla'!$C12*Programa!D$46,IF(TipoProgramaPersonalTecnico=2,$E36*AN35,$E36/Hjor*AN35))</f>
        <v>0</v>
      </c>
      <c r="AO36" s="2">
        <f>IF(TipoProgramaPersonalTecnico=1,$E36*'a)Plantilla'!$C12*Programa!D$47,IF(TipoProgramaPersonalTecnico=2,$E36*AO35,$E36/Hjor*AO35))</f>
        <v>0</v>
      </c>
      <c r="AP36" s="12">
        <f>IF(TipoProgramaPersonalTecnico=1,$E36*'a)Plantilla'!$C12*Programa!D$48,IF(TipoProgramaPersonalTecnico=2,$E36*AP35,$E36/Hjor*AP35))</f>
        <v>0</v>
      </c>
      <c r="AQ36" s="7">
        <f>IF(TipoProgramaPersonalTecnico=1,$E36*'a)Plantilla'!$C12*Programa!D$49,IF(TipoProgramaPersonalTecnico=2,$E36*AQ35,$E36/Hjor*AQ35))</f>
        <v>0</v>
      </c>
      <c r="AR36" s="2">
        <f>IF(TipoProgramaPersonalTecnico=1,$E36*'a)Plantilla'!$C12*Programa!D$50,IF(TipoProgramaPersonalTecnico=2,$E36*AR35,$E36/Hjor*AR35))</f>
        <v>0</v>
      </c>
      <c r="AS36" s="2">
        <f>IF(TipoProgramaPersonalTecnico=1,$E36*'a)Plantilla'!$C12*Programa!D$51,IF(TipoProgramaPersonalTecnico=2,$E36*AS35,$E36/Hjor*AS35))</f>
        <v>0</v>
      </c>
      <c r="AT36" s="2">
        <f>IF(TipoProgramaPersonalTecnico=1,$E36*'a)Plantilla'!$C12*Programa!D$52,IF(TipoProgramaPersonalTecnico=2,$E36*AT35,$E36/Hjor*AT35))</f>
        <v>0</v>
      </c>
      <c r="AU36" s="2">
        <f>IF(TipoProgramaPersonalTecnico=1,$E36*'a)Plantilla'!$C12*Programa!D$53,IF(TipoProgramaPersonalTecnico=2,$E36*AU35,$E36/Hjor*AU35))</f>
        <v>0</v>
      </c>
      <c r="AV36" s="2">
        <f>IF(TipoProgramaPersonalTecnico=1,$E36*'a)Plantilla'!$C12*Programa!D$54,IF(TipoProgramaPersonalTecnico=2,$E36*AV35,$E36/Hjor*AV35))</f>
        <v>0</v>
      </c>
      <c r="AW36" s="2">
        <f>IF(TipoProgramaPersonalTecnico=1,$E36*'a)Plantilla'!$C12*Programa!D$55,IF(TipoProgramaPersonalTecnico=2,$E36*AW35,$E36/Hjor*AW35))</f>
        <v>0</v>
      </c>
      <c r="AX36" s="2">
        <f>IF(TipoProgramaPersonalTecnico=1,$E36*'a)Plantilla'!$C12*Programa!D$56,IF(TipoProgramaPersonalTecnico=2,$E36*AX35,$E36/Hjor*AX35))</f>
        <v>0</v>
      </c>
      <c r="AY36" s="2">
        <f>IF(TipoProgramaPersonalTecnico=1,$E36*'a)Plantilla'!$C12*Programa!D$57,IF(TipoProgramaPersonalTecnico=2,$E36*AY35,$E36/Hjor*AY35))</f>
        <v>0</v>
      </c>
      <c r="AZ36" s="2">
        <f>IF(TipoProgramaPersonalTecnico=1,$E36*'a)Plantilla'!$C12*Programa!D$58,IF(TipoProgramaPersonalTecnico=2,$E36*AZ35,$E36/Hjor*AZ35))</f>
        <v>0</v>
      </c>
      <c r="BA36" s="55">
        <f>IF(TipoProgramaPersonalTecnico=1,$E36*'a)Plantilla'!$C12*Programa!D$59,IF(TipoProgramaPersonalTecnico=2,$E36*BA35,$E36/Hjor*BA35))</f>
        <v>0</v>
      </c>
      <c r="BB36" s="56">
        <f>IF(TipoProgramaPersonalTecnico=1,$E36*'a)Plantilla'!$C12*Programa!D$60,IF(TipoProgramaPersonalTecnico=2,$E36*BB35,$E36/Hjor*BB35))</f>
        <v>0</v>
      </c>
      <c r="BC36" s="53">
        <f>IF(TipoProgramaPersonalTecnico=1,$E36*'a)Plantilla'!$C12*Programa!D$61,IF(TipoProgramaPersonalTecnico=2,$E36*BC35,$E36/Hjor*BC35))</f>
        <v>0</v>
      </c>
      <c r="BD36" s="2">
        <f>IF(TipoProgramaPersonalTecnico=1,$E36*'a)Plantilla'!$C12*Programa!D$62,IF(TipoProgramaPersonalTecnico=2,$E36*BD35,$E36/Hjor*BD35))</f>
        <v>0</v>
      </c>
      <c r="BE36" s="2">
        <f>IF(TipoProgramaPersonalTecnico=1,$E36*'a)Plantilla'!$C12*Programa!D$63,IF(TipoProgramaPersonalTecnico=2,$E36*BE35,$E36/Hjor*BE35))</f>
        <v>0</v>
      </c>
      <c r="BF36" s="2">
        <f>IF(TipoProgramaPersonalTecnico=1,$E36*'a)Plantilla'!$C12*Programa!D$64,IF(TipoProgramaPersonalTecnico=2,$E36*BF35,$E36/Hjor*BF35))</f>
        <v>0</v>
      </c>
      <c r="BG36" s="2">
        <f>IF(TipoProgramaPersonalTecnico=1,$E36*'a)Plantilla'!$C12*Programa!D$65,IF(TipoProgramaPersonalTecnico=2,$E36*BG35,$E36/Hjor*BG35))</f>
        <v>0</v>
      </c>
      <c r="BH36" s="2">
        <f>IF(TipoProgramaPersonalTecnico=1,$E36*'a)Plantilla'!$C12*Programa!D$66,IF(TipoProgramaPersonalTecnico=2,$E36*BH35,$E36/Hjor*BH35))</f>
        <v>0</v>
      </c>
      <c r="BI36" s="2">
        <f>IF(TipoProgramaPersonalTecnico=1,$E36*'a)Plantilla'!$C12*Programa!D$67,IF(TipoProgramaPersonalTecnico=2,$E36*BI35,$E36/Hjor*BI35))</f>
        <v>0</v>
      </c>
      <c r="BJ36" s="2">
        <f>IF(TipoProgramaPersonalTecnico=1,$E36*'a)Plantilla'!$C12*Programa!D$68,IF(TipoProgramaPersonalTecnico=2,$E36*BJ35,$E36/Hjor*BJ35))</f>
        <v>0</v>
      </c>
      <c r="BK36" s="2">
        <f>IF(TipoProgramaPersonalTecnico=1,$E36*'a)Plantilla'!$C12*Programa!D$69,IF(TipoProgramaPersonalTecnico=2,$E36*BK35,$E36/Hjor*BK35))</f>
        <v>0</v>
      </c>
      <c r="BL36" s="2">
        <f>IF(TipoProgramaPersonalTecnico=1,$E36*'a)Plantilla'!$C12*Programa!D$70,IF(TipoProgramaPersonalTecnico=2,$E36*BL35,$E36/Hjor*BL35))</f>
        <v>0</v>
      </c>
      <c r="BM36" s="2">
        <f>IF(TipoProgramaPersonalTecnico=1,$E36*'a)Plantilla'!$C12*Programa!D$71,IF(TipoProgramaPersonalTecnico=2,$E36*BM35,$E36/Hjor*BM35))</f>
        <v>0</v>
      </c>
      <c r="BN36" s="12">
        <f>IF(TipoProgramaPersonalTecnico=1,$E36*'a)Plantilla'!$C12*Programa!D$72,IF(TipoProgramaPersonalTecnico=2,$E36*BN35,$E36/Hjor*BN35))</f>
        <v>0</v>
      </c>
    </row>
    <row r="37" spans="1:66" ht="7.5" customHeight="1">
      <c r="A37" s="67"/>
      <c r="B37" s="19"/>
      <c r="C37" s="127"/>
      <c r="D37" s="54"/>
      <c r="E37" s="19"/>
      <c r="F37" s="19"/>
      <c r="G37" s="1" t="s">
        <v>168</v>
      </c>
      <c r="H37" s="1" t="s">
        <v>168</v>
      </c>
      <c r="I37" s="1" t="s">
        <v>168</v>
      </c>
      <c r="J37" s="1" t="s">
        <v>168</v>
      </c>
      <c r="K37" s="1" t="s">
        <v>168</v>
      </c>
      <c r="L37" s="1" t="s">
        <v>168</v>
      </c>
      <c r="M37" s="1" t="s">
        <v>168</v>
      </c>
      <c r="N37" s="1" t="s">
        <v>168</v>
      </c>
      <c r="O37" s="1" t="s">
        <v>168</v>
      </c>
      <c r="P37" s="1" t="s">
        <v>168</v>
      </c>
      <c r="Q37" s="1" t="s">
        <v>168</v>
      </c>
      <c r="R37" s="8" t="s">
        <v>168</v>
      </c>
      <c r="S37" s="13" t="s">
        <v>168</v>
      </c>
      <c r="T37" s="1" t="s">
        <v>168</v>
      </c>
      <c r="U37" s="1" t="s">
        <v>168</v>
      </c>
      <c r="V37" s="1" t="s">
        <v>168</v>
      </c>
      <c r="W37" s="1" t="s">
        <v>168</v>
      </c>
      <c r="X37" s="1" t="s">
        <v>168</v>
      </c>
      <c r="Y37" s="1" t="s">
        <v>168</v>
      </c>
      <c r="Z37" s="1" t="s">
        <v>168</v>
      </c>
      <c r="AA37" s="1" t="s">
        <v>168</v>
      </c>
      <c r="AB37" s="1" t="s">
        <v>168</v>
      </c>
      <c r="AC37" s="1" t="s">
        <v>168</v>
      </c>
      <c r="AD37" s="8" t="s">
        <v>168</v>
      </c>
      <c r="AE37" s="13" t="s">
        <v>168</v>
      </c>
      <c r="AF37" s="1" t="s">
        <v>168</v>
      </c>
      <c r="AG37" s="1" t="s">
        <v>168</v>
      </c>
      <c r="AH37" s="1" t="s">
        <v>168</v>
      </c>
      <c r="AI37" s="1" t="s">
        <v>168</v>
      </c>
      <c r="AJ37" s="1" t="s">
        <v>168</v>
      </c>
      <c r="AK37" s="1" t="s">
        <v>168</v>
      </c>
      <c r="AL37" s="1" t="s">
        <v>168</v>
      </c>
      <c r="AM37" s="1" t="s">
        <v>168</v>
      </c>
      <c r="AN37" s="1" t="s">
        <v>168</v>
      </c>
      <c r="AO37" s="1" t="s">
        <v>168</v>
      </c>
      <c r="AP37" s="8" t="s">
        <v>168</v>
      </c>
      <c r="AQ37" s="13" t="s">
        <v>168</v>
      </c>
      <c r="AR37" s="1" t="s">
        <v>168</v>
      </c>
      <c r="AS37" s="1" t="s">
        <v>168</v>
      </c>
      <c r="AT37" s="1" t="s">
        <v>168</v>
      </c>
      <c r="AU37" s="1" t="s">
        <v>168</v>
      </c>
      <c r="AV37" s="1" t="s">
        <v>168</v>
      </c>
      <c r="AW37" s="1" t="s">
        <v>168</v>
      </c>
      <c r="AX37" s="1" t="s">
        <v>168</v>
      </c>
      <c r="AY37" s="1" t="s">
        <v>168</v>
      </c>
      <c r="AZ37" s="1" t="s">
        <v>168</v>
      </c>
      <c r="BA37" s="1" t="s">
        <v>168</v>
      </c>
      <c r="BB37" s="8" t="s">
        <v>168</v>
      </c>
      <c r="BC37" s="13" t="s">
        <v>168</v>
      </c>
      <c r="BD37" s="1" t="s">
        <v>168</v>
      </c>
      <c r="BE37" s="1" t="s">
        <v>168</v>
      </c>
      <c r="BF37" s="1" t="s">
        <v>168</v>
      </c>
      <c r="BG37" s="1" t="s">
        <v>168</v>
      </c>
      <c r="BH37" s="1" t="s">
        <v>168</v>
      </c>
      <c r="BI37" s="1" t="s">
        <v>168</v>
      </c>
      <c r="BJ37" s="1" t="s">
        <v>168</v>
      </c>
      <c r="BK37" s="1" t="s">
        <v>168</v>
      </c>
      <c r="BL37" s="1" t="s">
        <v>168</v>
      </c>
      <c r="BM37" s="1" t="s">
        <v>168</v>
      </c>
      <c r="BN37" s="8" t="s">
        <v>168</v>
      </c>
    </row>
    <row r="38" spans="1:66">
      <c r="A38" s="67"/>
      <c r="B38" s="46"/>
      <c r="C38" s="127"/>
      <c r="D38" s="52"/>
      <c r="E38" s="59"/>
      <c r="F38" s="59"/>
      <c r="G38" s="3">
        <f>'d)Pers.Técnico'!E32</f>
        <v>0</v>
      </c>
      <c r="H38" s="3">
        <f>'d)Pers.Técnico'!F32</f>
        <v>0</v>
      </c>
      <c r="I38" s="3">
        <f>'d)Pers.Técnico'!G32</f>
        <v>0</v>
      </c>
      <c r="J38" s="3">
        <f>'d)Pers.Técnico'!H32</f>
        <v>0</v>
      </c>
      <c r="K38" s="3">
        <f>'d)Pers.Técnico'!I32</f>
        <v>0</v>
      </c>
      <c r="L38" s="3">
        <f>'d)Pers.Técnico'!J32</f>
        <v>0</v>
      </c>
      <c r="M38" s="3">
        <f>'d)Pers.Técnico'!K32</f>
        <v>0</v>
      </c>
      <c r="N38" s="3">
        <f>'d)Pers.Técnico'!L32</f>
        <v>0</v>
      </c>
      <c r="O38" s="3">
        <f>'d)Pers.Técnico'!M32</f>
        <v>0</v>
      </c>
      <c r="P38" s="3">
        <f>'d)Pers.Técnico'!N32</f>
        <v>0</v>
      </c>
      <c r="Q38" s="3">
        <f>'d)Pers.Técnico'!O32</f>
        <v>0</v>
      </c>
      <c r="R38" s="14">
        <f>'d)Pers.Técnico'!P32</f>
        <v>0</v>
      </c>
      <c r="S38" s="20">
        <f>'d)Pers.Técnico'!Q32</f>
        <v>0</v>
      </c>
      <c r="T38" s="3">
        <f>'d)Pers.Técnico'!R32</f>
        <v>0</v>
      </c>
      <c r="U38" s="3">
        <f>'d)Pers.Técnico'!S32</f>
        <v>0</v>
      </c>
      <c r="V38" s="3">
        <f>'d)Pers.Técnico'!T32</f>
        <v>0</v>
      </c>
      <c r="W38" s="3">
        <f>'d)Pers.Técnico'!U32</f>
        <v>0</v>
      </c>
      <c r="X38" s="3">
        <f>'d)Pers.Técnico'!V32</f>
        <v>0</v>
      </c>
      <c r="Y38" s="3">
        <f>'d)Pers.Técnico'!W32</f>
        <v>0</v>
      </c>
      <c r="Z38" s="3">
        <f>'d)Pers.Técnico'!X32</f>
        <v>0</v>
      </c>
      <c r="AA38" s="3">
        <f>'d)Pers.Técnico'!Y32</f>
        <v>0</v>
      </c>
      <c r="AB38" s="3">
        <f>'d)Pers.Técnico'!Z32</f>
        <v>0</v>
      </c>
      <c r="AC38" s="3">
        <f>'d)Pers.Técnico'!AA32</f>
        <v>0</v>
      </c>
      <c r="AD38" s="14">
        <f>'d)Pers.Técnico'!AB32</f>
        <v>0</v>
      </c>
      <c r="AE38" s="20">
        <f>'d)Pers.Técnico'!AC32</f>
        <v>0</v>
      </c>
      <c r="AF38" s="3">
        <f>'d)Pers.Técnico'!AD32</f>
        <v>0</v>
      </c>
      <c r="AG38" s="3">
        <f>'d)Pers.Técnico'!AE32</f>
        <v>0</v>
      </c>
      <c r="AH38" s="3">
        <f>'d)Pers.Técnico'!AF32</f>
        <v>0</v>
      </c>
      <c r="AI38" s="3">
        <f>'d)Pers.Técnico'!AG32</f>
        <v>0</v>
      </c>
      <c r="AJ38" s="3">
        <f>'d)Pers.Técnico'!AH32</f>
        <v>0</v>
      </c>
      <c r="AK38" s="3">
        <f>'d)Pers.Técnico'!AI32</f>
        <v>0</v>
      </c>
      <c r="AL38" s="3">
        <f>'d)Pers.Técnico'!AJ32</f>
        <v>0</v>
      </c>
      <c r="AM38" s="3">
        <f>'d)Pers.Técnico'!AK32</f>
        <v>0</v>
      </c>
      <c r="AN38" s="3">
        <f>'d)Pers.Técnico'!AL32</f>
        <v>0</v>
      </c>
      <c r="AO38" s="3">
        <f>'d)Pers.Técnico'!AM32</f>
        <v>0</v>
      </c>
      <c r="AP38" s="14">
        <f>'d)Pers.Técnico'!AN32</f>
        <v>0</v>
      </c>
      <c r="AQ38" s="20">
        <f>'d)Pers.Técnico'!AO32</f>
        <v>0</v>
      </c>
      <c r="AR38" s="3">
        <f>'d)Pers.Técnico'!AP32</f>
        <v>0</v>
      </c>
      <c r="AS38" s="3">
        <f>'d)Pers.Técnico'!AQ32</f>
        <v>0</v>
      </c>
      <c r="AT38" s="3">
        <f>'d)Pers.Técnico'!AR32</f>
        <v>0</v>
      </c>
      <c r="AU38" s="3">
        <f>'d)Pers.Técnico'!AS32</f>
        <v>0</v>
      </c>
      <c r="AV38" s="3">
        <f>'d)Pers.Técnico'!AT32</f>
        <v>0</v>
      </c>
      <c r="AW38" s="3">
        <f>'d)Pers.Técnico'!AU32</f>
        <v>0</v>
      </c>
      <c r="AX38" s="3">
        <f>'d)Pers.Técnico'!AV32</f>
        <v>0</v>
      </c>
      <c r="AY38" s="3">
        <f>'d)Pers.Técnico'!AW32</f>
        <v>0</v>
      </c>
      <c r="AZ38" s="3">
        <f>'d)Pers.Técnico'!AX32</f>
        <v>0</v>
      </c>
      <c r="BA38" s="1">
        <f>'d)Pers.Técnico'!AY32</f>
        <v>0</v>
      </c>
      <c r="BB38" s="60">
        <f>'d)Pers.Técnico'!AZ32</f>
        <v>0</v>
      </c>
      <c r="BC38" s="61">
        <f>'d)Pers.Técnico'!BA32</f>
        <v>0</v>
      </c>
      <c r="BD38" s="3">
        <f>'d)Pers.Técnico'!BB32</f>
        <v>0</v>
      </c>
      <c r="BE38" s="3">
        <f>'d)Pers.Técnico'!BC32</f>
        <v>0</v>
      </c>
      <c r="BF38" s="3">
        <f>'d)Pers.Técnico'!BD32</f>
        <v>0</v>
      </c>
      <c r="BG38" s="3">
        <f>'d)Pers.Técnico'!BE32</f>
        <v>0</v>
      </c>
      <c r="BH38" s="3">
        <f>'d)Pers.Técnico'!BF32</f>
        <v>0</v>
      </c>
      <c r="BI38" s="3">
        <f>'d)Pers.Técnico'!BG32</f>
        <v>0</v>
      </c>
      <c r="BJ38" s="3">
        <f>'d)Pers.Técnico'!BH32</f>
        <v>0</v>
      </c>
      <c r="BK38" s="3">
        <f>'d)Pers.Técnico'!BI32</f>
        <v>0</v>
      </c>
      <c r="BL38" s="3">
        <f>'d)Pers.Técnico'!BJ32</f>
        <v>0</v>
      </c>
      <c r="BM38" s="3">
        <f>'d)Pers.Técnico'!BK32</f>
        <v>0</v>
      </c>
      <c r="BN38" s="14">
        <f>'d)Pers.Técnico'!BL32</f>
        <v>0</v>
      </c>
    </row>
    <row r="39" spans="1:66">
      <c r="A39" s="67"/>
      <c r="B39" s="46" t="str">
        <f>+'d)Pers.Técnico'!B32</f>
        <v/>
      </c>
      <c r="C39" s="127" t="str">
        <f>'d)Pers.Técnico'!C32</f>
        <v/>
      </c>
      <c r="D39" s="52">
        <f>SUM(G38:BN38)</f>
        <v>0</v>
      </c>
      <c r="E39" s="7">
        <f>IF('a)Plantilla'!C13&gt;0,'a)Plantilla'!D13/30,0)</f>
        <v>0</v>
      </c>
      <c r="F39" s="7">
        <f>SUM(G39:BN39)</f>
        <v>0</v>
      </c>
      <c r="G39" s="2">
        <f>IF(TipoProgramaPersonalTecnico=1,$E39*'a)Plantilla'!$C13*Programa!D$13,IF(TipoProgramaPersonalTecnico=2,$E39*G38,$E39/Hjor*G38))</f>
        <v>0</v>
      </c>
      <c r="H39" s="2">
        <f>IF(TipoProgramaPersonalTecnico=1,$E39*'a)Plantilla'!$C13*Programa!D$14,IF(TipoProgramaPersonalTecnico=2,$E39*H38,$E39/Hjor*H38))</f>
        <v>0</v>
      </c>
      <c r="I39" s="2">
        <f>IF(TipoProgramaPersonalTecnico=1,$E39*'a)Plantilla'!$C13*Programa!D$15,IF(TipoProgramaPersonalTecnico=2,$E39*I38,$E39/Hjor*I38))</f>
        <v>0</v>
      </c>
      <c r="J39" s="2">
        <f>IF(TipoProgramaPersonalTecnico=1,$E39*'a)Plantilla'!$C13*Programa!D$16,IF(TipoProgramaPersonalTecnico=2,$E39*J38,$E39/Hjor*J38))</f>
        <v>0</v>
      </c>
      <c r="K39" s="2">
        <f>IF(TipoProgramaPersonalTecnico=1,$E39*'a)Plantilla'!$C13*Programa!D$17,IF(TipoProgramaPersonalTecnico=2,$E39*K38,$E39/Hjor*K38))</f>
        <v>0</v>
      </c>
      <c r="L39" s="2">
        <f>IF(TipoProgramaPersonalTecnico=1,$E39*'a)Plantilla'!$C13*Programa!D$18,IF(TipoProgramaPersonalTecnico=2,$E39*L38,$E39/Hjor*L38))</f>
        <v>0</v>
      </c>
      <c r="M39" s="2">
        <f>IF(TipoProgramaPersonalTecnico=1,$E39*'a)Plantilla'!$C13*Programa!D$19,IF(TipoProgramaPersonalTecnico=2,$E39*M38,$E39/Hjor*M38))</f>
        <v>0</v>
      </c>
      <c r="N39" s="2">
        <f>IF(TipoProgramaPersonalTecnico=1,$E39*'a)Plantilla'!$C13*Programa!D$20,IF(TipoProgramaPersonalTecnico=2,$E39*N38,$E39/Hjor*N38))</f>
        <v>0</v>
      </c>
      <c r="O39" s="2">
        <f>IF(TipoProgramaPersonalTecnico=1,$E39*'a)Plantilla'!$C13*Programa!D$21,IF(TipoProgramaPersonalTecnico=2,$E39*O38,$E39/Hjor*O38))</f>
        <v>0</v>
      </c>
      <c r="P39" s="2">
        <f>IF(TipoProgramaPersonalTecnico=1,$E39*'a)Plantilla'!$C13*Programa!D$22,IF(TipoProgramaPersonalTecnico=2,$E39*P38,$E39/Hjor*P38))</f>
        <v>0</v>
      </c>
      <c r="Q39" s="2">
        <f>IF(TipoProgramaPersonalTecnico=1,$E39*'a)Plantilla'!$C13*Programa!D$23,IF(TipoProgramaPersonalTecnico=2,$E39*Q38,$E39/Hjor*Q38))</f>
        <v>0</v>
      </c>
      <c r="R39" s="12">
        <f>IF(TipoProgramaPersonalTecnico=1,$E39*'a)Plantilla'!$C13*Programa!D$24,IF(TipoProgramaPersonalTecnico=2,$E39*R38,$E39/Hjor*R38))</f>
        <v>0</v>
      </c>
      <c r="S39" s="7">
        <f>IF(TipoProgramaPersonalTecnico=1,$E39*'a)Plantilla'!$C13*Programa!D$25,IF(TipoProgramaPersonalTecnico=2,$E39*S38,$E39/Hjor*S38))</f>
        <v>0</v>
      </c>
      <c r="T39" s="2">
        <f>IF(TipoProgramaPersonalTecnico=1,$E39*'a)Plantilla'!$C13*Programa!D$26,IF(TipoProgramaPersonalTecnico=2,$E39*T38,$E39/Hjor*T38))</f>
        <v>0</v>
      </c>
      <c r="U39" s="2">
        <f>IF(TipoProgramaPersonalTecnico=1,$E39*'a)Plantilla'!$C13*Programa!D$27,IF(TipoProgramaPersonalTecnico=2,$E39*U38,$E39/Hjor*U38))</f>
        <v>0</v>
      </c>
      <c r="V39" s="2">
        <f>IF(TipoProgramaPersonalTecnico=1,$E39*'a)Plantilla'!$C13*Programa!D$28,IF(TipoProgramaPersonalTecnico=2,$E39*V38,$E39/Hjor*V38))</f>
        <v>0</v>
      </c>
      <c r="W39" s="2">
        <f>IF(TipoProgramaPersonalTecnico=1,$E39*'a)Plantilla'!$C13*Programa!D$29,IF(TipoProgramaPersonalTecnico=2,$E39*W38,$E39/Hjor*W38))</f>
        <v>0</v>
      </c>
      <c r="X39" s="2">
        <f>IF(TipoProgramaPersonalTecnico=1,$E39*'a)Plantilla'!$C13*Programa!D$30,IF(TipoProgramaPersonalTecnico=2,$E39*X38,$E39/Hjor*X38))</f>
        <v>0</v>
      </c>
      <c r="Y39" s="2">
        <f>IF(TipoProgramaPersonalTecnico=1,$E39*'a)Plantilla'!$C13*Programa!D$31,IF(TipoProgramaPersonalTecnico=2,$E39*Y38,$E39/Hjor*Y38))</f>
        <v>0</v>
      </c>
      <c r="Z39" s="2">
        <f>IF(TipoProgramaPersonalTecnico=1,$E39*'a)Plantilla'!$C13*Programa!D$32,IF(TipoProgramaPersonalTecnico=2,$E39*Z38,$E39/Hjor*Z38))</f>
        <v>0</v>
      </c>
      <c r="AA39" s="2">
        <f>IF(TipoProgramaPersonalTecnico=1,$E39*'a)Plantilla'!$C13*Programa!D$33,IF(TipoProgramaPersonalTecnico=2,$E39*AA38,$E39/Hjor*AA38))</f>
        <v>0</v>
      </c>
      <c r="AB39" s="2">
        <f>IF(TipoProgramaPersonalTecnico=1,$E39*'a)Plantilla'!$C13*Programa!D$34,IF(TipoProgramaPersonalTecnico=2,$E39*AB38,$E39/Hjor*AB38))</f>
        <v>0</v>
      </c>
      <c r="AC39" s="2">
        <f>IF(TipoProgramaPersonalTecnico=1,$E39*'a)Plantilla'!$C13*Programa!D$35,IF(TipoProgramaPersonalTecnico=2,$E39*AC38,$E39/Hjor*AC38))</f>
        <v>0</v>
      </c>
      <c r="AD39" s="12">
        <f>IF(TipoProgramaPersonalTecnico=1,$E39*'a)Plantilla'!$C13*Programa!D$36,IF(TipoProgramaPersonalTecnico=2,$E39*AD38,$E39/Hjor*AD38))</f>
        <v>0</v>
      </c>
      <c r="AE39" s="7">
        <f>IF(TipoProgramaPersonalTecnico=1,$E39*'a)Plantilla'!$C13*Programa!D$37,IF(TipoProgramaPersonalTecnico=2,$E39*AE38,$E39/Hjor*AE38))</f>
        <v>0</v>
      </c>
      <c r="AF39" s="2">
        <f>IF(TipoProgramaPersonalTecnico=1,$E39*'a)Plantilla'!$C13*Programa!D$38,IF(TipoProgramaPersonalTecnico=2,$E39*AF38,$E39/Hjor*AF38))</f>
        <v>0</v>
      </c>
      <c r="AG39" s="2">
        <f>IF(TipoProgramaPersonalTecnico=1,$E39*'a)Plantilla'!$C13*Programa!D$39,IF(TipoProgramaPersonalTecnico=2,$E39*AG38,$E39/Hjor*AG38))</f>
        <v>0</v>
      </c>
      <c r="AH39" s="2">
        <f>IF(TipoProgramaPersonalTecnico=1,$E39*'a)Plantilla'!$C13*Programa!D$40,IF(TipoProgramaPersonalTecnico=2,$E39*AH38,$E39/Hjor*AH38))</f>
        <v>0</v>
      </c>
      <c r="AI39" s="2">
        <f>IF(TipoProgramaPersonalTecnico=1,$E39*'a)Plantilla'!$C13*Programa!D$41,IF(TipoProgramaPersonalTecnico=2,$E39*AI38,$E39/Hjor*AI38))</f>
        <v>0</v>
      </c>
      <c r="AJ39" s="2">
        <f>IF(TipoProgramaPersonalTecnico=1,$E39*'a)Plantilla'!$C13*Programa!D$42,IF(TipoProgramaPersonalTecnico=2,$E39*AJ38,$E39/Hjor*AJ38))</f>
        <v>0</v>
      </c>
      <c r="AK39" s="2">
        <f>IF(TipoProgramaPersonalTecnico=1,$E39*'a)Plantilla'!$C13*Programa!D$43,IF(TipoProgramaPersonalTecnico=2,$E39*AK38,$E39/Hjor*AK38))</f>
        <v>0</v>
      </c>
      <c r="AL39" s="2">
        <f>IF(TipoProgramaPersonalTecnico=1,$E39*'a)Plantilla'!$C13*Programa!D$44,IF(TipoProgramaPersonalTecnico=2,$E39*AL38,$E39/Hjor*AL38))</f>
        <v>0</v>
      </c>
      <c r="AM39" s="2">
        <f>IF(TipoProgramaPersonalTecnico=1,$E39*'a)Plantilla'!$C13*Programa!D$45,IF(TipoProgramaPersonalTecnico=2,$E39*AM38,$E39/Hjor*AM38))</f>
        <v>0</v>
      </c>
      <c r="AN39" s="2">
        <f>IF(TipoProgramaPersonalTecnico=1,$E39*'a)Plantilla'!$C13*Programa!D$46,IF(TipoProgramaPersonalTecnico=2,$E39*AN38,$E39/Hjor*AN38))</f>
        <v>0</v>
      </c>
      <c r="AO39" s="2">
        <f>IF(TipoProgramaPersonalTecnico=1,$E39*'a)Plantilla'!$C13*Programa!D$47,IF(TipoProgramaPersonalTecnico=2,$E39*AO38,$E39/Hjor*AO38))</f>
        <v>0</v>
      </c>
      <c r="AP39" s="12">
        <f>IF(TipoProgramaPersonalTecnico=1,$E39*'a)Plantilla'!$C13*Programa!D$48,IF(TipoProgramaPersonalTecnico=2,$E39*AP38,$E39/Hjor*AP38))</f>
        <v>0</v>
      </c>
      <c r="AQ39" s="7">
        <f>IF(TipoProgramaPersonalTecnico=1,$E39*'a)Plantilla'!$C13*Programa!D$49,IF(TipoProgramaPersonalTecnico=2,$E39*AQ38,$E39/Hjor*AQ38))</f>
        <v>0</v>
      </c>
      <c r="AR39" s="2">
        <f>IF(TipoProgramaPersonalTecnico=1,$E39*'a)Plantilla'!$C13*Programa!D$50,IF(TipoProgramaPersonalTecnico=2,$E39*AR38,$E39/Hjor*AR38))</f>
        <v>0</v>
      </c>
      <c r="AS39" s="2">
        <f>IF(TipoProgramaPersonalTecnico=1,$E39*'a)Plantilla'!$C13*Programa!D$51,IF(TipoProgramaPersonalTecnico=2,$E39*AS38,$E39/Hjor*AS38))</f>
        <v>0</v>
      </c>
      <c r="AT39" s="2">
        <f>IF(TipoProgramaPersonalTecnico=1,$E39*'a)Plantilla'!$C13*Programa!D$52,IF(TipoProgramaPersonalTecnico=2,$E39*AT38,$E39/Hjor*AT38))</f>
        <v>0</v>
      </c>
      <c r="AU39" s="2">
        <f>IF(TipoProgramaPersonalTecnico=1,$E39*'a)Plantilla'!$C13*Programa!D$53,IF(TipoProgramaPersonalTecnico=2,$E39*AU38,$E39/Hjor*AU38))</f>
        <v>0</v>
      </c>
      <c r="AV39" s="2">
        <f>IF(TipoProgramaPersonalTecnico=1,$E39*'a)Plantilla'!$C13*Programa!D$54,IF(TipoProgramaPersonalTecnico=2,$E39*AV38,$E39/Hjor*AV38))</f>
        <v>0</v>
      </c>
      <c r="AW39" s="2">
        <f>IF(TipoProgramaPersonalTecnico=1,$E39*'a)Plantilla'!$C13*Programa!D$55,IF(TipoProgramaPersonalTecnico=2,$E39*AW38,$E39/Hjor*AW38))</f>
        <v>0</v>
      </c>
      <c r="AX39" s="2">
        <f>IF(TipoProgramaPersonalTecnico=1,$E39*'a)Plantilla'!$C13*Programa!D$56,IF(TipoProgramaPersonalTecnico=2,$E39*AX38,$E39/Hjor*AX38))</f>
        <v>0</v>
      </c>
      <c r="AY39" s="2">
        <f>IF(TipoProgramaPersonalTecnico=1,$E39*'a)Plantilla'!$C13*Programa!D$57,IF(TipoProgramaPersonalTecnico=2,$E39*AY38,$E39/Hjor*AY38))</f>
        <v>0</v>
      </c>
      <c r="AZ39" s="2">
        <f>IF(TipoProgramaPersonalTecnico=1,$E39*'a)Plantilla'!$C13*Programa!D$58,IF(TipoProgramaPersonalTecnico=2,$E39*AZ38,$E39/Hjor*AZ38))</f>
        <v>0</v>
      </c>
      <c r="BA39" s="55">
        <f>IF(TipoProgramaPersonalTecnico=1,$E39*'a)Plantilla'!$C13*Programa!D$59,IF(TipoProgramaPersonalTecnico=2,$E39*BA38,$E39/Hjor*BA38))</f>
        <v>0</v>
      </c>
      <c r="BB39" s="56">
        <f>IF(TipoProgramaPersonalTecnico=1,$E39*'a)Plantilla'!$C13*Programa!D$60,IF(TipoProgramaPersonalTecnico=2,$E39*BB38,$E39/Hjor*BB38))</f>
        <v>0</v>
      </c>
      <c r="BC39" s="53">
        <f>IF(TipoProgramaPersonalTecnico=1,$E39*'a)Plantilla'!$C13*Programa!D$61,IF(TipoProgramaPersonalTecnico=2,$E39*BC38,$E39/Hjor*BC38))</f>
        <v>0</v>
      </c>
      <c r="BD39" s="2">
        <f>IF(TipoProgramaPersonalTecnico=1,$E39*'a)Plantilla'!$C13*Programa!D$62,IF(TipoProgramaPersonalTecnico=2,$E39*BD38,$E39/Hjor*BD38))</f>
        <v>0</v>
      </c>
      <c r="BE39" s="2">
        <f>IF(TipoProgramaPersonalTecnico=1,$E39*'a)Plantilla'!$C13*Programa!D$63,IF(TipoProgramaPersonalTecnico=2,$E39*BE38,$E39/Hjor*BE38))</f>
        <v>0</v>
      </c>
      <c r="BF39" s="2">
        <f>IF(TipoProgramaPersonalTecnico=1,$E39*'a)Plantilla'!$C13*Programa!D$64,IF(TipoProgramaPersonalTecnico=2,$E39*BF38,$E39/Hjor*BF38))</f>
        <v>0</v>
      </c>
      <c r="BG39" s="2">
        <f>IF(TipoProgramaPersonalTecnico=1,$E39*'a)Plantilla'!$C13*Programa!D$65,IF(TipoProgramaPersonalTecnico=2,$E39*BG38,$E39/Hjor*BG38))</f>
        <v>0</v>
      </c>
      <c r="BH39" s="2">
        <f>IF(TipoProgramaPersonalTecnico=1,$E39*'a)Plantilla'!$C13*Programa!D$66,IF(TipoProgramaPersonalTecnico=2,$E39*BH38,$E39/Hjor*BH38))</f>
        <v>0</v>
      </c>
      <c r="BI39" s="2">
        <f>IF(TipoProgramaPersonalTecnico=1,$E39*'a)Plantilla'!$C13*Programa!D$67,IF(TipoProgramaPersonalTecnico=2,$E39*BI38,$E39/Hjor*BI38))</f>
        <v>0</v>
      </c>
      <c r="BJ39" s="2">
        <f>IF(TipoProgramaPersonalTecnico=1,$E39*'a)Plantilla'!$C13*Programa!D$68,IF(TipoProgramaPersonalTecnico=2,$E39*BJ38,$E39/Hjor*BJ38))</f>
        <v>0</v>
      </c>
      <c r="BK39" s="2">
        <f>IF(TipoProgramaPersonalTecnico=1,$E39*'a)Plantilla'!$C13*Programa!D$69,IF(TipoProgramaPersonalTecnico=2,$E39*BK38,$E39/Hjor*BK38))</f>
        <v>0</v>
      </c>
      <c r="BL39" s="2">
        <f>IF(TipoProgramaPersonalTecnico=1,$E39*'a)Plantilla'!$C13*Programa!D$70,IF(TipoProgramaPersonalTecnico=2,$E39*BL38,$E39/Hjor*BL38))</f>
        <v>0</v>
      </c>
      <c r="BM39" s="2">
        <f>IF(TipoProgramaPersonalTecnico=1,$E39*'a)Plantilla'!$C13*Programa!D$71,IF(TipoProgramaPersonalTecnico=2,$E39*BM38,$E39/Hjor*BM38))</f>
        <v>0</v>
      </c>
      <c r="BN39" s="12">
        <f>IF(TipoProgramaPersonalTecnico=1,$E39*'a)Plantilla'!$C13*Programa!D$72,IF(TipoProgramaPersonalTecnico=2,$E39*BN38,$E39/Hjor*BN38))</f>
        <v>0</v>
      </c>
    </row>
    <row r="40" spans="1:66" ht="7.5" customHeight="1">
      <c r="A40" s="67"/>
      <c r="B40" s="19"/>
      <c r="C40" s="127"/>
      <c r="D40" s="54"/>
      <c r="E40" s="19"/>
      <c r="F40" s="19"/>
      <c r="G40" s="1" t="s">
        <v>168</v>
      </c>
      <c r="H40" s="1" t="s">
        <v>168</v>
      </c>
      <c r="I40" s="1" t="s">
        <v>168</v>
      </c>
      <c r="J40" s="1" t="s">
        <v>168</v>
      </c>
      <c r="K40" s="1" t="s">
        <v>168</v>
      </c>
      <c r="L40" s="1" t="s">
        <v>168</v>
      </c>
      <c r="M40" s="1" t="s">
        <v>168</v>
      </c>
      <c r="N40" s="1" t="s">
        <v>168</v>
      </c>
      <c r="O40" s="1" t="s">
        <v>168</v>
      </c>
      <c r="P40" s="1" t="s">
        <v>168</v>
      </c>
      <c r="Q40" s="1" t="s">
        <v>168</v>
      </c>
      <c r="R40" s="8" t="s">
        <v>168</v>
      </c>
      <c r="S40" s="13" t="s">
        <v>168</v>
      </c>
      <c r="T40" s="1" t="s">
        <v>168</v>
      </c>
      <c r="U40" s="1" t="s">
        <v>168</v>
      </c>
      <c r="V40" s="1" t="s">
        <v>168</v>
      </c>
      <c r="W40" s="1" t="s">
        <v>168</v>
      </c>
      <c r="X40" s="1" t="s">
        <v>168</v>
      </c>
      <c r="Y40" s="1" t="s">
        <v>168</v>
      </c>
      <c r="Z40" s="1" t="s">
        <v>168</v>
      </c>
      <c r="AA40" s="1" t="s">
        <v>168</v>
      </c>
      <c r="AB40" s="1" t="s">
        <v>168</v>
      </c>
      <c r="AC40" s="1" t="s">
        <v>168</v>
      </c>
      <c r="AD40" s="8" t="s">
        <v>168</v>
      </c>
      <c r="AE40" s="13" t="s">
        <v>168</v>
      </c>
      <c r="AF40" s="1" t="s">
        <v>168</v>
      </c>
      <c r="AG40" s="1" t="s">
        <v>168</v>
      </c>
      <c r="AH40" s="1" t="s">
        <v>168</v>
      </c>
      <c r="AI40" s="1" t="s">
        <v>168</v>
      </c>
      <c r="AJ40" s="1" t="s">
        <v>168</v>
      </c>
      <c r="AK40" s="1" t="s">
        <v>168</v>
      </c>
      <c r="AL40" s="1" t="s">
        <v>168</v>
      </c>
      <c r="AM40" s="1" t="s">
        <v>168</v>
      </c>
      <c r="AN40" s="1" t="s">
        <v>168</v>
      </c>
      <c r="AO40" s="1" t="s">
        <v>168</v>
      </c>
      <c r="AP40" s="8" t="s">
        <v>168</v>
      </c>
      <c r="AQ40" s="13" t="s">
        <v>168</v>
      </c>
      <c r="AR40" s="1" t="s">
        <v>168</v>
      </c>
      <c r="AS40" s="1" t="s">
        <v>168</v>
      </c>
      <c r="AT40" s="1" t="s">
        <v>168</v>
      </c>
      <c r="AU40" s="1" t="s">
        <v>168</v>
      </c>
      <c r="AV40" s="1" t="s">
        <v>168</v>
      </c>
      <c r="AW40" s="1" t="s">
        <v>168</v>
      </c>
      <c r="AX40" s="1" t="s">
        <v>168</v>
      </c>
      <c r="AY40" s="1" t="s">
        <v>168</v>
      </c>
      <c r="AZ40" s="1" t="s">
        <v>168</v>
      </c>
      <c r="BA40" s="1" t="s">
        <v>168</v>
      </c>
      <c r="BB40" s="8" t="s">
        <v>168</v>
      </c>
      <c r="BC40" s="13" t="s">
        <v>168</v>
      </c>
      <c r="BD40" s="1" t="s">
        <v>168</v>
      </c>
      <c r="BE40" s="1" t="s">
        <v>168</v>
      </c>
      <c r="BF40" s="1" t="s">
        <v>168</v>
      </c>
      <c r="BG40" s="1" t="s">
        <v>168</v>
      </c>
      <c r="BH40" s="1" t="s">
        <v>168</v>
      </c>
      <c r="BI40" s="1" t="s">
        <v>168</v>
      </c>
      <c r="BJ40" s="1" t="s">
        <v>168</v>
      </c>
      <c r="BK40" s="1" t="s">
        <v>168</v>
      </c>
      <c r="BL40" s="1" t="s">
        <v>168</v>
      </c>
      <c r="BM40" s="1" t="s">
        <v>168</v>
      </c>
      <c r="BN40" s="8" t="s">
        <v>168</v>
      </c>
    </row>
    <row r="41" spans="1:66">
      <c r="A41" s="67"/>
      <c r="B41" s="46"/>
      <c r="C41" s="127"/>
      <c r="D41" s="52"/>
      <c r="E41" s="59"/>
      <c r="F41" s="59"/>
      <c r="G41" s="3">
        <f>'d)Pers.Técnico'!E34</f>
        <v>0</v>
      </c>
      <c r="H41" s="3">
        <f>'d)Pers.Técnico'!F34</f>
        <v>0</v>
      </c>
      <c r="I41" s="3">
        <f>'d)Pers.Técnico'!G34</f>
        <v>0</v>
      </c>
      <c r="J41" s="3">
        <f>'d)Pers.Técnico'!H34</f>
        <v>0</v>
      </c>
      <c r="K41" s="3">
        <f>'d)Pers.Técnico'!I34</f>
        <v>0</v>
      </c>
      <c r="L41" s="3">
        <f>'d)Pers.Técnico'!J34</f>
        <v>0</v>
      </c>
      <c r="M41" s="3">
        <f>'d)Pers.Técnico'!K34</f>
        <v>0</v>
      </c>
      <c r="N41" s="3">
        <f>'d)Pers.Técnico'!L34</f>
        <v>0</v>
      </c>
      <c r="O41" s="3">
        <f>'d)Pers.Técnico'!M34</f>
        <v>0</v>
      </c>
      <c r="P41" s="3">
        <f>'d)Pers.Técnico'!N34</f>
        <v>0</v>
      </c>
      <c r="Q41" s="3">
        <f>'d)Pers.Técnico'!O34</f>
        <v>0</v>
      </c>
      <c r="R41" s="14">
        <f>'d)Pers.Técnico'!P34</f>
        <v>0</v>
      </c>
      <c r="S41" s="20">
        <f>'d)Pers.Técnico'!Q34</f>
        <v>0</v>
      </c>
      <c r="T41" s="3">
        <f>'d)Pers.Técnico'!R34</f>
        <v>0</v>
      </c>
      <c r="U41" s="3">
        <f>'d)Pers.Técnico'!S34</f>
        <v>0</v>
      </c>
      <c r="V41" s="3">
        <f>'d)Pers.Técnico'!T34</f>
        <v>0</v>
      </c>
      <c r="W41" s="3">
        <f>'d)Pers.Técnico'!U34</f>
        <v>0</v>
      </c>
      <c r="X41" s="3">
        <f>'d)Pers.Técnico'!V34</f>
        <v>0</v>
      </c>
      <c r="Y41" s="3">
        <f>'d)Pers.Técnico'!W34</f>
        <v>0</v>
      </c>
      <c r="Z41" s="3">
        <f>'d)Pers.Técnico'!X34</f>
        <v>0</v>
      </c>
      <c r="AA41" s="3">
        <f>'d)Pers.Técnico'!Y34</f>
        <v>0</v>
      </c>
      <c r="AB41" s="3">
        <f>'d)Pers.Técnico'!Z34</f>
        <v>0</v>
      </c>
      <c r="AC41" s="3">
        <f>'d)Pers.Técnico'!AA34</f>
        <v>0</v>
      </c>
      <c r="AD41" s="14">
        <f>'d)Pers.Técnico'!AB34</f>
        <v>0</v>
      </c>
      <c r="AE41" s="20">
        <f>'d)Pers.Técnico'!AC34</f>
        <v>0</v>
      </c>
      <c r="AF41" s="3">
        <f>'d)Pers.Técnico'!AD34</f>
        <v>0</v>
      </c>
      <c r="AG41" s="3">
        <f>'d)Pers.Técnico'!AE34</f>
        <v>0</v>
      </c>
      <c r="AH41" s="3">
        <f>'d)Pers.Técnico'!AF34</f>
        <v>0</v>
      </c>
      <c r="AI41" s="3">
        <f>'d)Pers.Técnico'!AG34</f>
        <v>0</v>
      </c>
      <c r="AJ41" s="3">
        <f>'d)Pers.Técnico'!AH34</f>
        <v>0</v>
      </c>
      <c r="AK41" s="3">
        <f>'d)Pers.Técnico'!AI34</f>
        <v>0</v>
      </c>
      <c r="AL41" s="3">
        <f>'d)Pers.Técnico'!AJ34</f>
        <v>0</v>
      </c>
      <c r="AM41" s="3">
        <f>'d)Pers.Técnico'!AK34</f>
        <v>0</v>
      </c>
      <c r="AN41" s="3">
        <f>'d)Pers.Técnico'!AL34</f>
        <v>0</v>
      </c>
      <c r="AO41" s="3">
        <f>'d)Pers.Técnico'!AM34</f>
        <v>0</v>
      </c>
      <c r="AP41" s="14">
        <f>'d)Pers.Técnico'!AN34</f>
        <v>0</v>
      </c>
      <c r="AQ41" s="20">
        <f>'d)Pers.Técnico'!AO34</f>
        <v>0</v>
      </c>
      <c r="AR41" s="3">
        <f>'d)Pers.Técnico'!AP34</f>
        <v>0</v>
      </c>
      <c r="AS41" s="3">
        <f>'d)Pers.Técnico'!AQ34</f>
        <v>0</v>
      </c>
      <c r="AT41" s="3">
        <f>'d)Pers.Técnico'!AR34</f>
        <v>0</v>
      </c>
      <c r="AU41" s="3">
        <f>'d)Pers.Técnico'!AS34</f>
        <v>0</v>
      </c>
      <c r="AV41" s="3">
        <f>'d)Pers.Técnico'!AT34</f>
        <v>0</v>
      </c>
      <c r="AW41" s="3">
        <f>'d)Pers.Técnico'!AU34</f>
        <v>0</v>
      </c>
      <c r="AX41" s="3">
        <f>'d)Pers.Técnico'!AV34</f>
        <v>0</v>
      </c>
      <c r="AY41" s="3">
        <f>'d)Pers.Técnico'!AW34</f>
        <v>0</v>
      </c>
      <c r="AZ41" s="3">
        <f>'d)Pers.Técnico'!AX34</f>
        <v>0</v>
      </c>
      <c r="BA41" s="1">
        <f>'d)Pers.Técnico'!AY34</f>
        <v>0</v>
      </c>
      <c r="BB41" s="60">
        <f>'d)Pers.Técnico'!AZ34</f>
        <v>0</v>
      </c>
      <c r="BC41" s="61">
        <f>'d)Pers.Técnico'!BA34</f>
        <v>0</v>
      </c>
      <c r="BD41" s="3">
        <f>'d)Pers.Técnico'!BB34</f>
        <v>0</v>
      </c>
      <c r="BE41" s="3">
        <f>'d)Pers.Técnico'!BC34</f>
        <v>0</v>
      </c>
      <c r="BF41" s="3">
        <f>'d)Pers.Técnico'!BD34</f>
        <v>0</v>
      </c>
      <c r="BG41" s="3">
        <f>'d)Pers.Técnico'!BE34</f>
        <v>0</v>
      </c>
      <c r="BH41" s="3">
        <f>'d)Pers.Técnico'!BF34</f>
        <v>0</v>
      </c>
      <c r="BI41" s="3">
        <f>'d)Pers.Técnico'!BG34</f>
        <v>0</v>
      </c>
      <c r="BJ41" s="3">
        <f>'d)Pers.Técnico'!BH34</f>
        <v>0</v>
      </c>
      <c r="BK41" s="3">
        <f>'d)Pers.Técnico'!BI34</f>
        <v>0</v>
      </c>
      <c r="BL41" s="3">
        <f>'d)Pers.Técnico'!BJ34</f>
        <v>0</v>
      </c>
      <c r="BM41" s="3">
        <f>'d)Pers.Técnico'!BK34</f>
        <v>0</v>
      </c>
      <c r="BN41" s="14">
        <f>'d)Pers.Técnico'!BL34</f>
        <v>0</v>
      </c>
    </row>
    <row r="42" spans="1:66">
      <c r="A42" s="67"/>
      <c r="B42" s="46" t="str">
        <f>+'d)Pers.Técnico'!B34</f>
        <v/>
      </c>
      <c r="C42" s="127" t="str">
        <f>'d)Pers.Técnico'!C34</f>
        <v/>
      </c>
      <c r="D42" s="52">
        <f>SUM(G41:BN41)</f>
        <v>0</v>
      </c>
      <c r="E42" s="7">
        <f>IF('a)Plantilla'!C14&gt;0,'a)Plantilla'!D14/30,0)</f>
        <v>0</v>
      </c>
      <c r="F42" s="7">
        <f>SUM(G42:BN42)</f>
        <v>0</v>
      </c>
      <c r="G42" s="2">
        <f>IF(TipoProgramaPersonalTecnico=1,$E42*'a)Plantilla'!$C14*Programa!D$13,IF(TipoProgramaPersonalTecnico=2,$E42*G41,$E42/Hjor*G41))</f>
        <v>0</v>
      </c>
      <c r="H42" s="2">
        <f>IF(TipoProgramaPersonalTecnico=1,$E42*'a)Plantilla'!$C14*Programa!D$14,IF(TipoProgramaPersonalTecnico=2,$E42*H41,$E42/Hjor*H41))</f>
        <v>0</v>
      </c>
      <c r="I42" s="2">
        <f>IF(TipoProgramaPersonalTecnico=1,$E42*'a)Plantilla'!$C14*Programa!D$15,IF(TipoProgramaPersonalTecnico=2,$E42*I41,$E42/Hjor*I41))</f>
        <v>0</v>
      </c>
      <c r="J42" s="2">
        <f>IF(TipoProgramaPersonalTecnico=1,$E42*'a)Plantilla'!$C14*Programa!D$16,IF(TipoProgramaPersonalTecnico=2,$E42*J41,$E42/Hjor*J41))</f>
        <v>0</v>
      </c>
      <c r="K42" s="2">
        <f>IF(TipoProgramaPersonalTecnico=1,$E42*'a)Plantilla'!$C14*Programa!D$17,IF(TipoProgramaPersonalTecnico=2,$E42*K41,$E42/Hjor*K41))</f>
        <v>0</v>
      </c>
      <c r="L42" s="2">
        <f>IF(TipoProgramaPersonalTecnico=1,$E42*'a)Plantilla'!$C14*Programa!D$18,IF(TipoProgramaPersonalTecnico=2,$E42*L41,$E42/Hjor*L41))</f>
        <v>0</v>
      </c>
      <c r="M42" s="2">
        <f>IF(TipoProgramaPersonalTecnico=1,$E42*'a)Plantilla'!$C14*Programa!D$19,IF(TipoProgramaPersonalTecnico=2,$E42*M41,$E42/Hjor*M41))</f>
        <v>0</v>
      </c>
      <c r="N42" s="2">
        <f>IF(TipoProgramaPersonalTecnico=1,$E42*'a)Plantilla'!$C14*Programa!D$20,IF(TipoProgramaPersonalTecnico=2,$E42*N41,$E42/Hjor*N41))</f>
        <v>0</v>
      </c>
      <c r="O42" s="2">
        <f>IF(TipoProgramaPersonalTecnico=1,$E42*'a)Plantilla'!$C14*Programa!D$21,IF(TipoProgramaPersonalTecnico=2,$E42*O41,$E42/Hjor*O41))</f>
        <v>0</v>
      </c>
      <c r="P42" s="2">
        <f>IF(TipoProgramaPersonalTecnico=1,$E42*'a)Plantilla'!$C14*Programa!D$22,IF(TipoProgramaPersonalTecnico=2,$E42*P41,$E42/Hjor*P41))</f>
        <v>0</v>
      </c>
      <c r="Q42" s="2">
        <f>IF(TipoProgramaPersonalTecnico=1,$E42*'a)Plantilla'!$C14*Programa!D$23,IF(TipoProgramaPersonalTecnico=2,$E42*Q41,$E42/Hjor*Q41))</f>
        <v>0</v>
      </c>
      <c r="R42" s="12">
        <f>IF(TipoProgramaPersonalTecnico=1,$E42*'a)Plantilla'!$C14*Programa!D$24,IF(TipoProgramaPersonalTecnico=2,$E42*R41,$E42/Hjor*R41))</f>
        <v>0</v>
      </c>
      <c r="S42" s="7">
        <f>IF(TipoProgramaPersonalTecnico=1,$E42*'a)Plantilla'!$C14*Programa!D$25,IF(TipoProgramaPersonalTecnico=2,$E42*S41,$E42/Hjor*S41))</f>
        <v>0</v>
      </c>
      <c r="T42" s="2">
        <f>IF(TipoProgramaPersonalTecnico=1,$E42*'a)Plantilla'!$C14*Programa!D$26,IF(TipoProgramaPersonalTecnico=2,$E42*T41,$E42/Hjor*T41))</f>
        <v>0</v>
      </c>
      <c r="U42" s="2">
        <f>IF(TipoProgramaPersonalTecnico=1,$E42*'a)Plantilla'!$C14*Programa!D$27,IF(TipoProgramaPersonalTecnico=2,$E42*U41,$E42/Hjor*U41))</f>
        <v>0</v>
      </c>
      <c r="V42" s="2">
        <f>IF(TipoProgramaPersonalTecnico=1,$E42*'a)Plantilla'!$C14*Programa!D$28,IF(TipoProgramaPersonalTecnico=2,$E42*V41,$E42/Hjor*V41))</f>
        <v>0</v>
      </c>
      <c r="W42" s="2">
        <f>IF(TipoProgramaPersonalTecnico=1,$E42*'a)Plantilla'!$C14*Programa!D$29,IF(TipoProgramaPersonalTecnico=2,$E42*W41,$E42/Hjor*W41))</f>
        <v>0</v>
      </c>
      <c r="X42" s="2">
        <f>IF(TipoProgramaPersonalTecnico=1,$E42*'a)Plantilla'!$C14*Programa!D$30,IF(TipoProgramaPersonalTecnico=2,$E42*X41,$E42/Hjor*X41))</f>
        <v>0</v>
      </c>
      <c r="Y42" s="2">
        <f>IF(TipoProgramaPersonalTecnico=1,$E42*'a)Plantilla'!$C14*Programa!D$31,IF(TipoProgramaPersonalTecnico=2,$E42*Y41,$E42/Hjor*Y41))</f>
        <v>0</v>
      </c>
      <c r="Z42" s="2">
        <f>IF(TipoProgramaPersonalTecnico=1,$E42*'a)Plantilla'!$C14*Programa!D$32,IF(TipoProgramaPersonalTecnico=2,$E42*Z41,$E42/Hjor*Z41))</f>
        <v>0</v>
      </c>
      <c r="AA42" s="2">
        <f>IF(TipoProgramaPersonalTecnico=1,$E42*'a)Plantilla'!$C14*Programa!D$33,IF(TipoProgramaPersonalTecnico=2,$E42*AA41,$E42/Hjor*AA41))</f>
        <v>0</v>
      </c>
      <c r="AB42" s="2">
        <f>IF(TipoProgramaPersonalTecnico=1,$E42*'a)Plantilla'!$C14*Programa!D$34,IF(TipoProgramaPersonalTecnico=2,$E42*AB41,$E42/Hjor*AB41))</f>
        <v>0</v>
      </c>
      <c r="AC42" s="2">
        <f>IF(TipoProgramaPersonalTecnico=1,$E42*'a)Plantilla'!$C14*Programa!D$35,IF(TipoProgramaPersonalTecnico=2,$E42*AC41,$E42/Hjor*AC41))</f>
        <v>0</v>
      </c>
      <c r="AD42" s="12">
        <f>IF(TipoProgramaPersonalTecnico=1,$E42*'a)Plantilla'!$C14*Programa!D$36,IF(TipoProgramaPersonalTecnico=2,$E42*AD41,$E42/Hjor*AD41))</f>
        <v>0</v>
      </c>
      <c r="AE42" s="7">
        <f>IF(TipoProgramaPersonalTecnico=1,$E42*'a)Plantilla'!$C14*Programa!D$37,IF(TipoProgramaPersonalTecnico=2,$E42*AE41,$E42/Hjor*AE41))</f>
        <v>0</v>
      </c>
      <c r="AF42" s="2">
        <f>IF(TipoProgramaPersonalTecnico=1,$E42*'a)Plantilla'!$C14*Programa!D$38,IF(TipoProgramaPersonalTecnico=2,$E42*AF41,$E42/Hjor*AF41))</f>
        <v>0</v>
      </c>
      <c r="AG42" s="2">
        <f>IF(TipoProgramaPersonalTecnico=1,$E42*'a)Plantilla'!$C14*Programa!D$39,IF(TipoProgramaPersonalTecnico=2,$E42*AG41,$E42/Hjor*AG41))</f>
        <v>0</v>
      </c>
      <c r="AH42" s="2">
        <f>IF(TipoProgramaPersonalTecnico=1,$E42*'a)Plantilla'!$C14*Programa!D$40,IF(TipoProgramaPersonalTecnico=2,$E42*AH41,$E42/Hjor*AH41))</f>
        <v>0</v>
      </c>
      <c r="AI42" s="2">
        <f>IF(TipoProgramaPersonalTecnico=1,$E42*'a)Plantilla'!$C14*Programa!D$41,IF(TipoProgramaPersonalTecnico=2,$E42*AI41,$E42/Hjor*AI41))</f>
        <v>0</v>
      </c>
      <c r="AJ42" s="2">
        <f>IF(TipoProgramaPersonalTecnico=1,$E42*'a)Plantilla'!$C14*Programa!D$42,IF(TipoProgramaPersonalTecnico=2,$E42*AJ41,$E42/Hjor*AJ41))</f>
        <v>0</v>
      </c>
      <c r="AK42" s="2">
        <f>IF(TipoProgramaPersonalTecnico=1,$E42*'a)Plantilla'!$C14*Programa!D$43,IF(TipoProgramaPersonalTecnico=2,$E42*AK41,$E42/Hjor*AK41))</f>
        <v>0</v>
      </c>
      <c r="AL42" s="2">
        <f>IF(TipoProgramaPersonalTecnico=1,$E42*'a)Plantilla'!$C14*Programa!D$44,IF(TipoProgramaPersonalTecnico=2,$E42*AL41,$E42/Hjor*AL41))</f>
        <v>0</v>
      </c>
      <c r="AM42" s="2">
        <f>IF(TipoProgramaPersonalTecnico=1,$E42*'a)Plantilla'!$C14*Programa!D$45,IF(TipoProgramaPersonalTecnico=2,$E42*AM41,$E42/Hjor*AM41))</f>
        <v>0</v>
      </c>
      <c r="AN42" s="2">
        <f>IF(TipoProgramaPersonalTecnico=1,$E42*'a)Plantilla'!$C14*Programa!D$46,IF(TipoProgramaPersonalTecnico=2,$E42*AN41,$E42/Hjor*AN41))</f>
        <v>0</v>
      </c>
      <c r="AO42" s="2">
        <f>IF(TipoProgramaPersonalTecnico=1,$E42*'a)Plantilla'!$C14*Programa!D$47,IF(TipoProgramaPersonalTecnico=2,$E42*AO41,$E42/Hjor*AO41))</f>
        <v>0</v>
      </c>
      <c r="AP42" s="12">
        <f>IF(TipoProgramaPersonalTecnico=1,$E42*'a)Plantilla'!$C14*Programa!D$48,IF(TipoProgramaPersonalTecnico=2,$E42*AP41,$E42/Hjor*AP41))</f>
        <v>0</v>
      </c>
      <c r="AQ42" s="7">
        <f>IF(TipoProgramaPersonalTecnico=1,$E42*'a)Plantilla'!$C14*Programa!D$49,IF(TipoProgramaPersonalTecnico=2,$E42*AQ41,$E42/Hjor*AQ41))</f>
        <v>0</v>
      </c>
      <c r="AR42" s="2">
        <f>IF(TipoProgramaPersonalTecnico=1,$E42*'a)Plantilla'!$C14*Programa!D$50,IF(TipoProgramaPersonalTecnico=2,$E42*AR41,$E42/Hjor*AR41))</f>
        <v>0</v>
      </c>
      <c r="AS42" s="2">
        <f>IF(TipoProgramaPersonalTecnico=1,$E42*'a)Plantilla'!$C14*Programa!D$51,IF(TipoProgramaPersonalTecnico=2,$E42*AS41,$E42/Hjor*AS41))</f>
        <v>0</v>
      </c>
      <c r="AT42" s="2">
        <f>IF(TipoProgramaPersonalTecnico=1,$E42*'a)Plantilla'!$C14*Programa!D$52,IF(TipoProgramaPersonalTecnico=2,$E42*AT41,$E42/Hjor*AT41))</f>
        <v>0</v>
      </c>
      <c r="AU42" s="2">
        <f>IF(TipoProgramaPersonalTecnico=1,$E42*'a)Plantilla'!$C14*Programa!D$53,IF(TipoProgramaPersonalTecnico=2,$E42*AU41,$E42/Hjor*AU41))</f>
        <v>0</v>
      </c>
      <c r="AV42" s="2">
        <f>IF(TipoProgramaPersonalTecnico=1,$E42*'a)Plantilla'!$C14*Programa!D$54,IF(TipoProgramaPersonalTecnico=2,$E42*AV41,$E42/Hjor*AV41))</f>
        <v>0</v>
      </c>
      <c r="AW42" s="2">
        <f>IF(TipoProgramaPersonalTecnico=1,$E42*'a)Plantilla'!$C14*Programa!D$55,IF(TipoProgramaPersonalTecnico=2,$E42*AW41,$E42/Hjor*AW41))</f>
        <v>0</v>
      </c>
      <c r="AX42" s="2">
        <f>IF(TipoProgramaPersonalTecnico=1,$E42*'a)Plantilla'!$C14*Programa!D$56,IF(TipoProgramaPersonalTecnico=2,$E42*AX41,$E42/Hjor*AX41))</f>
        <v>0</v>
      </c>
      <c r="AY42" s="2">
        <f>IF(TipoProgramaPersonalTecnico=1,$E42*'a)Plantilla'!$C14*Programa!D$57,IF(TipoProgramaPersonalTecnico=2,$E42*AY41,$E42/Hjor*AY41))</f>
        <v>0</v>
      </c>
      <c r="AZ42" s="2">
        <f>IF(TipoProgramaPersonalTecnico=1,$E42*'a)Plantilla'!$C14*Programa!D$58,IF(TipoProgramaPersonalTecnico=2,$E42*AZ41,$E42/Hjor*AZ41))</f>
        <v>0</v>
      </c>
      <c r="BA42" s="55">
        <f>IF(TipoProgramaPersonalTecnico=1,$E42*'a)Plantilla'!$C14*Programa!D$59,IF(TipoProgramaPersonalTecnico=2,$E42*BA41,$E42/Hjor*BA41))</f>
        <v>0</v>
      </c>
      <c r="BB42" s="56">
        <f>IF(TipoProgramaPersonalTecnico=1,$E42*'a)Plantilla'!$C14*Programa!D$60,IF(TipoProgramaPersonalTecnico=2,$E42*BB41,$E42/Hjor*BB41))</f>
        <v>0</v>
      </c>
      <c r="BC42" s="53">
        <f>IF(TipoProgramaPersonalTecnico=1,$E42*'a)Plantilla'!$C14*Programa!D$61,IF(TipoProgramaPersonalTecnico=2,$E42*BC41,$E42/Hjor*BC41))</f>
        <v>0</v>
      </c>
      <c r="BD42" s="2">
        <f>IF(TipoProgramaPersonalTecnico=1,$E42*'a)Plantilla'!$C14*Programa!D$62,IF(TipoProgramaPersonalTecnico=2,$E42*BD41,$E42/Hjor*BD41))</f>
        <v>0</v>
      </c>
      <c r="BE42" s="2">
        <f>IF(TipoProgramaPersonalTecnico=1,$E42*'a)Plantilla'!$C14*Programa!D$63,IF(TipoProgramaPersonalTecnico=2,$E42*BE41,$E42/Hjor*BE41))</f>
        <v>0</v>
      </c>
      <c r="BF42" s="2">
        <f>IF(TipoProgramaPersonalTecnico=1,$E42*'a)Plantilla'!$C14*Programa!D$64,IF(TipoProgramaPersonalTecnico=2,$E42*BF41,$E42/Hjor*BF41))</f>
        <v>0</v>
      </c>
      <c r="BG42" s="2">
        <f>IF(TipoProgramaPersonalTecnico=1,$E42*'a)Plantilla'!$C14*Programa!D$65,IF(TipoProgramaPersonalTecnico=2,$E42*BG41,$E42/Hjor*BG41))</f>
        <v>0</v>
      </c>
      <c r="BH42" s="2">
        <f>IF(TipoProgramaPersonalTecnico=1,$E42*'a)Plantilla'!$C14*Programa!D$66,IF(TipoProgramaPersonalTecnico=2,$E42*BH41,$E42/Hjor*BH41))</f>
        <v>0</v>
      </c>
      <c r="BI42" s="2">
        <f>IF(TipoProgramaPersonalTecnico=1,$E42*'a)Plantilla'!$C14*Programa!D$67,IF(TipoProgramaPersonalTecnico=2,$E42*BI41,$E42/Hjor*BI41))</f>
        <v>0</v>
      </c>
      <c r="BJ42" s="2">
        <f>IF(TipoProgramaPersonalTecnico=1,$E42*'a)Plantilla'!$C14*Programa!D$68,IF(TipoProgramaPersonalTecnico=2,$E42*BJ41,$E42/Hjor*BJ41))</f>
        <v>0</v>
      </c>
      <c r="BK42" s="2">
        <f>IF(TipoProgramaPersonalTecnico=1,$E42*'a)Plantilla'!$C14*Programa!D$69,IF(TipoProgramaPersonalTecnico=2,$E42*BK41,$E42/Hjor*BK41))</f>
        <v>0</v>
      </c>
      <c r="BL42" s="2">
        <f>IF(TipoProgramaPersonalTecnico=1,$E42*'a)Plantilla'!$C14*Programa!D$70,IF(TipoProgramaPersonalTecnico=2,$E42*BL41,$E42/Hjor*BL41))</f>
        <v>0</v>
      </c>
      <c r="BM42" s="2">
        <f>IF(TipoProgramaPersonalTecnico=1,$E42*'a)Plantilla'!$C14*Programa!D$71,IF(TipoProgramaPersonalTecnico=2,$E42*BM41,$E42/Hjor*BM41))</f>
        <v>0</v>
      </c>
      <c r="BN42" s="12">
        <f>IF(TipoProgramaPersonalTecnico=1,$E42*'a)Plantilla'!$C14*Programa!D$72,IF(TipoProgramaPersonalTecnico=2,$E42*BN41,$E42/Hjor*BN41))</f>
        <v>0</v>
      </c>
    </row>
    <row r="43" spans="1:66" ht="7.5" customHeight="1">
      <c r="A43" s="67"/>
      <c r="B43" s="19"/>
      <c r="C43" s="127"/>
      <c r="D43" s="54"/>
      <c r="E43" s="19"/>
      <c r="F43" s="19"/>
      <c r="G43" s="1" t="s">
        <v>168</v>
      </c>
      <c r="H43" s="1" t="s">
        <v>168</v>
      </c>
      <c r="I43" s="1" t="s">
        <v>168</v>
      </c>
      <c r="J43" s="1" t="s">
        <v>168</v>
      </c>
      <c r="K43" s="1" t="s">
        <v>168</v>
      </c>
      <c r="L43" s="1" t="s">
        <v>168</v>
      </c>
      <c r="M43" s="1" t="s">
        <v>168</v>
      </c>
      <c r="N43" s="1" t="s">
        <v>168</v>
      </c>
      <c r="O43" s="1" t="s">
        <v>168</v>
      </c>
      <c r="P43" s="1" t="s">
        <v>168</v>
      </c>
      <c r="Q43" s="1" t="s">
        <v>168</v>
      </c>
      <c r="R43" s="8" t="s">
        <v>168</v>
      </c>
      <c r="S43" s="13" t="s">
        <v>168</v>
      </c>
      <c r="T43" s="1" t="s">
        <v>168</v>
      </c>
      <c r="U43" s="1" t="s">
        <v>168</v>
      </c>
      <c r="V43" s="1" t="s">
        <v>168</v>
      </c>
      <c r="W43" s="1" t="s">
        <v>168</v>
      </c>
      <c r="X43" s="1" t="s">
        <v>168</v>
      </c>
      <c r="Y43" s="1" t="s">
        <v>168</v>
      </c>
      <c r="Z43" s="1" t="s">
        <v>168</v>
      </c>
      <c r="AA43" s="1" t="s">
        <v>168</v>
      </c>
      <c r="AB43" s="1" t="s">
        <v>168</v>
      </c>
      <c r="AC43" s="1" t="s">
        <v>168</v>
      </c>
      <c r="AD43" s="8" t="s">
        <v>168</v>
      </c>
      <c r="AE43" s="13" t="s">
        <v>168</v>
      </c>
      <c r="AF43" s="1" t="s">
        <v>168</v>
      </c>
      <c r="AG43" s="1" t="s">
        <v>168</v>
      </c>
      <c r="AH43" s="1" t="s">
        <v>168</v>
      </c>
      <c r="AI43" s="1" t="s">
        <v>168</v>
      </c>
      <c r="AJ43" s="1" t="s">
        <v>168</v>
      </c>
      <c r="AK43" s="1" t="s">
        <v>168</v>
      </c>
      <c r="AL43" s="1" t="s">
        <v>168</v>
      </c>
      <c r="AM43" s="1" t="s">
        <v>168</v>
      </c>
      <c r="AN43" s="1" t="s">
        <v>168</v>
      </c>
      <c r="AO43" s="1" t="s">
        <v>168</v>
      </c>
      <c r="AP43" s="8" t="s">
        <v>168</v>
      </c>
      <c r="AQ43" s="13" t="s">
        <v>168</v>
      </c>
      <c r="AR43" s="1" t="s">
        <v>168</v>
      </c>
      <c r="AS43" s="1" t="s">
        <v>168</v>
      </c>
      <c r="AT43" s="1" t="s">
        <v>168</v>
      </c>
      <c r="AU43" s="1" t="s">
        <v>168</v>
      </c>
      <c r="AV43" s="1" t="s">
        <v>168</v>
      </c>
      <c r="AW43" s="1" t="s">
        <v>168</v>
      </c>
      <c r="AX43" s="1" t="s">
        <v>168</v>
      </c>
      <c r="AY43" s="1" t="s">
        <v>168</v>
      </c>
      <c r="AZ43" s="1" t="s">
        <v>168</v>
      </c>
      <c r="BA43" s="1" t="s">
        <v>168</v>
      </c>
      <c r="BB43" s="8" t="s">
        <v>168</v>
      </c>
      <c r="BC43" s="13" t="s">
        <v>168</v>
      </c>
      <c r="BD43" s="1" t="s">
        <v>168</v>
      </c>
      <c r="BE43" s="1" t="s">
        <v>168</v>
      </c>
      <c r="BF43" s="1" t="s">
        <v>168</v>
      </c>
      <c r="BG43" s="1" t="s">
        <v>168</v>
      </c>
      <c r="BH43" s="1" t="s">
        <v>168</v>
      </c>
      <c r="BI43" s="1" t="s">
        <v>168</v>
      </c>
      <c r="BJ43" s="1" t="s">
        <v>168</v>
      </c>
      <c r="BK43" s="1" t="s">
        <v>168</v>
      </c>
      <c r="BL43" s="1" t="s">
        <v>168</v>
      </c>
      <c r="BM43" s="1" t="s">
        <v>168</v>
      </c>
      <c r="BN43" s="8" t="s">
        <v>168</v>
      </c>
    </row>
    <row r="44" spans="1:66">
      <c r="A44" s="67"/>
      <c r="B44" s="46"/>
      <c r="C44" s="127"/>
      <c r="D44" s="52"/>
      <c r="E44" s="59"/>
      <c r="F44" s="59"/>
      <c r="G44" s="3">
        <f>'d)Pers.Técnico'!E36</f>
        <v>0</v>
      </c>
      <c r="H44" s="3">
        <f>'d)Pers.Técnico'!F36</f>
        <v>0</v>
      </c>
      <c r="I44" s="3">
        <f>'d)Pers.Técnico'!G36</f>
        <v>0</v>
      </c>
      <c r="J44" s="3">
        <f>'d)Pers.Técnico'!H36</f>
        <v>0</v>
      </c>
      <c r="K44" s="3">
        <f>'d)Pers.Técnico'!I36</f>
        <v>0</v>
      </c>
      <c r="L44" s="3">
        <f>'d)Pers.Técnico'!J36</f>
        <v>0</v>
      </c>
      <c r="M44" s="3">
        <f>'d)Pers.Técnico'!K36</f>
        <v>0</v>
      </c>
      <c r="N44" s="3">
        <f>'d)Pers.Técnico'!L36</f>
        <v>0</v>
      </c>
      <c r="O44" s="3">
        <f>'d)Pers.Técnico'!M36</f>
        <v>0</v>
      </c>
      <c r="P44" s="3">
        <f>'d)Pers.Técnico'!N36</f>
        <v>0</v>
      </c>
      <c r="Q44" s="3">
        <f>'d)Pers.Técnico'!O36</f>
        <v>0</v>
      </c>
      <c r="R44" s="14">
        <f>'d)Pers.Técnico'!P36</f>
        <v>0</v>
      </c>
      <c r="S44" s="20">
        <f>'d)Pers.Técnico'!Q36</f>
        <v>0</v>
      </c>
      <c r="T44" s="3">
        <f>'d)Pers.Técnico'!R36</f>
        <v>0</v>
      </c>
      <c r="U44" s="3">
        <f>'d)Pers.Técnico'!S36</f>
        <v>0</v>
      </c>
      <c r="V44" s="3">
        <f>'d)Pers.Técnico'!T36</f>
        <v>0</v>
      </c>
      <c r="W44" s="3">
        <f>'d)Pers.Técnico'!U36</f>
        <v>0</v>
      </c>
      <c r="X44" s="3">
        <f>'d)Pers.Técnico'!V36</f>
        <v>0</v>
      </c>
      <c r="Y44" s="3">
        <f>'d)Pers.Técnico'!W36</f>
        <v>0</v>
      </c>
      <c r="Z44" s="3">
        <f>'d)Pers.Técnico'!X36</f>
        <v>0</v>
      </c>
      <c r="AA44" s="3">
        <f>'d)Pers.Técnico'!Y36</f>
        <v>0</v>
      </c>
      <c r="AB44" s="3">
        <f>'d)Pers.Técnico'!Z36</f>
        <v>0</v>
      </c>
      <c r="AC44" s="3">
        <f>'d)Pers.Técnico'!AA36</f>
        <v>0</v>
      </c>
      <c r="AD44" s="14">
        <f>'d)Pers.Técnico'!AB36</f>
        <v>0</v>
      </c>
      <c r="AE44" s="20">
        <f>'d)Pers.Técnico'!AC36</f>
        <v>0</v>
      </c>
      <c r="AF44" s="3">
        <f>'d)Pers.Técnico'!AD36</f>
        <v>0</v>
      </c>
      <c r="AG44" s="3">
        <f>'d)Pers.Técnico'!AE36</f>
        <v>0</v>
      </c>
      <c r="AH44" s="3">
        <f>'d)Pers.Técnico'!AF36</f>
        <v>0</v>
      </c>
      <c r="AI44" s="3">
        <f>'d)Pers.Técnico'!AG36</f>
        <v>0</v>
      </c>
      <c r="AJ44" s="3">
        <f>'d)Pers.Técnico'!AH36</f>
        <v>0</v>
      </c>
      <c r="AK44" s="3">
        <f>'d)Pers.Técnico'!AI36</f>
        <v>0</v>
      </c>
      <c r="AL44" s="3">
        <f>'d)Pers.Técnico'!AJ36</f>
        <v>0</v>
      </c>
      <c r="AM44" s="3">
        <f>'d)Pers.Técnico'!AK36</f>
        <v>0</v>
      </c>
      <c r="AN44" s="3">
        <f>'d)Pers.Técnico'!AL36</f>
        <v>0</v>
      </c>
      <c r="AO44" s="3">
        <f>'d)Pers.Técnico'!AM36</f>
        <v>0</v>
      </c>
      <c r="AP44" s="14">
        <f>'d)Pers.Técnico'!AN36</f>
        <v>0</v>
      </c>
      <c r="AQ44" s="20">
        <f>'d)Pers.Técnico'!AO36</f>
        <v>0</v>
      </c>
      <c r="AR44" s="3">
        <f>'d)Pers.Técnico'!AP36</f>
        <v>0</v>
      </c>
      <c r="AS44" s="3">
        <f>'d)Pers.Técnico'!AQ36</f>
        <v>0</v>
      </c>
      <c r="AT44" s="3">
        <f>'d)Pers.Técnico'!AR36</f>
        <v>0</v>
      </c>
      <c r="AU44" s="3">
        <f>'d)Pers.Técnico'!AS36</f>
        <v>0</v>
      </c>
      <c r="AV44" s="3">
        <f>'d)Pers.Técnico'!AT36</f>
        <v>0</v>
      </c>
      <c r="AW44" s="3">
        <f>'d)Pers.Técnico'!AU36</f>
        <v>0</v>
      </c>
      <c r="AX44" s="3">
        <f>'d)Pers.Técnico'!AV36</f>
        <v>0</v>
      </c>
      <c r="AY44" s="3">
        <f>'d)Pers.Técnico'!AW36</f>
        <v>0</v>
      </c>
      <c r="AZ44" s="3">
        <f>'d)Pers.Técnico'!AX36</f>
        <v>0</v>
      </c>
      <c r="BA44" s="1">
        <f>'d)Pers.Técnico'!AY36</f>
        <v>0</v>
      </c>
      <c r="BB44" s="60">
        <f>'d)Pers.Técnico'!AZ36</f>
        <v>0</v>
      </c>
      <c r="BC44" s="61">
        <f>'d)Pers.Técnico'!BA36</f>
        <v>0</v>
      </c>
      <c r="BD44" s="3">
        <f>'d)Pers.Técnico'!BB36</f>
        <v>0</v>
      </c>
      <c r="BE44" s="3">
        <f>'d)Pers.Técnico'!BC36</f>
        <v>0</v>
      </c>
      <c r="BF44" s="3">
        <f>'d)Pers.Técnico'!BD36</f>
        <v>0</v>
      </c>
      <c r="BG44" s="3">
        <f>'d)Pers.Técnico'!BE36</f>
        <v>0</v>
      </c>
      <c r="BH44" s="3">
        <f>'d)Pers.Técnico'!BF36</f>
        <v>0</v>
      </c>
      <c r="BI44" s="3">
        <f>'d)Pers.Técnico'!BG36</f>
        <v>0</v>
      </c>
      <c r="BJ44" s="3">
        <f>'d)Pers.Técnico'!BH36</f>
        <v>0</v>
      </c>
      <c r="BK44" s="3">
        <f>'d)Pers.Técnico'!BI36</f>
        <v>0</v>
      </c>
      <c r="BL44" s="3">
        <f>'d)Pers.Técnico'!BJ36</f>
        <v>0</v>
      </c>
      <c r="BM44" s="3">
        <f>'d)Pers.Técnico'!BK36</f>
        <v>0</v>
      </c>
      <c r="BN44" s="14">
        <f>'d)Pers.Técnico'!BL36</f>
        <v>0</v>
      </c>
    </row>
    <row r="45" spans="1:66">
      <c r="A45" s="67"/>
      <c r="B45" s="46" t="str">
        <f>+'d)Pers.Técnico'!B36</f>
        <v/>
      </c>
      <c r="C45" s="127" t="str">
        <f>'d)Pers.Técnico'!C36</f>
        <v/>
      </c>
      <c r="D45" s="52">
        <f>SUM(G44:BN44)</f>
        <v>0</v>
      </c>
      <c r="E45" s="7">
        <f>IF('a)Plantilla'!C15&gt;0,'a)Plantilla'!D15/30,0)</f>
        <v>0</v>
      </c>
      <c r="F45" s="7">
        <f>SUM(G45:BN45)</f>
        <v>0</v>
      </c>
      <c r="G45" s="2">
        <f>IF(TipoProgramaPersonalTecnico=1,$E45*'a)Plantilla'!$C15*Programa!D$13,IF(TipoProgramaPersonalTecnico=2,$E45*G44,$E45/Hjor*G44))</f>
        <v>0</v>
      </c>
      <c r="H45" s="2">
        <f>IF(TipoProgramaPersonalTecnico=1,$E45*'a)Plantilla'!$C15*Programa!D$14,IF(TipoProgramaPersonalTecnico=2,$E45*H44,$E45/Hjor*H44))</f>
        <v>0</v>
      </c>
      <c r="I45" s="2">
        <f>IF(TipoProgramaPersonalTecnico=1,$E45*'a)Plantilla'!$C15*Programa!D$15,IF(TipoProgramaPersonalTecnico=2,$E45*I44,$E45/Hjor*I44))</f>
        <v>0</v>
      </c>
      <c r="J45" s="2">
        <f>IF(TipoProgramaPersonalTecnico=1,$E45*'a)Plantilla'!$C15*Programa!D$16,IF(TipoProgramaPersonalTecnico=2,$E45*J44,$E45/Hjor*J44))</f>
        <v>0</v>
      </c>
      <c r="K45" s="2">
        <f>IF(TipoProgramaPersonalTecnico=1,$E45*'a)Plantilla'!$C15*Programa!D$17,IF(TipoProgramaPersonalTecnico=2,$E45*K44,$E45/Hjor*K44))</f>
        <v>0</v>
      </c>
      <c r="L45" s="2">
        <f>IF(TipoProgramaPersonalTecnico=1,$E45*'a)Plantilla'!$C15*Programa!D$18,IF(TipoProgramaPersonalTecnico=2,$E45*L44,$E45/Hjor*L44))</f>
        <v>0</v>
      </c>
      <c r="M45" s="2">
        <f>IF(TipoProgramaPersonalTecnico=1,$E45*'a)Plantilla'!$C15*Programa!D$19,IF(TipoProgramaPersonalTecnico=2,$E45*M44,$E45/Hjor*M44))</f>
        <v>0</v>
      </c>
      <c r="N45" s="2">
        <f>IF(TipoProgramaPersonalTecnico=1,$E45*'a)Plantilla'!$C15*Programa!D$20,IF(TipoProgramaPersonalTecnico=2,$E45*N44,$E45/Hjor*N44))</f>
        <v>0</v>
      </c>
      <c r="O45" s="2">
        <f>IF(TipoProgramaPersonalTecnico=1,$E45*'a)Plantilla'!$C15*Programa!D$21,IF(TipoProgramaPersonalTecnico=2,$E45*O44,$E45/Hjor*O44))</f>
        <v>0</v>
      </c>
      <c r="P45" s="2">
        <f>IF(TipoProgramaPersonalTecnico=1,$E45*'a)Plantilla'!$C15*Programa!D$22,IF(TipoProgramaPersonalTecnico=2,$E45*P44,$E45/Hjor*P44))</f>
        <v>0</v>
      </c>
      <c r="Q45" s="2">
        <f>IF(TipoProgramaPersonalTecnico=1,$E45*'a)Plantilla'!$C15*Programa!D$23,IF(TipoProgramaPersonalTecnico=2,$E45*Q44,$E45/Hjor*Q44))</f>
        <v>0</v>
      </c>
      <c r="R45" s="12">
        <f>IF(TipoProgramaPersonalTecnico=1,$E45*'a)Plantilla'!$C15*Programa!D$24,IF(TipoProgramaPersonalTecnico=2,$E45*R44,$E45/Hjor*R44))</f>
        <v>0</v>
      </c>
      <c r="S45" s="7">
        <f>IF(TipoProgramaPersonalTecnico=1,$E45*'a)Plantilla'!$C15*Programa!D$25,IF(TipoProgramaPersonalTecnico=2,$E45*S44,$E45/Hjor*S44))</f>
        <v>0</v>
      </c>
      <c r="T45" s="2">
        <f>IF(TipoProgramaPersonalTecnico=1,$E45*'a)Plantilla'!$C15*Programa!D$26,IF(TipoProgramaPersonalTecnico=2,$E45*T44,$E45/Hjor*T44))</f>
        <v>0</v>
      </c>
      <c r="U45" s="2">
        <f>IF(TipoProgramaPersonalTecnico=1,$E45*'a)Plantilla'!$C15*Programa!D$27,IF(TipoProgramaPersonalTecnico=2,$E45*U44,$E45/Hjor*U44))</f>
        <v>0</v>
      </c>
      <c r="V45" s="2">
        <f>IF(TipoProgramaPersonalTecnico=1,$E45*'a)Plantilla'!$C15*Programa!D$28,IF(TipoProgramaPersonalTecnico=2,$E45*V44,$E45/Hjor*V44))</f>
        <v>0</v>
      </c>
      <c r="W45" s="2">
        <f>IF(TipoProgramaPersonalTecnico=1,$E45*'a)Plantilla'!$C15*Programa!D$29,IF(TipoProgramaPersonalTecnico=2,$E45*W44,$E45/Hjor*W44))</f>
        <v>0</v>
      </c>
      <c r="X45" s="2">
        <f>IF(TipoProgramaPersonalTecnico=1,$E45*'a)Plantilla'!$C15*Programa!D$30,IF(TipoProgramaPersonalTecnico=2,$E45*X44,$E45/Hjor*X44))</f>
        <v>0</v>
      </c>
      <c r="Y45" s="2">
        <f>IF(TipoProgramaPersonalTecnico=1,$E45*'a)Plantilla'!$C15*Programa!D$31,IF(TipoProgramaPersonalTecnico=2,$E45*Y44,$E45/Hjor*Y44))</f>
        <v>0</v>
      </c>
      <c r="Z45" s="2">
        <f>IF(TipoProgramaPersonalTecnico=1,$E45*'a)Plantilla'!$C15*Programa!D$32,IF(TipoProgramaPersonalTecnico=2,$E45*Z44,$E45/Hjor*Z44))</f>
        <v>0</v>
      </c>
      <c r="AA45" s="2">
        <f>IF(TipoProgramaPersonalTecnico=1,$E45*'a)Plantilla'!$C15*Programa!D$33,IF(TipoProgramaPersonalTecnico=2,$E45*AA44,$E45/Hjor*AA44))</f>
        <v>0</v>
      </c>
      <c r="AB45" s="2">
        <f>IF(TipoProgramaPersonalTecnico=1,$E45*'a)Plantilla'!$C15*Programa!D$34,IF(TipoProgramaPersonalTecnico=2,$E45*AB44,$E45/Hjor*AB44))</f>
        <v>0</v>
      </c>
      <c r="AC45" s="2">
        <f>IF(TipoProgramaPersonalTecnico=1,$E45*'a)Plantilla'!$C15*Programa!D$35,IF(TipoProgramaPersonalTecnico=2,$E45*AC44,$E45/Hjor*AC44))</f>
        <v>0</v>
      </c>
      <c r="AD45" s="12">
        <f>IF(TipoProgramaPersonalTecnico=1,$E45*'a)Plantilla'!$C15*Programa!D$36,IF(TipoProgramaPersonalTecnico=2,$E45*AD44,$E45/Hjor*AD44))</f>
        <v>0</v>
      </c>
      <c r="AE45" s="7">
        <f>IF(TipoProgramaPersonalTecnico=1,$E45*'a)Plantilla'!$C15*Programa!D$37,IF(TipoProgramaPersonalTecnico=2,$E45*AE44,$E45/Hjor*AE44))</f>
        <v>0</v>
      </c>
      <c r="AF45" s="2">
        <f>IF(TipoProgramaPersonalTecnico=1,$E45*'a)Plantilla'!$C15*Programa!D$38,IF(TipoProgramaPersonalTecnico=2,$E45*AF44,$E45/Hjor*AF44))</f>
        <v>0</v>
      </c>
      <c r="AG45" s="2">
        <f>IF(TipoProgramaPersonalTecnico=1,$E45*'a)Plantilla'!$C15*Programa!D$39,IF(TipoProgramaPersonalTecnico=2,$E45*AG44,$E45/Hjor*AG44))</f>
        <v>0</v>
      </c>
      <c r="AH45" s="2">
        <f>IF(TipoProgramaPersonalTecnico=1,$E45*'a)Plantilla'!$C15*Programa!D$40,IF(TipoProgramaPersonalTecnico=2,$E45*AH44,$E45/Hjor*AH44))</f>
        <v>0</v>
      </c>
      <c r="AI45" s="2">
        <f>IF(TipoProgramaPersonalTecnico=1,$E45*'a)Plantilla'!$C15*Programa!D$41,IF(TipoProgramaPersonalTecnico=2,$E45*AI44,$E45/Hjor*AI44))</f>
        <v>0</v>
      </c>
      <c r="AJ45" s="2">
        <f>IF(TipoProgramaPersonalTecnico=1,$E45*'a)Plantilla'!$C15*Programa!D$42,IF(TipoProgramaPersonalTecnico=2,$E45*AJ44,$E45/Hjor*AJ44))</f>
        <v>0</v>
      </c>
      <c r="AK45" s="2">
        <f>IF(TipoProgramaPersonalTecnico=1,$E45*'a)Plantilla'!$C15*Programa!D$43,IF(TipoProgramaPersonalTecnico=2,$E45*AK44,$E45/Hjor*AK44))</f>
        <v>0</v>
      </c>
      <c r="AL45" s="2">
        <f>IF(TipoProgramaPersonalTecnico=1,$E45*'a)Plantilla'!$C15*Programa!D$44,IF(TipoProgramaPersonalTecnico=2,$E45*AL44,$E45/Hjor*AL44))</f>
        <v>0</v>
      </c>
      <c r="AM45" s="2">
        <f>IF(TipoProgramaPersonalTecnico=1,$E45*'a)Plantilla'!$C15*Programa!D$45,IF(TipoProgramaPersonalTecnico=2,$E45*AM44,$E45/Hjor*AM44))</f>
        <v>0</v>
      </c>
      <c r="AN45" s="2">
        <f>IF(TipoProgramaPersonalTecnico=1,$E45*'a)Plantilla'!$C15*Programa!D$46,IF(TipoProgramaPersonalTecnico=2,$E45*AN44,$E45/Hjor*AN44))</f>
        <v>0</v>
      </c>
      <c r="AO45" s="2">
        <f>IF(TipoProgramaPersonalTecnico=1,$E45*'a)Plantilla'!$C15*Programa!D$47,IF(TipoProgramaPersonalTecnico=2,$E45*AO44,$E45/Hjor*AO44))</f>
        <v>0</v>
      </c>
      <c r="AP45" s="12">
        <f>IF(TipoProgramaPersonalTecnico=1,$E45*'a)Plantilla'!$C15*Programa!D$48,IF(TipoProgramaPersonalTecnico=2,$E45*AP44,$E45/Hjor*AP44))</f>
        <v>0</v>
      </c>
      <c r="AQ45" s="7">
        <f>IF(TipoProgramaPersonalTecnico=1,$E45*'a)Plantilla'!$C15*Programa!D$49,IF(TipoProgramaPersonalTecnico=2,$E45*AQ44,$E45/Hjor*AQ44))</f>
        <v>0</v>
      </c>
      <c r="AR45" s="2">
        <f>IF(TipoProgramaPersonalTecnico=1,$E45*'a)Plantilla'!$C15*Programa!D$50,IF(TipoProgramaPersonalTecnico=2,$E45*AR44,$E45/Hjor*AR44))</f>
        <v>0</v>
      </c>
      <c r="AS45" s="2">
        <f>IF(TipoProgramaPersonalTecnico=1,$E45*'a)Plantilla'!$C15*Programa!D$51,IF(TipoProgramaPersonalTecnico=2,$E45*AS44,$E45/Hjor*AS44))</f>
        <v>0</v>
      </c>
      <c r="AT45" s="2">
        <f>IF(TipoProgramaPersonalTecnico=1,$E45*'a)Plantilla'!$C15*Programa!D$52,IF(TipoProgramaPersonalTecnico=2,$E45*AT44,$E45/Hjor*AT44))</f>
        <v>0</v>
      </c>
      <c r="AU45" s="2">
        <f>IF(TipoProgramaPersonalTecnico=1,$E45*'a)Plantilla'!$C15*Programa!D$53,IF(TipoProgramaPersonalTecnico=2,$E45*AU44,$E45/Hjor*AU44))</f>
        <v>0</v>
      </c>
      <c r="AV45" s="2">
        <f>IF(TipoProgramaPersonalTecnico=1,$E45*'a)Plantilla'!$C15*Programa!D$54,IF(TipoProgramaPersonalTecnico=2,$E45*AV44,$E45/Hjor*AV44))</f>
        <v>0</v>
      </c>
      <c r="AW45" s="2">
        <f>IF(TipoProgramaPersonalTecnico=1,$E45*'a)Plantilla'!$C15*Programa!D$55,IF(TipoProgramaPersonalTecnico=2,$E45*AW44,$E45/Hjor*AW44))</f>
        <v>0</v>
      </c>
      <c r="AX45" s="2">
        <f>IF(TipoProgramaPersonalTecnico=1,$E45*'a)Plantilla'!$C15*Programa!D$56,IF(TipoProgramaPersonalTecnico=2,$E45*AX44,$E45/Hjor*AX44))</f>
        <v>0</v>
      </c>
      <c r="AY45" s="2">
        <f>IF(TipoProgramaPersonalTecnico=1,$E45*'a)Plantilla'!$C15*Programa!D$57,IF(TipoProgramaPersonalTecnico=2,$E45*AY44,$E45/Hjor*AY44))</f>
        <v>0</v>
      </c>
      <c r="AZ45" s="2">
        <f>IF(TipoProgramaPersonalTecnico=1,$E45*'a)Plantilla'!$C15*Programa!D$58,IF(TipoProgramaPersonalTecnico=2,$E45*AZ44,$E45/Hjor*AZ44))</f>
        <v>0</v>
      </c>
      <c r="BA45" s="55">
        <f>IF(TipoProgramaPersonalTecnico=1,$E45*'a)Plantilla'!$C15*Programa!D$59,IF(TipoProgramaPersonalTecnico=2,$E45*BA44,$E45/Hjor*BA44))</f>
        <v>0</v>
      </c>
      <c r="BB45" s="56">
        <f>IF(TipoProgramaPersonalTecnico=1,$E45*'a)Plantilla'!$C15*Programa!D$60,IF(TipoProgramaPersonalTecnico=2,$E45*BB44,$E45/Hjor*BB44))</f>
        <v>0</v>
      </c>
      <c r="BC45" s="53">
        <f>IF(TipoProgramaPersonalTecnico=1,$E45*'a)Plantilla'!$C15*Programa!D$61,IF(TipoProgramaPersonalTecnico=2,$E45*BC44,$E45/Hjor*BC44))</f>
        <v>0</v>
      </c>
      <c r="BD45" s="2">
        <f>IF(TipoProgramaPersonalTecnico=1,$E45*'a)Plantilla'!$C15*Programa!D$62,IF(TipoProgramaPersonalTecnico=2,$E45*BD44,$E45/Hjor*BD44))</f>
        <v>0</v>
      </c>
      <c r="BE45" s="2">
        <f>IF(TipoProgramaPersonalTecnico=1,$E45*'a)Plantilla'!$C15*Programa!D$63,IF(TipoProgramaPersonalTecnico=2,$E45*BE44,$E45/Hjor*BE44))</f>
        <v>0</v>
      </c>
      <c r="BF45" s="2">
        <f>IF(TipoProgramaPersonalTecnico=1,$E45*'a)Plantilla'!$C15*Programa!D$64,IF(TipoProgramaPersonalTecnico=2,$E45*BF44,$E45/Hjor*BF44))</f>
        <v>0</v>
      </c>
      <c r="BG45" s="2">
        <f>IF(TipoProgramaPersonalTecnico=1,$E45*'a)Plantilla'!$C15*Programa!D$65,IF(TipoProgramaPersonalTecnico=2,$E45*BG44,$E45/Hjor*BG44))</f>
        <v>0</v>
      </c>
      <c r="BH45" s="2">
        <f>IF(TipoProgramaPersonalTecnico=1,$E45*'a)Plantilla'!$C15*Programa!D$66,IF(TipoProgramaPersonalTecnico=2,$E45*BH44,$E45/Hjor*BH44))</f>
        <v>0</v>
      </c>
      <c r="BI45" s="2">
        <f>IF(TipoProgramaPersonalTecnico=1,$E45*'a)Plantilla'!$C15*Programa!D$67,IF(TipoProgramaPersonalTecnico=2,$E45*BI44,$E45/Hjor*BI44))</f>
        <v>0</v>
      </c>
      <c r="BJ45" s="2">
        <f>IF(TipoProgramaPersonalTecnico=1,$E45*'a)Plantilla'!$C15*Programa!D$68,IF(TipoProgramaPersonalTecnico=2,$E45*BJ44,$E45/Hjor*BJ44))</f>
        <v>0</v>
      </c>
      <c r="BK45" s="2">
        <f>IF(TipoProgramaPersonalTecnico=1,$E45*'a)Plantilla'!$C15*Programa!D$69,IF(TipoProgramaPersonalTecnico=2,$E45*BK44,$E45/Hjor*BK44))</f>
        <v>0</v>
      </c>
      <c r="BL45" s="2">
        <f>IF(TipoProgramaPersonalTecnico=1,$E45*'a)Plantilla'!$C15*Programa!D$70,IF(TipoProgramaPersonalTecnico=2,$E45*BL44,$E45/Hjor*BL44))</f>
        <v>0</v>
      </c>
      <c r="BM45" s="2">
        <f>IF(TipoProgramaPersonalTecnico=1,$E45*'a)Plantilla'!$C15*Programa!D$71,IF(TipoProgramaPersonalTecnico=2,$E45*BM44,$E45/Hjor*BM44))</f>
        <v>0</v>
      </c>
      <c r="BN45" s="12">
        <f>IF(TipoProgramaPersonalTecnico=1,$E45*'a)Plantilla'!$C15*Programa!D$72,IF(TipoProgramaPersonalTecnico=2,$E45*BN44,$E45/Hjor*BN44))</f>
        <v>0</v>
      </c>
    </row>
    <row r="46" spans="1:66" ht="7.5" customHeight="1">
      <c r="A46" s="67"/>
      <c r="B46" s="19"/>
      <c r="C46" s="127"/>
      <c r="D46" s="54"/>
      <c r="E46" s="19"/>
      <c r="F46" s="19"/>
      <c r="G46" s="1" t="s">
        <v>168</v>
      </c>
      <c r="H46" s="1" t="s">
        <v>168</v>
      </c>
      <c r="I46" s="1" t="s">
        <v>168</v>
      </c>
      <c r="J46" s="1" t="s">
        <v>168</v>
      </c>
      <c r="K46" s="1" t="s">
        <v>168</v>
      </c>
      <c r="L46" s="1" t="s">
        <v>168</v>
      </c>
      <c r="M46" s="1" t="s">
        <v>168</v>
      </c>
      <c r="N46" s="1" t="s">
        <v>168</v>
      </c>
      <c r="O46" s="1" t="s">
        <v>168</v>
      </c>
      <c r="P46" s="1" t="s">
        <v>168</v>
      </c>
      <c r="Q46" s="1" t="s">
        <v>168</v>
      </c>
      <c r="R46" s="8" t="s">
        <v>168</v>
      </c>
      <c r="S46" s="13" t="s">
        <v>168</v>
      </c>
      <c r="T46" s="1" t="s">
        <v>168</v>
      </c>
      <c r="U46" s="1" t="s">
        <v>168</v>
      </c>
      <c r="V46" s="1" t="s">
        <v>168</v>
      </c>
      <c r="W46" s="1" t="s">
        <v>168</v>
      </c>
      <c r="X46" s="1" t="s">
        <v>168</v>
      </c>
      <c r="Y46" s="1" t="s">
        <v>168</v>
      </c>
      <c r="Z46" s="1" t="s">
        <v>168</v>
      </c>
      <c r="AA46" s="1" t="s">
        <v>168</v>
      </c>
      <c r="AB46" s="1" t="s">
        <v>168</v>
      </c>
      <c r="AC46" s="1" t="s">
        <v>168</v>
      </c>
      <c r="AD46" s="8" t="s">
        <v>168</v>
      </c>
      <c r="AE46" s="13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168</v>
      </c>
      <c r="AK46" s="1" t="s">
        <v>168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8" t="s">
        <v>168</v>
      </c>
      <c r="AQ46" s="13" t="s">
        <v>168</v>
      </c>
      <c r="AR46" s="1" t="s">
        <v>168</v>
      </c>
      <c r="AS46" s="1" t="s">
        <v>168</v>
      </c>
      <c r="AT46" s="1" t="s">
        <v>168</v>
      </c>
      <c r="AU46" s="1" t="s">
        <v>168</v>
      </c>
      <c r="AV46" s="1" t="s">
        <v>168</v>
      </c>
      <c r="AW46" s="1" t="s">
        <v>168</v>
      </c>
      <c r="AX46" s="1" t="s">
        <v>168</v>
      </c>
      <c r="AY46" s="1" t="s">
        <v>168</v>
      </c>
      <c r="AZ46" s="1" t="s">
        <v>168</v>
      </c>
      <c r="BA46" s="1" t="s">
        <v>168</v>
      </c>
      <c r="BB46" s="8" t="s">
        <v>168</v>
      </c>
      <c r="BC46" s="13" t="s">
        <v>168</v>
      </c>
      <c r="BD46" s="1" t="s">
        <v>168</v>
      </c>
      <c r="BE46" s="1" t="s">
        <v>168</v>
      </c>
      <c r="BF46" s="1" t="s">
        <v>168</v>
      </c>
      <c r="BG46" s="1" t="s">
        <v>168</v>
      </c>
      <c r="BH46" s="1" t="s">
        <v>168</v>
      </c>
      <c r="BI46" s="1" t="s">
        <v>168</v>
      </c>
      <c r="BJ46" s="1" t="s">
        <v>168</v>
      </c>
      <c r="BK46" s="1" t="s">
        <v>168</v>
      </c>
      <c r="BL46" s="1" t="s">
        <v>168</v>
      </c>
      <c r="BM46" s="1" t="s">
        <v>168</v>
      </c>
      <c r="BN46" s="8" t="s">
        <v>168</v>
      </c>
    </row>
    <row r="47" spans="1:66">
      <c r="A47" s="194" t="s">
        <v>168</v>
      </c>
      <c r="B47" s="136"/>
      <c r="C47" s="296"/>
      <c r="D47" s="287"/>
      <c r="E47" s="267" t="s">
        <v>152</v>
      </c>
      <c r="F47" s="80">
        <f>F45+F42+F39+F36+F33+F30+F27+F24+F21</f>
        <v>9999.98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77"/>
      <c r="S47" s="8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77"/>
      <c r="AE47" s="8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77"/>
      <c r="AQ47" s="80"/>
      <c r="AR47" s="10"/>
      <c r="AS47" s="10"/>
      <c r="AT47" s="10"/>
      <c r="AU47" s="10"/>
      <c r="AV47" s="10"/>
      <c r="AW47" s="10"/>
      <c r="AX47" s="10"/>
      <c r="AY47" s="10"/>
      <c r="AZ47" s="10"/>
      <c r="BA47" s="241"/>
      <c r="BB47" s="51"/>
      <c r="BC47" s="199"/>
      <c r="BD47" s="10"/>
      <c r="BE47" s="51"/>
      <c r="BF47" s="51"/>
      <c r="BG47" s="51"/>
      <c r="BH47" s="51"/>
      <c r="BI47" s="51"/>
      <c r="BJ47" s="51"/>
      <c r="BK47" s="51"/>
      <c r="BL47" s="51"/>
      <c r="BM47" s="51"/>
      <c r="BN47" s="77"/>
    </row>
    <row r="48" spans="1:66">
      <c r="A48" s="214" t="str">
        <f>'d)Pers.Técnico'!A37</f>
        <v>Personal administrativo incluye: Prestaciones</v>
      </c>
      <c r="B48" s="675"/>
      <c r="C48" s="321"/>
      <c r="D48" s="1015"/>
      <c r="E48" s="1047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12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12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12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310"/>
      <c r="BB48" s="15"/>
      <c r="BC48" s="380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12"/>
    </row>
    <row r="49" spans="1:66">
      <c r="A49" s="178"/>
      <c r="B49" s="31"/>
      <c r="C49" s="228"/>
      <c r="D49" s="266"/>
      <c r="E49" s="162"/>
      <c r="F49" s="162"/>
      <c r="G49" s="3">
        <f>'d)Pers.Técnico'!E39</f>
        <v>0</v>
      </c>
      <c r="H49" s="3">
        <f>'d)Pers.Técnico'!F39</f>
        <v>0</v>
      </c>
      <c r="I49" s="3">
        <f>'d)Pers.Técnico'!G39</f>
        <v>0</v>
      </c>
      <c r="J49" s="3">
        <f>'d)Pers.Técnico'!H39</f>
        <v>0</v>
      </c>
      <c r="K49" s="3">
        <f>'d)Pers.Técnico'!I39</f>
        <v>0</v>
      </c>
      <c r="L49" s="3">
        <f>'d)Pers.Técnico'!J39</f>
        <v>0</v>
      </c>
      <c r="M49" s="3">
        <f>'d)Pers.Técnico'!K39</f>
        <v>0</v>
      </c>
      <c r="N49" s="3">
        <f>'d)Pers.Técnico'!L39</f>
        <v>0</v>
      </c>
      <c r="O49" s="3">
        <f>'d)Pers.Técnico'!M39</f>
        <v>0</v>
      </c>
      <c r="P49" s="3">
        <f>'d)Pers.Técnico'!N39</f>
        <v>0</v>
      </c>
      <c r="Q49" s="3">
        <f>'d)Pers.Técnico'!O39</f>
        <v>0</v>
      </c>
      <c r="R49" s="14">
        <f>'d)Pers.Técnico'!P39</f>
        <v>0</v>
      </c>
      <c r="S49" s="20">
        <f>'d)Pers.Técnico'!Q39</f>
        <v>0</v>
      </c>
      <c r="T49" s="3">
        <f>'d)Pers.Técnico'!R39</f>
        <v>0</v>
      </c>
      <c r="U49" s="3">
        <f>'d)Pers.Técnico'!S39</f>
        <v>0</v>
      </c>
      <c r="V49" s="3">
        <f>'d)Pers.Técnico'!T39</f>
        <v>0</v>
      </c>
      <c r="W49" s="3">
        <f>'d)Pers.Técnico'!U39</f>
        <v>0</v>
      </c>
      <c r="X49" s="3">
        <f>'d)Pers.Técnico'!V39</f>
        <v>0</v>
      </c>
      <c r="Y49" s="3">
        <f>'d)Pers.Técnico'!W39</f>
        <v>0</v>
      </c>
      <c r="Z49" s="3">
        <f>'d)Pers.Técnico'!X39</f>
        <v>0</v>
      </c>
      <c r="AA49" s="3">
        <f>'d)Pers.Técnico'!Y39</f>
        <v>0</v>
      </c>
      <c r="AB49" s="3">
        <f>'d)Pers.Técnico'!Z39</f>
        <v>0</v>
      </c>
      <c r="AC49" s="3">
        <f>'d)Pers.Técnico'!AA39</f>
        <v>0</v>
      </c>
      <c r="AD49" s="14">
        <f>'d)Pers.Técnico'!AB39</f>
        <v>0</v>
      </c>
      <c r="AE49" s="20">
        <f>'d)Pers.Técnico'!AC39</f>
        <v>0</v>
      </c>
      <c r="AF49" s="3">
        <f>'d)Pers.Técnico'!AD39</f>
        <v>0</v>
      </c>
      <c r="AG49" s="3">
        <f>'d)Pers.Técnico'!AE39</f>
        <v>0</v>
      </c>
      <c r="AH49" s="3">
        <f>'d)Pers.Técnico'!AF39</f>
        <v>0</v>
      </c>
      <c r="AI49" s="3">
        <f>'d)Pers.Técnico'!AG39</f>
        <v>0</v>
      </c>
      <c r="AJ49" s="3">
        <f>'d)Pers.Técnico'!AH39</f>
        <v>0</v>
      </c>
      <c r="AK49" s="3">
        <f>'d)Pers.Técnico'!AI39</f>
        <v>0</v>
      </c>
      <c r="AL49" s="3">
        <f>'d)Pers.Técnico'!AJ39</f>
        <v>0</v>
      </c>
      <c r="AM49" s="3">
        <f>'d)Pers.Técnico'!AK39</f>
        <v>0</v>
      </c>
      <c r="AN49" s="3">
        <f>'d)Pers.Técnico'!AL39</f>
        <v>0</v>
      </c>
      <c r="AO49" s="3">
        <f>'d)Pers.Técnico'!AM39</f>
        <v>0</v>
      </c>
      <c r="AP49" s="14">
        <f>'d)Pers.Técnico'!AN39</f>
        <v>0</v>
      </c>
      <c r="AQ49" s="20">
        <f>'d)Pers.Técnico'!AO39</f>
        <v>0</v>
      </c>
      <c r="AR49" s="3">
        <f>'d)Pers.Técnico'!AP39</f>
        <v>0</v>
      </c>
      <c r="AS49" s="3">
        <f>'d)Pers.Técnico'!AQ39</f>
        <v>0</v>
      </c>
      <c r="AT49" s="3">
        <f>'d)Pers.Técnico'!AR39</f>
        <v>0</v>
      </c>
      <c r="AU49" s="3">
        <f>'d)Pers.Técnico'!AS39</f>
        <v>0</v>
      </c>
      <c r="AV49" s="3">
        <f>'d)Pers.Técnico'!AT39</f>
        <v>0</v>
      </c>
      <c r="AW49" s="3">
        <f>'d)Pers.Técnico'!AU39</f>
        <v>0</v>
      </c>
      <c r="AX49" s="3">
        <f>'d)Pers.Técnico'!AV39</f>
        <v>0</v>
      </c>
      <c r="AY49" s="3">
        <f>'d)Pers.Técnico'!AW39</f>
        <v>0</v>
      </c>
      <c r="AZ49" s="3">
        <f>'d)Pers.Técnico'!AX39</f>
        <v>0</v>
      </c>
      <c r="BA49" s="1">
        <f>'d)Pers.Técnico'!AY39</f>
        <v>0</v>
      </c>
      <c r="BB49" s="60">
        <f>'d)Pers.Técnico'!AZ39</f>
        <v>0</v>
      </c>
      <c r="BC49" s="61">
        <f>'d)Pers.Técnico'!BA39</f>
        <v>0</v>
      </c>
      <c r="BD49" s="18">
        <f>'d)Pers.Técnico'!BB39</f>
        <v>0</v>
      </c>
      <c r="BE49" s="3">
        <f>'d)Pers.Técnico'!BC39</f>
        <v>0</v>
      </c>
      <c r="BF49" s="3">
        <f>'d)Pers.Técnico'!BD39</f>
        <v>0</v>
      </c>
      <c r="BG49" s="3">
        <f>'d)Pers.Técnico'!BE39</f>
        <v>0</v>
      </c>
      <c r="BH49" s="3">
        <f>'d)Pers.Técnico'!BF39</f>
        <v>0</v>
      </c>
      <c r="BI49" s="3">
        <f>'d)Pers.Técnico'!BG39</f>
        <v>0</v>
      </c>
      <c r="BJ49" s="3">
        <f>'d)Pers.Técnico'!BH39</f>
        <v>0</v>
      </c>
      <c r="BK49" s="3">
        <f>'d)Pers.Técnico'!BI39</f>
        <v>0</v>
      </c>
      <c r="BL49" s="3">
        <f>'d)Pers.Técnico'!BJ39</f>
        <v>0</v>
      </c>
      <c r="BM49" s="3">
        <f>'d)Pers.Técnico'!BK39</f>
        <v>0</v>
      </c>
      <c r="BN49" s="14">
        <f>'d)Pers.Técnico'!BL39</f>
        <v>0</v>
      </c>
    </row>
    <row r="50" spans="1:66">
      <c r="A50" s="67" t="s">
        <v>168</v>
      </c>
      <c r="B50" s="46" t="str">
        <f>+'d)Pers.Técnico'!B39</f>
        <v/>
      </c>
      <c r="C50" s="127" t="str">
        <f>'d)Pers.Técnico'!C39</f>
        <v/>
      </c>
      <c r="D50" s="52">
        <f>SUM(G49:BN49)</f>
        <v>0</v>
      </c>
      <c r="E50" s="7">
        <f>IF('a)Plantilla'!C16&gt;0,'a)Plantilla'!D16/30,0)</f>
        <v>0</v>
      </c>
      <c r="F50" s="7">
        <f>SUM(G50:BN50)</f>
        <v>0</v>
      </c>
      <c r="G50" s="2">
        <f>IF(TipoProgramaPersonalTecnico=1,$E50*'a)Plantilla'!$C16*Programa!D$13,IF(TipoProgramaPersonalTecnico=2,$E50*G49,$E50/Hjor*G49))</f>
        <v>0</v>
      </c>
      <c r="H50" s="2">
        <f>IF(TipoProgramaPersonalTecnico=1,$E50*'a)Plantilla'!$C16*Programa!D$14,IF(TipoProgramaPersonalTecnico=2,$E50*H49,$E50/Hjor*H49))</f>
        <v>0</v>
      </c>
      <c r="I50" s="2">
        <f>IF(TipoProgramaPersonalTecnico=1,$E50*'a)Plantilla'!$C16*Programa!D$15,IF(TipoProgramaPersonalTecnico=2,$E50*I49,$E50/Hjor*I49))</f>
        <v>0</v>
      </c>
      <c r="J50" s="2">
        <f>IF(TipoProgramaPersonalTecnico=1,$E50*'a)Plantilla'!$C16*Programa!D$16,IF(TipoProgramaPersonalTecnico=2,$E50*J49,$E50/Hjor*J49))</f>
        <v>0</v>
      </c>
      <c r="K50" s="2">
        <f>IF(TipoProgramaPersonalTecnico=1,$E50*'a)Plantilla'!$C16*Programa!D$17,IF(TipoProgramaPersonalTecnico=2,$E50*K49,$E50/Hjor*K49))</f>
        <v>0</v>
      </c>
      <c r="L50" s="2">
        <f>IF(TipoProgramaPersonalTecnico=1,$E50*'a)Plantilla'!$C16*Programa!D$18,IF(TipoProgramaPersonalTecnico=2,$E50*L49,$E50/Hjor*L49))</f>
        <v>0</v>
      </c>
      <c r="M50" s="2">
        <f>IF(TipoProgramaPersonalTecnico=1,$E50*'a)Plantilla'!$C16*Programa!D$19,IF(TipoProgramaPersonalTecnico=2,$E50*M49,$E50/Hjor*M49))</f>
        <v>0</v>
      </c>
      <c r="N50" s="2">
        <f>IF(TipoProgramaPersonalTecnico=1,$E50*'a)Plantilla'!$C16*Programa!D$20,IF(TipoProgramaPersonalTecnico=2,$E50*N49,$E50/Hjor*N49))</f>
        <v>0</v>
      </c>
      <c r="O50" s="2">
        <f>IF(TipoProgramaPersonalTecnico=1,$E50*'a)Plantilla'!$C16*Programa!D$21,IF(TipoProgramaPersonalTecnico=2,$E50*O49,$E50/Hjor*O49))</f>
        <v>0</v>
      </c>
      <c r="P50" s="2">
        <f>IF(TipoProgramaPersonalTecnico=1,$E50*'a)Plantilla'!$C16*Programa!D$22,IF(TipoProgramaPersonalTecnico=2,$E50*P49,$E50/Hjor*P49))</f>
        <v>0</v>
      </c>
      <c r="Q50" s="2">
        <f>IF(TipoProgramaPersonalTecnico=1,$E50*'a)Plantilla'!$C16*Programa!D$23,IF(TipoProgramaPersonalTecnico=2,$E50*Q49,$E50/Hjor*Q49))</f>
        <v>0</v>
      </c>
      <c r="R50" s="12">
        <f>IF(TipoProgramaPersonalTecnico=1,$E50*'a)Plantilla'!$C16*Programa!D$24,IF(TipoProgramaPersonalTecnico=2,$E50*R49,$E50/Hjor*R49))</f>
        <v>0</v>
      </c>
      <c r="S50" s="7">
        <f>IF(TipoProgramaPersonalTecnico=1,$E50*'a)Plantilla'!$C16*Programa!D$25,IF(TipoProgramaPersonalTecnico=2,$E50*S49,$E50/Hjor*S49))</f>
        <v>0</v>
      </c>
      <c r="T50" s="2">
        <f>IF(TipoProgramaPersonalTecnico=1,$E50*'a)Plantilla'!$C16*Programa!D$26,IF(TipoProgramaPersonalTecnico=2,$E50*T49,$E50/Hjor*T49))</f>
        <v>0</v>
      </c>
      <c r="U50" s="2">
        <f>IF(TipoProgramaPersonalTecnico=1,$E50*'a)Plantilla'!$C16*Programa!D$27,IF(TipoProgramaPersonalTecnico=2,$E50*U49,$E50/Hjor*U49))</f>
        <v>0</v>
      </c>
      <c r="V50" s="2">
        <f>IF(TipoProgramaPersonalTecnico=1,$E50*'a)Plantilla'!$C16*Programa!D$28,IF(TipoProgramaPersonalTecnico=2,$E50*V49,$E50/Hjor*V49))</f>
        <v>0</v>
      </c>
      <c r="W50" s="2">
        <f>IF(TipoProgramaPersonalTecnico=1,$E50*'a)Plantilla'!$C16*Programa!D$29,IF(TipoProgramaPersonalTecnico=2,$E50*W49,$E50/Hjor*W49))</f>
        <v>0</v>
      </c>
      <c r="X50" s="2">
        <f>IF(TipoProgramaPersonalTecnico=1,$E50*'a)Plantilla'!$C16*Programa!D$30,IF(TipoProgramaPersonalTecnico=2,$E50*X49,$E50/Hjor*X49))</f>
        <v>0</v>
      </c>
      <c r="Y50" s="2">
        <f>IF(TipoProgramaPersonalTecnico=1,$E50*'a)Plantilla'!$C16*Programa!D$31,IF(TipoProgramaPersonalTecnico=2,$E50*Y49,$E50/Hjor*Y49))</f>
        <v>0</v>
      </c>
      <c r="Z50" s="2">
        <f>IF(TipoProgramaPersonalTecnico=1,$E50*'a)Plantilla'!$C16*Programa!D$32,IF(TipoProgramaPersonalTecnico=2,$E50*Z49,$E50/Hjor*Z49))</f>
        <v>0</v>
      </c>
      <c r="AA50" s="2">
        <f>IF(TipoProgramaPersonalTecnico=1,$E50*'a)Plantilla'!$C16*Programa!D$33,IF(TipoProgramaPersonalTecnico=2,$E50*AA49,$E50/Hjor*AA49))</f>
        <v>0</v>
      </c>
      <c r="AB50" s="2">
        <f>IF(TipoProgramaPersonalTecnico=1,$E50*'a)Plantilla'!$C16*Programa!D$34,IF(TipoProgramaPersonalTecnico=2,$E50*AB49,$E50/Hjor*AB49))</f>
        <v>0</v>
      </c>
      <c r="AC50" s="2">
        <f>IF(TipoProgramaPersonalTecnico=1,$E50*'a)Plantilla'!$C16*Programa!D$35,IF(TipoProgramaPersonalTecnico=2,$E50*AC49,$E50/Hjor*AC49))</f>
        <v>0</v>
      </c>
      <c r="AD50" s="12">
        <f>IF(TipoProgramaPersonalTecnico=1,$E50*'a)Plantilla'!$C16*Programa!D$36,IF(TipoProgramaPersonalTecnico=2,$E50*AD49,$E50/Hjor*AD49))</f>
        <v>0</v>
      </c>
      <c r="AE50" s="7">
        <f>IF(TipoProgramaPersonalTecnico=1,$E50*'a)Plantilla'!$C16*Programa!D$37,IF(TipoProgramaPersonalTecnico=2,$E50*AE49,$E50/Hjor*AE49))</f>
        <v>0</v>
      </c>
      <c r="AF50" s="2">
        <f>IF(TipoProgramaPersonalTecnico=1,$E50*'a)Plantilla'!$C16*Programa!D$38,IF(TipoProgramaPersonalTecnico=2,$E50*AF49,$E50/Hjor*AF49))</f>
        <v>0</v>
      </c>
      <c r="AG50" s="2">
        <f>IF(TipoProgramaPersonalTecnico=1,$E50*'a)Plantilla'!$C16*Programa!D$39,IF(TipoProgramaPersonalTecnico=2,$E50*AG49,$E50/Hjor*AG49))</f>
        <v>0</v>
      </c>
      <c r="AH50" s="2">
        <f>IF(TipoProgramaPersonalTecnico=1,$E50*'a)Plantilla'!$C16*Programa!D$40,IF(TipoProgramaPersonalTecnico=2,$E50*AH49,$E50/Hjor*AH49))</f>
        <v>0</v>
      </c>
      <c r="AI50" s="2">
        <f>IF(TipoProgramaPersonalTecnico=1,$E50*'a)Plantilla'!$C16*Programa!D$41,IF(TipoProgramaPersonalTecnico=2,$E50*AI49,$E50/Hjor*AI49))</f>
        <v>0</v>
      </c>
      <c r="AJ50" s="2">
        <f>IF(TipoProgramaPersonalTecnico=1,$E50*'a)Plantilla'!$C16*Programa!D$42,IF(TipoProgramaPersonalTecnico=2,$E50*AJ49,$E50/Hjor*AJ49))</f>
        <v>0</v>
      </c>
      <c r="AK50" s="2">
        <f>IF(TipoProgramaPersonalTecnico=1,$E50*'a)Plantilla'!$C16*Programa!D$43,IF(TipoProgramaPersonalTecnico=2,$E50*AK49,$E50/Hjor*AK49))</f>
        <v>0</v>
      </c>
      <c r="AL50" s="2">
        <f>IF(TipoProgramaPersonalTecnico=1,$E50*'a)Plantilla'!$C16*Programa!D$44,IF(TipoProgramaPersonalTecnico=2,$E50*AL49,$E50/Hjor*AL49))</f>
        <v>0</v>
      </c>
      <c r="AM50" s="2">
        <f>IF(TipoProgramaPersonalTecnico=1,$E50*'a)Plantilla'!$C16*Programa!D$45,IF(TipoProgramaPersonalTecnico=2,$E50*AM49,$E50/Hjor*AM49))</f>
        <v>0</v>
      </c>
      <c r="AN50" s="2">
        <f>IF(TipoProgramaPersonalTecnico=1,$E50*'a)Plantilla'!$C16*Programa!D$46,IF(TipoProgramaPersonalTecnico=2,$E50*AN49,$E50/Hjor*AN49))</f>
        <v>0</v>
      </c>
      <c r="AO50" s="2">
        <f>IF(TipoProgramaPersonalTecnico=1,$E50*'a)Plantilla'!$C16*Programa!D$47,IF(TipoProgramaPersonalTecnico=2,$E50*AO49,$E50/Hjor*AO49))</f>
        <v>0</v>
      </c>
      <c r="AP50" s="12">
        <f>IF(TipoProgramaPersonalTecnico=1,$E50*'a)Plantilla'!$C16*Programa!D$48,IF(TipoProgramaPersonalTecnico=2,$E50*AP49,$E50/Hjor*AP49))</f>
        <v>0</v>
      </c>
      <c r="AQ50" s="7">
        <f>IF(TipoProgramaPersonalTecnico=1,$E50*'a)Plantilla'!$C16*Programa!D$49,IF(TipoProgramaPersonalTecnico=2,$E50*AQ49,$E50/Hjor*AQ49))</f>
        <v>0</v>
      </c>
      <c r="AR50" s="2">
        <f>IF(TipoProgramaPersonalTecnico=1,$E50*'a)Plantilla'!$C16*Programa!D$50,IF(TipoProgramaPersonalTecnico=2,$E50*AR49,$E50/Hjor*AR49))</f>
        <v>0</v>
      </c>
      <c r="AS50" s="2">
        <f>IF(TipoProgramaPersonalTecnico=1,$E50*'a)Plantilla'!$C16*Programa!D$51,IF(TipoProgramaPersonalTecnico=2,$E50*AS49,$E50/Hjor*AS49))</f>
        <v>0</v>
      </c>
      <c r="AT50" s="2">
        <f>IF(TipoProgramaPersonalTecnico=1,$E50*'a)Plantilla'!$C16*Programa!D$52,IF(TipoProgramaPersonalTecnico=2,$E50*AT49,$E50/Hjor*AT49))</f>
        <v>0</v>
      </c>
      <c r="AU50" s="2">
        <f>IF(TipoProgramaPersonalTecnico=1,$E50*'a)Plantilla'!$C16*Programa!D$53,IF(TipoProgramaPersonalTecnico=2,$E50*AU49,$E50/Hjor*AU49))</f>
        <v>0</v>
      </c>
      <c r="AV50" s="2">
        <f>IF(TipoProgramaPersonalTecnico=1,$E50*'a)Plantilla'!$C16*Programa!D$54,IF(TipoProgramaPersonalTecnico=2,$E50*AV49,$E50/Hjor*AV49))</f>
        <v>0</v>
      </c>
      <c r="AW50" s="2">
        <f>IF(TipoProgramaPersonalTecnico=1,$E50*'a)Plantilla'!$C16*Programa!D$55,IF(TipoProgramaPersonalTecnico=2,$E50*AW49,$E50/Hjor*AW49))</f>
        <v>0</v>
      </c>
      <c r="AX50" s="2">
        <f>IF(TipoProgramaPersonalTecnico=1,$E50*'a)Plantilla'!$C16*Programa!D$56,IF(TipoProgramaPersonalTecnico=2,$E50*AX49,$E50/Hjor*AX49))</f>
        <v>0</v>
      </c>
      <c r="AY50" s="2">
        <f>IF(TipoProgramaPersonalTecnico=1,$E50*'a)Plantilla'!$C16*Programa!D$57,IF(TipoProgramaPersonalTecnico=2,$E50*AY49,$E50/Hjor*AY49))</f>
        <v>0</v>
      </c>
      <c r="AZ50" s="2">
        <f>IF(TipoProgramaPersonalTecnico=1,$E50*'a)Plantilla'!$C16*Programa!D$58,IF(TipoProgramaPersonalTecnico=2,$E50*AZ49,$E50/Hjor*AZ49))</f>
        <v>0</v>
      </c>
      <c r="BA50" s="55">
        <f>IF(TipoProgramaPersonalTecnico=1,$E50*'a)Plantilla'!$C16*Programa!D$59,IF(TipoProgramaPersonalTecnico=2,$E50*BA49,$E50/Hjor*BA49))</f>
        <v>0</v>
      </c>
      <c r="BB50" s="56">
        <f>IF(TipoProgramaPersonalTecnico=1,$E50*'a)Plantilla'!$C16*Programa!D$60,IF(TipoProgramaPersonalTecnico=2,$E50*BB49,$E50/Hjor*BB49))</f>
        <v>0</v>
      </c>
      <c r="BC50" s="53">
        <f>IF(TipoProgramaPersonalTecnico=1,$E50*'a)Plantilla'!$C16*Programa!D$61,IF(TipoProgramaPersonalTecnico=2,$E50*BC49,$E50/Hjor*BC49))</f>
        <v>0</v>
      </c>
      <c r="BD50" s="2">
        <f>IF(TipoProgramaPersonalTecnico=1,$E50*'a)Plantilla'!$C16*Programa!D$62,IF(TipoProgramaPersonalTecnico=2,$E50*BD49,$E50/Hjor*BD49))</f>
        <v>0</v>
      </c>
      <c r="BE50" s="2">
        <f>IF(TipoProgramaPersonalTecnico=1,$E50*'a)Plantilla'!$C16*Programa!D$63,IF(TipoProgramaPersonalTecnico=2,$E50*BE49,$E50/Hjor*BE49))</f>
        <v>0</v>
      </c>
      <c r="BF50" s="2">
        <f>IF(TipoProgramaPersonalTecnico=1,$E50*'a)Plantilla'!$C16*Programa!D$64,IF(TipoProgramaPersonalTecnico=2,$E50*BF49,$E50/Hjor*BF49))</f>
        <v>0</v>
      </c>
      <c r="BG50" s="2">
        <f>IF(TipoProgramaPersonalTecnico=1,$E50*'a)Plantilla'!$C16*Programa!D$65,IF(TipoProgramaPersonalTecnico=2,$E50*BG49,$E50/Hjor*BG49))</f>
        <v>0</v>
      </c>
      <c r="BH50" s="2">
        <f>IF(TipoProgramaPersonalTecnico=1,$E50*'a)Plantilla'!$C16*Programa!D$66,IF(TipoProgramaPersonalTecnico=2,$E50*BH49,$E50/Hjor*BH49))</f>
        <v>0</v>
      </c>
      <c r="BI50" s="2">
        <f>IF(TipoProgramaPersonalTecnico=1,$E50*'a)Plantilla'!$C16*Programa!D$67,IF(TipoProgramaPersonalTecnico=2,$E50*BI49,$E50/Hjor*BI49))</f>
        <v>0</v>
      </c>
      <c r="BJ50" s="2">
        <f>IF(TipoProgramaPersonalTecnico=1,$E50*'a)Plantilla'!$C16*Programa!D$68,IF(TipoProgramaPersonalTecnico=2,$E50*BJ49,$E50/Hjor*BJ49))</f>
        <v>0</v>
      </c>
      <c r="BK50" s="2">
        <f>IF(TipoProgramaPersonalTecnico=1,$E50*'a)Plantilla'!$C16*Programa!D$69,IF(TipoProgramaPersonalTecnico=2,$E50*BK49,$E50/Hjor*BK49))</f>
        <v>0</v>
      </c>
      <c r="BL50" s="2">
        <f>IF(TipoProgramaPersonalTecnico=1,$E50*'a)Plantilla'!$C16*Programa!D$70,IF(TipoProgramaPersonalTecnico=2,$E50*BL49,$E50/Hjor*BL49))</f>
        <v>0</v>
      </c>
      <c r="BM50" s="2">
        <f>IF(TipoProgramaPersonalTecnico=1,$E50*'a)Plantilla'!$C16*Programa!D$71,IF(TipoProgramaPersonalTecnico=2,$E50*BM49,$E50/Hjor*BM49))</f>
        <v>0</v>
      </c>
      <c r="BN50" s="12">
        <f>IF(TipoProgramaPersonalTecnico=1,$E50*'a)Plantilla'!$C16*Programa!D$72,IF(TipoProgramaPersonalTecnico=2,$E50*BN49,$E50/Hjor*BN49))</f>
        <v>0</v>
      </c>
    </row>
    <row r="51" spans="1:66" ht="7.5" customHeight="1">
      <c r="A51" s="67"/>
      <c r="B51" s="19"/>
      <c r="C51" s="127"/>
      <c r="D51" s="54"/>
      <c r="E51" s="19"/>
      <c r="F51" s="19"/>
      <c r="G51" s="1" t="s">
        <v>168</v>
      </c>
      <c r="H51" s="1" t="s">
        <v>168</v>
      </c>
      <c r="I51" s="1" t="s">
        <v>168</v>
      </c>
      <c r="J51" s="1" t="s">
        <v>168</v>
      </c>
      <c r="K51" s="1" t="s">
        <v>168</v>
      </c>
      <c r="L51" s="1" t="s">
        <v>168</v>
      </c>
      <c r="M51" s="1" t="s">
        <v>168</v>
      </c>
      <c r="N51" s="1" t="s">
        <v>168</v>
      </c>
      <c r="O51" s="1" t="s">
        <v>168</v>
      </c>
      <c r="P51" s="1" t="s">
        <v>168</v>
      </c>
      <c r="Q51" s="1" t="s">
        <v>168</v>
      </c>
      <c r="R51" s="8" t="s">
        <v>168</v>
      </c>
      <c r="S51" s="13" t="s">
        <v>168</v>
      </c>
      <c r="T51" s="1" t="s">
        <v>168</v>
      </c>
      <c r="U51" s="1" t="s">
        <v>168</v>
      </c>
      <c r="V51" s="1" t="s">
        <v>168</v>
      </c>
      <c r="W51" s="1" t="s">
        <v>168</v>
      </c>
      <c r="X51" s="1" t="s">
        <v>168</v>
      </c>
      <c r="Y51" s="1" t="s">
        <v>168</v>
      </c>
      <c r="Z51" s="1" t="s">
        <v>168</v>
      </c>
      <c r="AA51" s="1" t="s">
        <v>168</v>
      </c>
      <c r="AB51" s="1" t="s">
        <v>168</v>
      </c>
      <c r="AC51" s="1" t="s">
        <v>168</v>
      </c>
      <c r="AD51" s="8" t="s">
        <v>168</v>
      </c>
      <c r="AE51" s="13" t="s">
        <v>168</v>
      </c>
      <c r="AF51" s="1" t="s">
        <v>168</v>
      </c>
      <c r="AG51" s="1" t="s">
        <v>168</v>
      </c>
      <c r="AH51" s="1" t="s">
        <v>168</v>
      </c>
      <c r="AI51" s="1" t="s">
        <v>168</v>
      </c>
      <c r="AJ51" s="1" t="s">
        <v>168</v>
      </c>
      <c r="AK51" s="1" t="s">
        <v>168</v>
      </c>
      <c r="AL51" s="1" t="s">
        <v>168</v>
      </c>
      <c r="AM51" s="1" t="s">
        <v>168</v>
      </c>
      <c r="AN51" s="1" t="s">
        <v>168</v>
      </c>
      <c r="AO51" s="1" t="s">
        <v>168</v>
      </c>
      <c r="AP51" s="8" t="s">
        <v>168</v>
      </c>
      <c r="AQ51" s="13" t="s">
        <v>168</v>
      </c>
      <c r="AR51" s="1" t="s">
        <v>168</v>
      </c>
      <c r="AS51" s="1" t="s">
        <v>168</v>
      </c>
      <c r="AT51" s="1" t="s">
        <v>168</v>
      </c>
      <c r="AU51" s="1" t="s">
        <v>168</v>
      </c>
      <c r="AV51" s="1" t="s">
        <v>168</v>
      </c>
      <c r="AW51" s="1" t="s">
        <v>168</v>
      </c>
      <c r="AX51" s="1" t="s">
        <v>168</v>
      </c>
      <c r="AY51" s="1" t="s">
        <v>168</v>
      </c>
      <c r="AZ51" s="1" t="s">
        <v>168</v>
      </c>
      <c r="BA51" s="1" t="s">
        <v>168</v>
      </c>
      <c r="BB51" s="8" t="s">
        <v>168</v>
      </c>
      <c r="BC51" s="13" t="s">
        <v>168</v>
      </c>
      <c r="BD51" s="1" t="s">
        <v>168</v>
      </c>
      <c r="BE51" s="1" t="s">
        <v>168</v>
      </c>
      <c r="BF51" s="1" t="s">
        <v>168</v>
      </c>
      <c r="BG51" s="1" t="s">
        <v>168</v>
      </c>
      <c r="BH51" s="1" t="s">
        <v>168</v>
      </c>
      <c r="BI51" s="1" t="s">
        <v>168</v>
      </c>
      <c r="BJ51" s="1" t="s">
        <v>168</v>
      </c>
      <c r="BK51" s="1" t="s">
        <v>168</v>
      </c>
      <c r="BL51" s="1" t="s">
        <v>168</v>
      </c>
      <c r="BM51" s="1" t="s">
        <v>168</v>
      </c>
      <c r="BN51" s="8" t="s">
        <v>168</v>
      </c>
    </row>
    <row r="52" spans="1:66">
      <c r="A52" s="67"/>
      <c r="B52" s="46"/>
      <c r="C52" s="127"/>
      <c r="D52" s="52"/>
      <c r="E52" s="59"/>
      <c r="F52" s="59"/>
      <c r="G52" s="3">
        <f>'d)Pers.Técnico'!E41</f>
        <v>0</v>
      </c>
      <c r="H52" s="3">
        <f>'d)Pers.Técnico'!F41</f>
        <v>0</v>
      </c>
      <c r="I52" s="3">
        <f>'d)Pers.Técnico'!G41</f>
        <v>0</v>
      </c>
      <c r="J52" s="3">
        <f>'d)Pers.Técnico'!H41</f>
        <v>0</v>
      </c>
      <c r="K52" s="3">
        <f>'d)Pers.Técnico'!I41</f>
        <v>0</v>
      </c>
      <c r="L52" s="3">
        <f>'d)Pers.Técnico'!J41</f>
        <v>0</v>
      </c>
      <c r="M52" s="3">
        <f>'d)Pers.Técnico'!K41</f>
        <v>0</v>
      </c>
      <c r="N52" s="3">
        <f>'d)Pers.Técnico'!L41</f>
        <v>0</v>
      </c>
      <c r="O52" s="3">
        <f>'d)Pers.Técnico'!M41</f>
        <v>0</v>
      </c>
      <c r="P52" s="3">
        <f>'d)Pers.Técnico'!N41</f>
        <v>0</v>
      </c>
      <c r="Q52" s="3">
        <f>'d)Pers.Técnico'!O41</f>
        <v>0</v>
      </c>
      <c r="R52" s="14">
        <f>'d)Pers.Técnico'!P41</f>
        <v>0</v>
      </c>
      <c r="S52" s="20">
        <f>'d)Pers.Técnico'!Q41</f>
        <v>0</v>
      </c>
      <c r="T52" s="3">
        <f>'d)Pers.Técnico'!R41</f>
        <v>0</v>
      </c>
      <c r="U52" s="3">
        <f>'d)Pers.Técnico'!S41</f>
        <v>0</v>
      </c>
      <c r="V52" s="3">
        <f>'d)Pers.Técnico'!T41</f>
        <v>0</v>
      </c>
      <c r="W52" s="3">
        <f>'d)Pers.Técnico'!U41</f>
        <v>0</v>
      </c>
      <c r="X52" s="3">
        <f>'d)Pers.Técnico'!V41</f>
        <v>0</v>
      </c>
      <c r="Y52" s="3">
        <f>'d)Pers.Técnico'!W41</f>
        <v>0</v>
      </c>
      <c r="Z52" s="3">
        <f>'d)Pers.Técnico'!X41</f>
        <v>0</v>
      </c>
      <c r="AA52" s="3">
        <f>'d)Pers.Técnico'!Y41</f>
        <v>0</v>
      </c>
      <c r="AB52" s="3">
        <f>'d)Pers.Técnico'!Z41</f>
        <v>0</v>
      </c>
      <c r="AC52" s="3">
        <f>'d)Pers.Técnico'!AA41</f>
        <v>0</v>
      </c>
      <c r="AD52" s="14">
        <f>'d)Pers.Técnico'!AB41</f>
        <v>0</v>
      </c>
      <c r="AE52" s="20">
        <f>'d)Pers.Técnico'!AC41</f>
        <v>0</v>
      </c>
      <c r="AF52" s="3">
        <f>'d)Pers.Técnico'!AD41</f>
        <v>0</v>
      </c>
      <c r="AG52" s="3">
        <f>'d)Pers.Técnico'!AE41</f>
        <v>0</v>
      </c>
      <c r="AH52" s="3">
        <f>'d)Pers.Técnico'!AF41</f>
        <v>0</v>
      </c>
      <c r="AI52" s="3">
        <f>'d)Pers.Técnico'!AG41</f>
        <v>0</v>
      </c>
      <c r="AJ52" s="3">
        <f>'d)Pers.Técnico'!AH41</f>
        <v>0</v>
      </c>
      <c r="AK52" s="3">
        <f>'d)Pers.Técnico'!AI41</f>
        <v>0</v>
      </c>
      <c r="AL52" s="3">
        <f>'d)Pers.Técnico'!AJ41</f>
        <v>0</v>
      </c>
      <c r="AM52" s="3">
        <f>'d)Pers.Técnico'!AK41</f>
        <v>0</v>
      </c>
      <c r="AN52" s="3">
        <f>'d)Pers.Técnico'!AL41</f>
        <v>0</v>
      </c>
      <c r="AO52" s="3">
        <f>'d)Pers.Técnico'!AM41</f>
        <v>0</v>
      </c>
      <c r="AP52" s="14">
        <f>'d)Pers.Técnico'!AN41</f>
        <v>0</v>
      </c>
      <c r="AQ52" s="20">
        <f>'d)Pers.Técnico'!AO41</f>
        <v>0</v>
      </c>
      <c r="AR52" s="3">
        <f>'d)Pers.Técnico'!AP41</f>
        <v>0</v>
      </c>
      <c r="AS52" s="3">
        <f>'d)Pers.Técnico'!AQ41</f>
        <v>0</v>
      </c>
      <c r="AT52" s="3">
        <f>'d)Pers.Técnico'!AR41</f>
        <v>0</v>
      </c>
      <c r="AU52" s="3">
        <f>'d)Pers.Técnico'!AS41</f>
        <v>0</v>
      </c>
      <c r="AV52" s="3">
        <f>'d)Pers.Técnico'!AT41</f>
        <v>0</v>
      </c>
      <c r="AW52" s="3">
        <f>'d)Pers.Técnico'!AU41</f>
        <v>0</v>
      </c>
      <c r="AX52" s="3">
        <f>'d)Pers.Técnico'!AV41</f>
        <v>0</v>
      </c>
      <c r="AY52" s="3">
        <f>'d)Pers.Técnico'!AW41</f>
        <v>0</v>
      </c>
      <c r="AZ52" s="3">
        <f>'d)Pers.Técnico'!AX41</f>
        <v>0</v>
      </c>
      <c r="BA52" s="1">
        <f>'d)Pers.Técnico'!AY41</f>
        <v>0</v>
      </c>
      <c r="BB52" s="60">
        <f>'d)Pers.Técnico'!AZ41</f>
        <v>0</v>
      </c>
      <c r="BC52" s="61">
        <f>'d)Pers.Técnico'!BA41</f>
        <v>0</v>
      </c>
      <c r="BD52" s="3">
        <f>'d)Pers.Técnico'!BB41</f>
        <v>0</v>
      </c>
      <c r="BE52" s="3">
        <f>'d)Pers.Técnico'!BC41</f>
        <v>0</v>
      </c>
      <c r="BF52" s="3">
        <f>'d)Pers.Técnico'!BD41</f>
        <v>0</v>
      </c>
      <c r="BG52" s="3">
        <f>'d)Pers.Técnico'!BE41</f>
        <v>0</v>
      </c>
      <c r="BH52" s="3">
        <f>'d)Pers.Técnico'!BF41</f>
        <v>0</v>
      </c>
      <c r="BI52" s="3">
        <f>'d)Pers.Técnico'!BG41</f>
        <v>0</v>
      </c>
      <c r="BJ52" s="3">
        <f>'d)Pers.Técnico'!BH41</f>
        <v>0</v>
      </c>
      <c r="BK52" s="3">
        <f>'d)Pers.Técnico'!BI41</f>
        <v>0</v>
      </c>
      <c r="BL52" s="3">
        <f>'d)Pers.Técnico'!BJ41</f>
        <v>0</v>
      </c>
      <c r="BM52" s="3">
        <f>'d)Pers.Técnico'!BK41</f>
        <v>0</v>
      </c>
      <c r="BN52" s="14">
        <f>'d)Pers.Técnico'!BL41</f>
        <v>0</v>
      </c>
    </row>
    <row r="53" spans="1:66">
      <c r="A53" s="67"/>
      <c r="B53" s="46" t="str">
        <f>+'d)Pers.Técnico'!B41</f>
        <v/>
      </c>
      <c r="C53" s="127" t="str">
        <f>'d)Pers.Técnico'!C41</f>
        <v/>
      </c>
      <c r="D53" s="52">
        <f>SUM(G52:BN52)</f>
        <v>0</v>
      </c>
      <c r="E53" s="7">
        <f>IF('a)Plantilla'!C17&gt;0,'a)Plantilla'!D17/30,0)</f>
        <v>0</v>
      </c>
      <c r="F53" s="7">
        <f>SUM(G53:BN53)</f>
        <v>0</v>
      </c>
      <c r="G53" s="2">
        <f>IF(TipoProgramaPersonalTecnico=1,$E53*'a)Plantilla'!$C17*Programa!D$13,IF(TipoProgramaPersonalTecnico=2,$E53*G52,$E53/Hjor*G52))</f>
        <v>0</v>
      </c>
      <c r="H53" s="2">
        <f>IF(TipoProgramaPersonalTecnico=1,$E53*'a)Plantilla'!$C17*Programa!D$14,IF(TipoProgramaPersonalTecnico=2,$E53*H52,$E53/Hjor*H52))</f>
        <v>0</v>
      </c>
      <c r="I53" s="2">
        <f>IF(TipoProgramaPersonalTecnico=1,$E53*'a)Plantilla'!$C17*Programa!D$15,IF(TipoProgramaPersonalTecnico=2,$E53*I52,$E53/Hjor*I52))</f>
        <v>0</v>
      </c>
      <c r="J53" s="2">
        <f>IF(TipoProgramaPersonalTecnico=1,$E53*'a)Plantilla'!$C17*Programa!D$16,IF(TipoProgramaPersonalTecnico=2,$E53*J52,$E53/Hjor*J52))</f>
        <v>0</v>
      </c>
      <c r="K53" s="2">
        <f>IF(TipoProgramaPersonalTecnico=1,$E53*'a)Plantilla'!$C17*Programa!D$17,IF(TipoProgramaPersonalTecnico=2,$E53*K52,$E53/Hjor*K52))</f>
        <v>0</v>
      </c>
      <c r="L53" s="2">
        <f>IF(TipoProgramaPersonalTecnico=1,$E53*'a)Plantilla'!$C17*Programa!D$18,IF(TipoProgramaPersonalTecnico=2,$E53*L52,$E53/Hjor*L52))</f>
        <v>0</v>
      </c>
      <c r="M53" s="2">
        <f>IF(TipoProgramaPersonalTecnico=1,$E53*'a)Plantilla'!$C17*Programa!D$19,IF(TipoProgramaPersonalTecnico=2,$E53*M52,$E53/Hjor*M52))</f>
        <v>0</v>
      </c>
      <c r="N53" s="2">
        <f>IF(TipoProgramaPersonalTecnico=1,$E53*'a)Plantilla'!$C17*Programa!D$20,IF(TipoProgramaPersonalTecnico=2,$E53*N52,$E53/Hjor*N52))</f>
        <v>0</v>
      </c>
      <c r="O53" s="2">
        <f>IF(TipoProgramaPersonalTecnico=1,$E53*'a)Plantilla'!$C17*Programa!D$21,IF(TipoProgramaPersonalTecnico=2,$E53*O52,$E53/Hjor*O52))</f>
        <v>0</v>
      </c>
      <c r="P53" s="2">
        <f>IF(TipoProgramaPersonalTecnico=1,$E53*'a)Plantilla'!$C17*Programa!D$22,IF(TipoProgramaPersonalTecnico=2,$E53*P52,$E53/Hjor*P52))</f>
        <v>0</v>
      </c>
      <c r="Q53" s="2">
        <f>IF(TipoProgramaPersonalTecnico=1,$E53*'a)Plantilla'!$C17*Programa!D$23,IF(TipoProgramaPersonalTecnico=2,$E53*Q52,$E53/Hjor*Q52))</f>
        <v>0</v>
      </c>
      <c r="R53" s="12">
        <f>IF(TipoProgramaPersonalTecnico=1,$E53*'a)Plantilla'!$C17*Programa!D$24,IF(TipoProgramaPersonalTecnico=2,$E53*R52,$E53/Hjor*R52))</f>
        <v>0</v>
      </c>
      <c r="S53" s="7">
        <f>IF(TipoProgramaPersonalTecnico=1,$E53*'a)Plantilla'!$C17*Programa!D$25,IF(TipoProgramaPersonalTecnico=2,$E53*S52,$E53/Hjor*S52))</f>
        <v>0</v>
      </c>
      <c r="T53" s="2">
        <f>IF(TipoProgramaPersonalTecnico=1,$E53*'a)Plantilla'!$C17*Programa!D$26,IF(TipoProgramaPersonalTecnico=2,$E53*T52,$E53/Hjor*T52))</f>
        <v>0</v>
      </c>
      <c r="U53" s="2">
        <f>IF(TipoProgramaPersonalTecnico=1,$E53*'a)Plantilla'!$C17*Programa!D$27,IF(TipoProgramaPersonalTecnico=2,$E53*U52,$E53/Hjor*U52))</f>
        <v>0</v>
      </c>
      <c r="V53" s="2">
        <f>IF(TipoProgramaPersonalTecnico=1,$E53*'a)Plantilla'!$C17*Programa!D$28,IF(TipoProgramaPersonalTecnico=2,$E53*V52,$E53/Hjor*V52))</f>
        <v>0</v>
      </c>
      <c r="W53" s="2">
        <f>IF(TipoProgramaPersonalTecnico=1,$E53*'a)Plantilla'!$C17*Programa!D$29,IF(TipoProgramaPersonalTecnico=2,$E53*W52,$E53/Hjor*W52))</f>
        <v>0</v>
      </c>
      <c r="X53" s="2">
        <f>IF(TipoProgramaPersonalTecnico=1,$E53*'a)Plantilla'!$C17*Programa!D$30,IF(TipoProgramaPersonalTecnico=2,$E53*X52,$E53/Hjor*X52))</f>
        <v>0</v>
      </c>
      <c r="Y53" s="2">
        <f>IF(TipoProgramaPersonalTecnico=1,$E53*'a)Plantilla'!$C17*Programa!D$31,IF(TipoProgramaPersonalTecnico=2,$E53*Y52,$E53/Hjor*Y52))</f>
        <v>0</v>
      </c>
      <c r="Z53" s="2">
        <f>IF(TipoProgramaPersonalTecnico=1,$E53*'a)Plantilla'!$C17*Programa!D$32,IF(TipoProgramaPersonalTecnico=2,$E53*Z52,$E53/Hjor*Z52))</f>
        <v>0</v>
      </c>
      <c r="AA53" s="2">
        <f>IF(TipoProgramaPersonalTecnico=1,$E53*'a)Plantilla'!$C17*Programa!D$33,IF(TipoProgramaPersonalTecnico=2,$E53*AA52,$E53/Hjor*AA52))</f>
        <v>0</v>
      </c>
      <c r="AB53" s="2">
        <f>IF(TipoProgramaPersonalTecnico=1,$E53*'a)Plantilla'!$C17*Programa!D$34,IF(TipoProgramaPersonalTecnico=2,$E53*AB52,$E53/Hjor*AB52))</f>
        <v>0</v>
      </c>
      <c r="AC53" s="2">
        <f>IF(TipoProgramaPersonalTecnico=1,$E53*'a)Plantilla'!$C17*Programa!D$35,IF(TipoProgramaPersonalTecnico=2,$E53*AC52,$E53/Hjor*AC52))</f>
        <v>0</v>
      </c>
      <c r="AD53" s="12">
        <f>IF(TipoProgramaPersonalTecnico=1,$E53*'a)Plantilla'!$C17*Programa!D$36,IF(TipoProgramaPersonalTecnico=2,$E53*AD52,$E53/Hjor*AD52))</f>
        <v>0</v>
      </c>
      <c r="AE53" s="7">
        <f>IF(TipoProgramaPersonalTecnico=1,$E53*'a)Plantilla'!$C17*Programa!D$37,IF(TipoProgramaPersonalTecnico=2,$E53*AE52,$E53/Hjor*AE52))</f>
        <v>0</v>
      </c>
      <c r="AF53" s="2">
        <f>IF(TipoProgramaPersonalTecnico=1,$E53*'a)Plantilla'!$C17*Programa!D$38,IF(TipoProgramaPersonalTecnico=2,$E53*AF52,$E53/Hjor*AF52))</f>
        <v>0</v>
      </c>
      <c r="AG53" s="2">
        <f>IF(TipoProgramaPersonalTecnico=1,$E53*'a)Plantilla'!$C17*Programa!D$39,IF(TipoProgramaPersonalTecnico=2,$E53*AG52,$E53/Hjor*AG52))</f>
        <v>0</v>
      </c>
      <c r="AH53" s="2">
        <f>IF(TipoProgramaPersonalTecnico=1,$E53*'a)Plantilla'!$C17*Programa!D$40,IF(TipoProgramaPersonalTecnico=2,$E53*AH52,$E53/Hjor*AH52))</f>
        <v>0</v>
      </c>
      <c r="AI53" s="2">
        <f>IF(TipoProgramaPersonalTecnico=1,$E53*'a)Plantilla'!$C17*Programa!D$41,IF(TipoProgramaPersonalTecnico=2,$E53*AI52,$E53/Hjor*AI52))</f>
        <v>0</v>
      </c>
      <c r="AJ53" s="2">
        <f>IF(TipoProgramaPersonalTecnico=1,$E53*'a)Plantilla'!$C17*Programa!D$42,IF(TipoProgramaPersonalTecnico=2,$E53*AJ52,$E53/Hjor*AJ52))</f>
        <v>0</v>
      </c>
      <c r="AK53" s="2">
        <f>IF(TipoProgramaPersonalTecnico=1,$E53*'a)Plantilla'!$C17*Programa!D$43,IF(TipoProgramaPersonalTecnico=2,$E53*AK52,$E53/Hjor*AK52))</f>
        <v>0</v>
      </c>
      <c r="AL53" s="2">
        <f>IF(TipoProgramaPersonalTecnico=1,$E53*'a)Plantilla'!$C17*Programa!D$44,IF(TipoProgramaPersonalTecnico=2,$E53*AL52,$E53/Hjor*AL52))</f>
        <v>0</v>
      </c>
      <c r="AM53" s="2">
        <f>IF(TipoProgramaPersonalTecnico=1,$E53*'a)Plantilla'!$C17*Programa!D$45,IF(TipoProgramaPersonalTecnico=2,$E53*AM52,$E53/Hjor*AM52))</f>
        <v>0</v>
      </c>
      <c r="AN53" s="2">
        <f>IF(TipoProgramaPersonalTecnico=1,$E53*'a)Plantilla'!$C17*Programa!D$46,IF(TipoProgramaPersonalTecnico=2,$E53*AN52,$E53/Hjor*AN52))</f>
        <v>0</v>
      </c>
      <c r="AO53" s="2">
        <f>IF(TipoProgramaPersonalTecnico=1,$E53*'a)Plantilla'!$C17*Programa!D$47,IF(TipoProgramaPersonalTecnico=2,$E53*AO52,$E53/Hjor*AO52))</f>
        <v>0</v>
      </c>
      <c r="AP53" s="12">
        <f>IF(TipoProgramaPersonalTecnico=1,$E53*'a)Plantilla'!$C17*Programa!D$48,IF(TipoProgramaPersonalTecnico=2,$E53*AP52,$E53/Hjor*AP52))</f>
        <v>0</v>
      </c>
      <c r="AQ53" s="7">
        <f>IF(TipoProgramaPersonalTecnico=1,$E53*'a)Plantilla'!$C17*Programa!D$49,IF(TipoProgramaPersonalTecnico=2,$E53*AQ52,$E53/Hjor*AQ52))</f>
        <v>0</v>
      </c>
      <c r="AR53" s="2">
        <f>IF(TipoProgramaPersonalTecnico=1,$E53*'a)Plantilla'!$C17*Programa!D$50,IF(TipoProgramaPersonalTecnico=2,$E53*AR52,$E53/Hjor*AR52))</f>
        <v>0</v>
      </c>
      <c r="AS53" s="2">
        <f>IF(TipoProgramaPersonalTecnico=1,$E53*'a)Plantilla'!$C17*Programa!D$51,IF(TipoProgramaPersonalTecnico=2,$E53*AS52,$E53/Hjor*AS52))</f>
        <v>0</v>
      </c>
      <c r="AT53" s="2">
        <f>IF(TipoProgramaPersonalTecnico=1,$E53*'a)Plantilla'!$C17*Programa!D$52,IF(TipoProgramaPersonalTecnico=2,$E53*AT52,$E53/Hjor*AT52))</f>
        <v>0</v>
      </c>
      <c r="AU53" s="2">
        <f>IF(TipoProgramaPersonalTecnico=1,$E53*'a)Plantilla'!$C17*Programa!D$53,IF(TipoProgramaPersonalTecnico=2,$E53*AU52,$E53/Hjor*AU52))</f>
        <v>0</v>
      </c>
      <c r="AV53" s="2">
        <f>IF(TipoProgramaPersonalTecnico=1,$E53*'a)Plantilla'!$C17*Programa!D$54,IF(TipoProgramaPersonalTecnico=2,$E53*AV52,$E53/Hjor*AV52))</f>
        <v>0</v>
      </c>
      <c r="AW53" s="2">
        <f>IF(TipoProgramaPersonalTecnico=1,$E53*'a)Plantilla'!$C17*Programa!D$55,IF(TipoProgramaPersonalTecnico=2,$E53*AW52,$E53/Hjor*AW52))</f>
        <v>0</v>
      </c>
      <c r="AX53" s="2">
        <f>IF(TipoProgramaPersonalTecnico=1,$E53*'a)Plantilla'!$C17*Programa!D$56,IF(TipoProgramaPersonalTecnico=2,$E53*AX52,$E53/Hjor*AX52))</f>
        <v>0</v>
      </c>
      <c r="AY53" s="2">
        <f>IF(TipoProgramaPersonalTecnico=1,$E53*'a)Plantilla'!$C17*Programa!D$57,IF(TipoProgramaPersonalTecnico=2,$E53*AY52,$E53/Hjor*AY52))</f>
        <v>0</v>
      </c>
      <c r="AZ53" s="2">
        <f>IF(TipoProgramaPersonalTecnico=1,$E53*'a)Plantilla'!$C17*Programa!D$58,IF(TipoProgramaPersonalTecnico=2,$E53*AZ52,$E53/Hjor*AZ52))</f>
        <v>0</v>
      </c>
      <c r="BA53" s="55">
        <f>IF(TipoProgramaPersonalTecnico=1,$E53*'a)Plantilla'!$C17*Programa!D$59,IF(TipoProgramaPersonalTecnico=2,$E53*BA52,$E53/Hjor*BA52))</f>
        <v>0</v>
      </c>
      <c r="BB53" s="56">
        <f>IF(TipoProgramaPersonalTecnico=1,$E53*'a)Plantilla'!$C17*Programa!D$60,IF(TipoProgramaPersonalTecnico=2,$E53*BB52,$E53/Hjor*BB52))</f>
        <v>0</v>
      </c>
      <c r="BC53" s="53">
        <f>IF(TipoProgramaPersonalTecnico=1,$E53*'a)Plantilla'!$C17*Programa!D$61,IF(TipoProgramaPersonalTecnico=2,$E53*BC52,$E53/Hjor*BC52))</f>
        <v>0</v>
      </c>
      <c r="BD53" s="2">
        <f>IF(TipoProgramaPersonalTecnico=1,$E53*'a)Plantilla'!$C17*Programa!D$62,IF(TipoProgramaPersonalTecnico=2,$E53*BD52,$E53/Hjor*BD52))</f>
        <v>0</v>
      </c>
      <c r="BE53" s="2">
        <f>IF(TipoProgramaPersonalTecnico=1,$E53*'a)Plantilla'!$C17*Programa!D$63,IF(TipoProgramaPersonalTecnico=2,$E53*BE52,$E53/Hjor*BE52))</f>
        <v>0</v>
      </c>
      <c r="BF53" s="2">
        <f>IF(TipoProgramaPersonalTecnico=1,$E53*'a)Plantilla'!$C17*Programa!D$64,IF(TipoProgramaPersonalTecnico=2,$E53*BF52,$E53/Hjor*BF52))</f>
        <v>0</v>
      </c>
      <c r="BG53" s="2">
        <f>IF(TipoProgramaPersonalTecnico=1,$E53*'a)Plantilla'!$C17*Programa!D$65,IF(TipoProgramaPersonalTecnico=2,$E53*BG52,$E53/Hjor*BG52))</f>
        <v>0</v>
      </c>
      <c r="BH53" s="2">
        <f>IF(TipoProgramaPersonalTecnico=1,$E53*'a)Plantilla'!$C17*Programa!D$66,IF(TipoProgramaPersonalTecnico=2,$E53*BH52,$E53/Hjor*BH52))</f>
        <v>0</v>
      </c>
      <c r="BI53" s="2">
        <f>IF(TipoProgramaPersonalTecnico=1,$E53*'a)Plantilla'!$C17*Programa!D$67,IF(TipoProgramaPersonalTecnico=2,$E53*BI52,$E53/Hjor*BI52))</f>
        <v>0</v>
      </c>
      <c r="BJ53" s="2">
        <f>IF(TipoProgramaPersonalTecnico=1,$E53*'a)Plantilla'!$C17*Programa!D$68,IF(TipoProgramaPersonalTecnico=2,$E53*BJ52,$E53/Hjor*BJ52))</f>
        <v>0</v>
      </c>
      <c r="BK53" s="2">
        <f>IF(TipoProgramaPersonalTecnico=1,$E53*'a)Plantilla'!$C17*Programa!D$69,IF(TipoProgramaPersonalTecnico=2,$E53*BK52,$E53/Hjor*BK52))</f>
        <v>0</v>
      </c>
      <c r="BL53" s="2">
        <f>IF(TipoProgramaPersonalTecnico=1,$E53*'a)Plantilla'!$C17*Programa!D$70,IF(TipoProgramaPersonalTecnico=2,$E53*BL52,$E53/Hjor*BL52))</f>
        <v>0</v>
      </c>
      <c r="BM53" s="2">
        <f>IF(TipoProgramaPersonalTecnico=1,$E53*'a)Plantilla'!$C17*Programa!D$71,IF(TipoProgramaPersonalTecnico=2,$E53*BM52,$E53/Hjor*BM52))</f>
        <v>0</v>
      </c>
      <c r="BN53" s="12">
        <f>IF(TipoProgramaPersonalTecnico=1,$E53*'a)Plantilla'!$C17*Programa!D$72,IF(TipoProgramaPersonalTecnico=2,$E53*BN52,$E53/Hjor*BN52))</f>
        <v>0</v>
      </c>
    </row>
    <row r="54" spans="1:66" ht="7.5" customHeight="1">
      <c r="A54" s="67"/>
      <c r="B54" s="19"/>
      <c r="C54" s="127"/>
      <c r="D54" s="54"/>
      <c r="E54" s="19"/>
      <c r="F54" s="19"/>
      <c r="G54" s="1" t="s">
        <v>168</v>
      </c>
      <c r="H54" s="1" t="s">
        <v>168</v>
      </c>
      <c r="I54" s="1" t="s">
        <v>168</v>
      </c>
      <c r="J54" s="1" t="s">
        <v>168</v>
      </c>
      <c r="K54" s="1" t="s">
        <v>168</v>
      </c>
      <c r="L54" s="1" t="s">
        <v>168</v>
      </c>
      <c r="M54" s="1" t="s">
        <v>168</v>
      </c>
      <c r="N54" s="1" t="s">
        <v>168</v>
      </c>
      <c r="O54" s="1" t="s">
        <v>168</v>
      </c>
      <c r="P54" s="1" t="s">
        <v>168</v>
      </c>
      <c r="Q54" s="1" t="s">
        <v>168</v>
      </c>
      <c r="R54" s="8" t="s">
        <v>168</v>
      </c>
      <c r="S54" s="13" t="s">
        <v>168</v>
      </c>
      <c r="T54" s="1" t="s">
        <v>168</v>
      </c>
      <c r="U54" s="1" t="s">
        <v>168</v>
      </c>
      <c r="V54" s="1" t="s">
        <v>168</v>
      </c>
      <c r="W54" s="1" t="s">
        <v>168</v>
      </c>
      <c r="X54" s="1" t="s">
        <v>168</v>
      </c>
      <c r="Y54" s="1" t="s">
        <v>168</v>
      </c>
      <c r="Z54" s="1" t="s">
        <v>168</v>
      </c>
      <c r="AA54" s="1" t="s">
        <v>168</v>
      </c>
      <c r="AB54" s="1" t="s">
        <v>168</v>
      </c>
      <c r="AC54" s="1" t="s">
        <v>168</v>
      </c>
      <c r="AD54" s="8" t="s">
        <v>168</v>
      </c>
      <c r="AE54" s="13" t="s">
        <v>168</v>
      </c>
      <c r="AF54" s="1" t="s">
        <v>168</v>
      </c>
      <c r="AG54" s="1" t="s">
        <v>168</v>
      </c>
      <c r="AH54" s="1" t="s">
        <v>168</v>
      </c>
      <c r="AI54" s="1" t="s">
        <v>168</v>
      </c>
      <c r="AJ54" s="1" t="s">
        <v>168</v>
      </c>
      <c r="AK54" s="1" t="s">
        <v>168</v>
      </c>
      <c r="AL54" s="1" t="s">
        <v>168</v>
      </c>
      <c r="AM54" s="1" t="s">
        <v>168</v>
      </c>
      <c r="AN54" s="1" t="s">
        <v>168</v>
      </c>
      <c r="AO54" s="1" t="s">
        <v>168</v>
      </c>
      <c r="AP54" s="8" t="s">
        <v>168</v>
      </c>
      <c r="AQ54" s="13" t="s">
        <v>168</v>
      </c>
      <c r="AR54" s="1" t="s">
        <v>168</v>
      </c>
      <c r="AS54" s="1" t="s">
        <v>168</v>
      </c>
      <c r="AT54" s="1" t="s">
        <v>168</v>
      </c>
      <c r="AU54" s="1" t="s">
        <v>168</v>
      </c>
      <c r="AV54" s="1" t="s">
        <v>168</v>
      </c>
      <c r="AW54" s="1" t="s">
        <v>168</v>
      </c>
      <c r="AX54" s="1" t="s">
        <v>168</v>
      </c>
      <c r="AY54" s="1" t="s">
        <v>168</v>
      </c>
      <c r="AZ54" s="1" t="s">
        <v>168</v>
      </c>
      <c r="BA54" s="1" t="s">
        <v>168</v>
      </c>
      <c r="BB54" s="8" t="s">
        <v>168</v>
      </c>
      <c r="BC54" s="13" t="s">
        <v>168</v>
      </c>
      <c r="BD54" s="1" t="s">
        <v>168</v>
      </c>
      <c r="BE54" s="1" t="s">
        <v>168</v>
      </c>
      <c r="BF54" s="1" t="s">
        <v>168</v>
      </c>
      <c r="BG54" s="1" t="s">
        <v>168</v>
      </c>
      <c r="BH54" s="1" t="s">
        <v>168</v>
      </c>
      <c r="BI54" s="1" t="s">
        <v>168</v>
      </c>
      <c r="BJ54" s="1" t="s">
        <v>168</v>
      </c>
      <c r="BK54" s="1" t="s">
        <v>168</v>
      </c>
      <c r="BL54" s="1" t="s">
        <v>168</v>
      </c>
      <c r="BM54" s="1" t="s">
        <v>168</v>
      </c>
      <c r="BN54" s="8" t="s">
        <v>168</v>
      </c>
    </row>
    <row r="55" spans="1:66">
      <c r="A55" s="67"/>
      <c r="B55" s="46"/>
      <c r="C55" s="127"/>
      <c r="D55" s="52"/>
      <c r="E55" s="59"/>
      <c r="F55" s="59"/>
      <c r="G55" s="3">
        <f>'d)Pers.Técnico'!E43</f>
        <v>0</v>
      </c>
      <c r="H55" s="3">
        <f>'d)Pers.Técnico'!F43</f>
        <v>0</v>
      </c>
      <c r="I55" s="3">
        <f>'d)Pers.Técnico'!G43</f>
        <v>0</v>
      </c>
      <c r="J55" s="3">
        <f>'d)Pers.Técnico'!H43</f>
        <v>0</v>
      </c>
      <c r="K55" s="3">
        <f>'d)Pers.Técnico'!I43</f>
        <v>0</v>
      </c>
      <c r="L55" s="3">
        <f>'d)Pers.Técnico'!J43</f>
        <v>0</v>
      </c>
      <c r="M55" s="3">
        <f>'d)Pers.Técnico'!K43</f>
        <v>0</v>
      </c>
      <c r="N55" s="3">
        <f>'d)Pers.Técnico'!L43</f>
        <v>0</v>
      </c>
      <c r="O55" s="3">
        <f>'d)Pers.Técnico'!M43</f>
        <v>0</v>
      </c>
      <c r="P55" s="3">
        <f>'d)Pers.Técnico'!N43</f>
        <v>0</v>
      </c>
      <c r="Q55" s="3">
        <f>'d)Pers.Técnico'!O43</f>
        <v>0</v>
      </c>
      <c r="R55" s="14">
        <f>'d)Pers.Técnico'!P43</f>
        <v>0</v>
      </c>
      <c r="S55" s="20">
        <f>'d)Pers.Técnico'!Q43</f>
        <v>0</v>
      </c>
      <c r="T55" s="3">
        <f>'d)Pers.Técnico'!R43</f>
        <v>0</v>
      </c>
      <c r="U55" s="3">
        <f>'d)Pers.Técnico'!S43</f>
        <v>0</v>
      </c>
      <c r="V55" s="3">
        <f>'d)Pers.Técnico'!T43</f>
        <v>0</v>
      </c>
      <c r="W55" s="3">
        <f>'d)Pers.Técnico'!U43</f>
        <v>0</v>
      </c>
      <c r="X55" s="3">
        <f>'d)Pers.Técnico'!V43</f>
        <v>0</v>
      </c>
      <c r="Y55" s="3">
        <f>'d)Pers.Técnico'!W43</f>
        <v>0</v>
      </c>
      <c r="Z55" s="3">
        <f>'d)Pers.Técnico'!X43</f>
        <v>0</v>
      </c>
      <c r="AA55" s="3">
        <f>'d)Pers.Técnico'!Y43</f>
        <v>0</v>
      </c>
      <c r="AB55" s="3">
        <f>'d)Pers.Técnico'!Z43</f>
        <v>0</v>
      </c>
      <c r="AC55" s="3">
        <f>'d)Pers.Técnico'!AA43</f>
        <v>0</v>
      </c>
      <c r="AD55" s="14">
        <f>'d)Pers.Técnico'!AB43</f>
        <v>0</v>
      </c>
      <c r="AE55" s="20">
        <f>'d)Pers.Técnico'!AC43</f>
        <v>0</v>
      </c>
      <c r="AF55" s="3">
        <f>'d)Pers.Técnico'!AD43</f>
        <v>0</v>
      </c>
      <c r="AG55" s="3">
        <f>'d)Pers.Técnico'!AE43</f>
        <v>0</v>
      </c>
      <c r="AH55" s="3">
        <f>'d)Pers.Técnico'!AF43</f>
        <v>0</v>
      </c>
      <c r="AI55" s="3">
        <f>'d)Pers.Técnico'!AG43</f>
        <v>0</v>
      </c>
      <c r="AJ55" s="3">
        <f>'d)Pers.Técnico'!AH43</f>
        <v>0</v>
      </c>
      <c r="AK55" s="3">
        <f>'d)Pers.Técnico'!AI43</f>
        <v>0</v>
      </c>
      <c r="AL55" s="3">
        <f>'d)Pers.Técnico'!AJ43</f>
        <v>0</v>
      </c>
      <c r="AM55" s="3">
        <f>'d)Pers.Técnico'!AK43</f>
        <v>0</v>
      </c>
      <c r="AN55" s="3">
        <f>'d)Pers.Técnico'!AL43</f>
        <v>0</v>
      </c>
      <c r="AO55" s="3">
        <f>'d)Pers.Técnico'!AM43</f>
        <v>0</v>
      </c>
      <c r="AP55" s="14">
        <f>'d)Pers.Técnico'!AN43</f>
        <v>0</v>
      </c>
      <c r="AQ55" s="20">
        <f>'d)Pers.Técnico'!AO43</f>
        <v>0</v>
      </c>
      <c r="AR55" s="3">
        <f>'d)Pers.Técnico'!AP43</f>
        <v>0</v>
      </c>
      <c r="AS55" s="3">
        <f>'d)Pers.Técnico'!AQ43</f>
        <v>0</v>
      </c>
      <c r="AT55" s="3">
        <f>'d)Pers.Técnico'!AR43</f>
        <v>0</v>
      </c>
      <c r="AU55" s="3">
        <f>'d)Pers.Técnico'!AS43</f>
        <v>0</v>
      </c>
      <c r="AV55" s="3">
        <f>'d)Pers.Técnico'!AT43</f>
        <v>0</v>
      </c>
      <c r="AW55" s="3">
        <f>'d)Pers.Técnico'!AU43</f>
        <v>0</v>
      </c>
      <c r="AX55" s="3">
        <f>'d)Pers.Técnico'!AV43</f>
        <v>0</v>
      </c>
      <c r="AY55" s="3">
        <f>'d)Pers.Técnico'!AW43</f>
        <v>0</v>
      </c>
      <c r="AZ55" s="3">
        <f>'d)Pers.Técnico'!AX43</f>
        <v>0</v>
      </c>
      <c r="BA55" s="1">
        <f>'d)Pers.Técnico'!AY43</f>
        <v>0</v>
      </c>
      <c r="BB55" s="60">
        <f>'d)Pers.Técnico'!AZ43</f>
        <v>0</v>
      </c>
      <c r="BC55" s="61">
        <f>'d)Pers.Técnico'!BA43</f>
        <v>0</v>
      </c>
      <c r="BD55" s="3">
        <f>'d)Pers.Técnico'!BB43</f>
        <v>0</v>
      </c>
      <c r="BE55" s="3">
        <f>'d)Pers.Técnico'!BC43</f>
        <v>0</v>
      </c>
      <c r="BF55" s="3">
        <f>'d)Pers.Técnico'!BD43</f>
        <v>0</v>
      </c>
      <c r="BG55" s="3">
        <f>'d)Pers.Técnico'!BE43</f>
        <v>0</v>
      </c>
      <c r="BH55" s="3">
        <f>'d)Pers.Técnico'!BF43</f>
        <v>0</v>
      </c>
      <c r="BI55" s="3">
        <f>'d)Pers.Técnico'!BG43</f>
        <v>0</v>
      </c>
      <c r="BJ55" s="3">
        <f>'d)Pers.Técnico'!BH43</f>
        <v>0</v>
      </c>
      <c r="BK55" s="3">
        <f>'d)Pers.Técnico'!BI43</f>
        <v>0</v>
      </c>
      <c r="BL55" s="3">
        <f>'d)Pers.Técnico'!BJ43</f>
        <v>0</v>
      </c>
      <c r="BM55" s="3">
        <f>'d)Pers.Técnico'!BK43</f>
        <v>0</v>
      </c>
      <c r="BN55" s="14">
        <f>'d)Pers.Técnico'!BL43</f>
        <v>0</v>
      </c>
    </row>
    <row r="56" spans="1:66">
      <c r="A56" s="67"/>
      <c r="B56" s="46" t="str">
        <f>+'d)Pers.Técnico'!B43</f>
        <v/>
      </c>
      <c r="C56" s="127" t="str">
        <f>'d)Pers.Técnico'!C43</f>
        <v/>
      </c>
      <c r="D56" s="52">
        <f>SUM(G55:BN55)</f>
        <v>0</v>
      </c>
      <c r="E56" s="7">
        <f>IF('a)Plantilla'!C18&gt;0,'a)Plantilla'!D18/30,0)</f>
        <v>0</v>
      </c>
      <c r="F56" s="7">
        <f>SUM(G56:BN56)</f>
        <v>0</v>
      </c>
      <c r="G56" s="2">
        <f>IF(TipoProgramaPersonalTecnico=1,$E56*'a)Plantilla'!$C18*Programa!D$13,IF(TipoProgramaPersonalTecnico=2,$E56*G55,$E56/Hjor*G55))</f>
        <v>0</v>
      </c>
      <c r="H56" s="2">
        <f>IF(TipoProgramaPersonalTecnico=1,$E56*'a)Plantilla'!$C18*Programa!D$14,IF(TipoProgramaPersonalTecnico=2,$E56*H55,$E56/Hjor*H55))</f>
        <v>0</v>
      </c>
      <c r="I56" s="2">
        <f>IF(TipoProgramaPersonalTecnico=1,$E56*'a)Plantilla'!$C18*Programa!D$15,IF(TipoProgramaPersonalTecnico=2,$E56*I55,$E56/Hjor*I55))</f>
        <v>0</v>
      </c>
      <c r="J56" s="2">
        <f>IF(TipoProgramaPersonalTecnico=1,$E56*'a)Plantilla'!$C18*Programa!D$16,IF(TipoProgramaPersonalTecnico=2,$E56*J55,$E56/Hjor*J55))</f>
        <v>0</v>
      </c>
      <c r="K56" s="2">
        <f>IF(TipoProgramaPersonalTecnico=1,$E56*'a)Plantilla'!$C18*Programa!D$17,IF(TipoProgramaPersonalTecnico=2,$E56*K55,$E56/Hjor*K55))</f>
        <v>0</v>
      </c>
      <c r="L56" s="2">
        <f>IF(TipoProgramaPersonalTecnico=1,$E56*'a)Plantilla'!$C18*Programa!D$18,IF(TipoProgramaPersonalTecnico=2,$E56*L55,$E56/Hjor*L55))</f>
        <v>0</v>
      </c>
      <c r="M56" s="2">
        <f>IF(TipoProgramaPersonalTecnico=1,$E56*'a)Plantilla'!$C18*Programa!D$19,IF(TipoProgramaPersonalTecnico=2,$E56*M55,$E56/Hjor*M55))</f>
        <v>0</v>
      </c>
      <c r="N56" s="2">
        <f>IF(TipoProgramaPersonalTecnico=1,$E56*'a)Plantilla'!$C18*Programa!D$20,IF(TipoProgramaPersonalTecnico=2,$E56*N55,$E56/Hjor*N55))</f>
        <v>0</v>
      </c>
      <c r="O56" s="2">
        <f>IF(TipoProgramaPersonalTecnico=1,$E56*'a)Plantilla'!$C18*Programa!D$21,IF(TipoProgramaPersonalTecnico=2,$E56*O55,$E56/Hjor*O55))</f>
        <v>0</v>
      </c>
      <c r="P56" s="2">
        <f>IF(TipoProgramaPersonalTecnico=1,$E56*'a)Plantilla'!$C18*Programa!D$22,IF(TipoProgramaPersonalTecnico=2,$E56*P55,$E56/Hjor*P55))</f>
        <v>0</v>
      </c>
      <c r="Q56" s="2">
        <f>IF(TipoProgramaPersonalTecnico=1,$E56*'a)Plantilla'!$C18*Programa!D$23,IF(TipoProgramaPersonalTecnico=2,$E56*Q55,$E56/Hjor*Q55))</f>
        <v>0</v>
      </c>
      <c r="R56" s="12">
        <f>IF(TipoProgramaPersonalTecnico=1,$E56*'a)Plantilla'!$C18*Programa!D$24,IF(TipoProgramaPersonalTecnico=2,$E56*R55,$E56/Hjor*R55))</f>
        <v>0</v>
      </c>
      <c r="S56" s="7">
        <f>IF(TipoProgramaPersonalTecnico=1,$E56*'a)Plantilla'!$C18*Programa!D$25,IF(TipoProgramaPersonalTecnico=2,$E56*S55,$E56/Hjor*S55))</f>
        <v>0</v>
      </c>
      <c r="T56" s="2">
        <f>IF(TipoProgramaPersonalTecnico=1,$E56*'a)Plantilla'!$C18*Programa!D$26,IF(TipoProgramaPersonalTecnico=2,$E56*T55,$E56/Hjor*T55))</f>
        <v>0</v>
      </c>
      <c r="U56" s="2">
        <f>IF(TipoProgramaPersonalTecnico=1,$E56*'a)Plantilla'!$C18*Programa!D$27,IF(TipoProgramaPersonalTecnico=2,$E56*U55,$E56/Hjor*U55))</f>
        <v>0</v>
      </c>
      <c r="V56" s="2">
        <f>IF(TipoProgramaPersonalTecnico=1,$E56*'a)Plantilla'!$C18*Programa!D$28,IF(TipoProgramaPersonalTecnico=2,$E56*V55,$E56/Hjor*V55))</f>
        <v>0</v>
      </c>
      <c r="W56" s="2">
        <f>IF(TipoProgramaPersonalTecnico=1,$E56*'a)Plantilla'!$C18*Programa!D$29,IF(TipoProgramaPersonalTecnico=2,$E56*W55,$E56/Hjor*W55))</f>
        <v>0</v>
      </c>
      <c r="X56" s="2">
        <f>IF(TipoProgramaPersonalTecnico=1,$E56*'a)Plantilla'!$C18*Programa!D$30,IF(TipoProgramaPersonalTecnico=2,$E56*X55,$E56/Hjor*X55))</f>
        <v>0</v>
      </c>
      <c r="Y56" s="2">
        <f>IF(TipoProgramaPersonalTecnico=1,$E56*'a)Plantilla'!$C18*Programa!D$31,IF(TipoProgramaPersonalTecnico=2,$E56*Y55,$E56/Hjor*Y55))</f>
        <v>0</v>
      </c>
      <c r="Z56" s="2">
        <f>IF(TipoProgramaPersonalTecnico=1,$E56*'a)Plantilla'!$C18*Programa!D$32,IF(TipoProgramaPersonalTecnico=2,$E56*Z55,$E56/Hjor*Z55))</f>
        <v>0</v>
      </c>
      <c r="AA56" s="2">
        <f>IF(TipoProgramaPersonalTecnico=1,$E56*'a)Plantilla'!$C18*Programa!D$33,IF(TipoProgramaPersonalTecnico=2,$E56*AA55,$E56/Hjor*AA55))</f>
        <v>0</v>
      </c>
      <c r="AB56" s="2">
        <f>IF(TipoProgramaPersonalTecnico=1,$E56*'a)Plantilla'!$C18*Programa!D$34,IF(TipoProgramaPersonalTecnico=2,$E56*AB55,$E56/Hjor*AB55))</f>
        <v>0</v>
      </c>
      <c r="AC56" s="2">
        <f>IF(TipoProgramaPersonalTecnico=1,$E56*'a)Plantilla'!$C18*Programa!D$35,IF(TipoProgramaPersonalTecnico=2,$E56*AC55,$E56/Hjor*AC55))</f>
        <v>0</v>
      </c>
      <c r="AD56" s="12">
        <f>IF(TipoProgramaPersonalTecnico=1,$E56*'a)Plantilla'!$C18*Programa!D$36,IF(TipoProgramaPersonalTecnico=2,$E56*AD55,$E56/Hjor*AD55))</f>
        <v>0</v>
      </c>
      <c r="AE56" s="7">
        <f>IF(TipoProgramaPersonalTecnico=1,$E56*'a)Plantilla'!$C18*Programa!D$37,IF(TipoProgramaPersonalTecnico=2,$E56*AE55,$E56/Hjor*AE55))</f>
        <v>0</v>
      </c>
      <c r="AF56" s="2">
        <f>IF(TipoProgramaPersonalTecnico=1,$E56*'a)Plantilla'!$C18*Programa!D$38,IF(TipoProgramaPersonalTecnico=2,$E56*AF55,$E56/Hjor*AF55))</f>
        <v>0</v>
      </c>
      <c r="AG56" s="2">
        <f>IF(TipoProgramaPersonalTecnico=1,$E56*'a)Plantilla'!$C18*Programa!D$39,IF(TipoProgramaPersonalTecnico=2,$E56*AG55,$E56/Hjor*AG55))</f>
        <v>0</v>
      </c>
      <c r="AH56" s="2">
        <f>IF(TipoProgramaPersonalTecnico=1,$E56*'a)Plantilla'!$C18*Programa!D$40,IF(TipoProgramaPersonalTecnico=2,$E56*AH55,$E56/Hjor*AH55))</f>
        <v>0</v>
      </c>
      <c r="AI56" s="2">
        <f>IF(TipoProgramaPersonalTecnico=1,$E56*'a)Plantilla'!$C18*Programa!D$41,IF(TipoProgramaPersonalTecnico=2,$E56*AI55,$E56/Hjor*AI55))</f>
        <v>0</v>
      </c>
      <c r="AJ56" s="2">
        <f>IF(TipoProgramaPersonalTecnico=1,$E56*'a)Plantilla'!$C18*Programa!D$42,IF(TipoProgramaPersonalTecnico=2,$E56*AJ55,$E56/Hjor*AJ55))</f>
        <v>0</v>
      </c>
      <c r="AK56" s="2">
        <f>IF(TipoProgramaPersonalTecnico=1,$E56*'a)Plantilla'!$C18*Programa!D$43,IF(TipoProgramaPersonalTecnico=2,$E56*AK55,$E56/Hjor*AK55))</f>
        <v>0</v>
      </c>
      <c r="AL56" s="2">
        <f>IF(TipoProgramaPersonalTecnico=1,$E56*'a)Plantilla'!$C18*Programa!D$44,IF(TipoProgramaPersonalTecnico=2,$E56*AL55,$E56/Hjor*AL55))</f>
        <v>0</v>
      </c>
      <c r="AM56" s="2">
        <f>IF(TipoProgramaPersonalTecnico=1,$E56*'a)Plantilla'!$C18*Programa!D$45,IF(TipoProgramaPersonalTecnico=2,$E56*AM55,$E56/Hjor*AM55))</f>
        <v>0</v>
      </c>
      <c r="AN56" s="2">
        <f>IF(TipoProgramaPersonalTecnico=1,$E56*'a)Plantilla'!$C18*Programa!D$46,IF(TipoProgramaPersonalTecnico=2,$E56*AN55,$E56/Hjor*AN55))</f>
        <v>0</v>
      </c>
      <c r="AO56" s="2">
        <f>IF(TipoProgramaPersonalTecnico=1,$E56*'a)Plantilla'!$C18*Programa!D$47,IF(TipoProgramaPersonalTecnico=2,$E56*AO55,$E56/Hjor*AO55))</f>
        <v>0</v>
      </c>
      <c r="AP56" s="12">
        <f>IF(TipoProgramaPersonalTecnico=1,$E56*'a)Plantilla'!$C18*Programa!D$48,IF(TipoProgramaPersonalTecnico=2,$E56*AP55,$E56/Hjor*AP55))</f>
        <v>0</v>
      </c>
      <c r="AQ56" s="7">
        <f>IF(TipoProgramaPersonalTecnico=1,$E56*'a)Plantilla'!$C18*Programa!D$49,IF(TipoProgramaPersonalTecnico=2,$E56*AQ55,$E56/Hjor*AQ55))</f>
        <v>0</v>
      </c>
      <c r="AR56" s="2">
        <f>IF(TipoProgramaPersonalTecnico=1,$E56*'a)Plantilla'!$C18*Programa!D$50,IF(TipoProgramaPersonalTecnico=2,$E56*AR55,$E56/Hjor*AR55))</f>
        <v>0</v>
      </c>
      <c r="AS56" s="2">
        <f>IF(TipoProgramaPersonalTecnico=1,$E56*'a)Plantilla'!$C18*Programa!D$51,IF(TipoProgramaPersonalTecnico=2,$E56*AS55,$E56/Hjor*AS55))</f>
        <v>0</v>
      </c>
      <c r="AT56" s="2">
        <f>IF(TipoProgramaPersonalTecnico=1,$E56*'a)Plantilla'!$C18*Programa!D$52,IF(TipoProgramaPersonalTecnico=2,$E56*AT55,$E56/Hjor*AT55))</f>
        <v>0</v>
      </c>
      <c r="AU56" s="2">
        <f>IF(TipoProgramaPersonalTecnico=1,$E56*'a)Plantilla'!$C18*Programa!D$53,IF(TipoProgramaPersonalTecnico=2,$E56*AU55,$E56/Hjor*AU55))</f>
        <v>0</v>
      </c>
      <c r="AV56" s="2">
        <f>IF(TipoProgramaPersonalTecnico=1,$E56*'a)Plantilla'!$C18*Programa!D$54,IF(TipoProgramaPersonalTecnico=2,$E56*AV55,$E56/Hjor*AV55))</f>
        <v>0</v>
      </c>
      <c r="AW56" s="2">
        <f>IF(TipoProgramaPersonalTecnico=1,$E56*'a)Plantilla'!$C18*Programa!D$55,IF(TipoProgramaPersonalTecnico=2,$E56*AW55,$E56/Hjor*AW55))</f>
        <v>0</v>
      </c>
      <c r="AX56" s="2">
        <f>IF(TipoProgramaPersonalTecnico=1,$E56*'a)Plantilla'!$C18*Programa!D$56,IF(TipoProgramaPersonalTecnico=2,$E56*AX55,$E56/Hjor*AX55))</f>
        <v>0</v>
      </c>
      <c r="AY56" s="2">
        <f>IF(TipoProgramaPersonalTecnico=1,$E56*'a)Plantilla'!$C18*Programa!D$57,IF(TipoProgramaPersonalTecnico=2,$E56*AY55,$E56/Hjor*AY55))</f>
        <v>0</v>
      </c>
      <c r="AZ56" s="2">
        <f>IF(TipoProgramaPersonalTecnico=1,$E56*'a)Plantilla'!$C18*Programa!D$58,IF(TipoProgramaPersonalTecnico=2,$E56*AZ55,$E56/Hjor*AZ55))</f>
        <v>0</v>
      </c>
      <c r="BA56" s="55">
        <f>IF(TipoProgramaPersonalTecnico=1,$E56*'a)Plantilla'!$C18*Programa!D$59,IF(TipoProgramaPersonalTecnico=2,$E56*BA55,$E56/Hjor*BA55))</f>
        <v>0</v>
      </c>
      <c r="BB56" s="56">
        <f>IF(TipoProgramaPersonalTecnico=1,$E56*'a)Plantilla'!$C18*Programa!D$60,IF(TipoProgramaPersonalTecnico=2,$E56*BB55,$E56/Hjor*BB55))</f>
        <v>0</v>
      </c>
      <c r="BC56" s="53">
        <f>IF(TipoProgramaPersonalTecnico=1,$E56*'a)Plantilla'!$C18*Programa!D$61,IF(TipoProgramaPersonalTecnico=2,$E56*BC55,$E56/Hjor*BC55))</f>
        <v>0</v>
      </c>
      <c r="BD56" s="2">
        <f>IF(TipoProgramaPersonalTecnico=1,$E56*'a)Plantilla'!$C18*Programa!D$62,IF(TipoProgramaPersonalTecnico=2,$E56*BD55,$E56/Hjor*BD55))</f>
        <v>0</v>
      </c>
      <c r="BE56" s="2">
        <f>IF(TipoProgramaPersonalTecnico=1,$E56*'a)Plantilla'!$C18*Programa!D$63,IF(TipoProgramaPersonalTecnico=2,$E56*BE55,$E56/Hjor*BE55))</f>
        <v>0</v>
      </c>
      <c r="BF56" s="2">
        <f>IF(TipoProgramaPersonalTecnico=1,$E56*'a)Plantilla'!$C18*Programa!D$64,IF(TipoProgramaPersonalTecnico=2,$E56*BF55,$E56/Hjor*BF55))</f>
        <v>0</v>
      </c>
      <c r="BG56" s="2">
        <f>IF(TipoProgramaPersonalTecnico=1,$E56*'a)Plantilla'!$C18*Programa!D$65,IF(TipoProgramaPersonalTecnico=2,$E56*BG55,$E56/Hjor*BG55))</f>
        <v>0</v>
      </c>
      <c r="BH56" s="2">
        <f>IF(TipoProgramaPersonalTecnico=1,$E56*'a)Plantilla'!$C18*Programa!D$66,IF(TipoProgramaPersonalTecnico=2,$E56*BH55,$E56/Hjor*BH55))</f>
        <v>0</v>
      </c>
      <c r="BI56" s="2">
        <f>IF(TipoProgramaPersonalTecnico=1,$E56*'a)Plantilla'!$C18*Programa!D$67,IF(TipoProgramaPersonalTecnico=2,$E56*BI55,$E56/Hjor*BI55))</f>
        <v>0</v>
      </c>
      <c r="BJ56" s="2">
        <f>IF(TipoProgramaPersonalTecnico=1,$E56*'a)Plantilla'!$C18*Programa!D$68,IF(TipoProgramaPersonalTecnico=2,$E56*BJ55,$E56/Hjor*BJ55))</f>
        <v>0</v>
      </c>
      <c r="BK56" s="2">
        <f>IF(TipoProgramaPersonalTecnico=1,$E56*'a)Plantilla'!$C18*Programa!D$69,IF(TipoProgramaPersonalTecnico=2,$E56*BK55,$E56/Hjor*BK55))</f>
        <v>0</v>
      </c>
      <c r="BL56" s="2">
        <f>IF(TipoProgramaPersonalTecnico=1,$E56*'a)Plantilla'!$C18*Programa!D$70,IF(TipoProgramaPersonalTecnico=2,$E56*BL55,$E56/Hjor*BL55))</f>
        <v>0</v>
      </c>
      <c r="BM56" s="2">
        <f>IF(TipoProgramaPersonalTecnico=1,$E56*'a)Plantilla'!$C18*Programa!D$71,IF(TipoProgramaPersonalTecnico=2,$E56*BM55,$E56/Hjor*BM55))</f>
        <v>0</v>
      </c>
      <c r="BN56" s="12">
        <f>IF(TipoProgramaPersonalTecnico=1,$E56*'a)Plantilla'!$C18*Programa!D$72,IF(TipoProgramaPersonalTecnico=2,$E56*BN55,$E56/Hjor*BN55))</f>
        <v>0</v>
      </c>
    </row>
    <row r="57" spans="1:66" ht="7.5" customHeight="1">
      <c r="A57" s="67"/>
      <c r="B57" s="19"/>
      <c r="C57" s="127"/>
      <c r="D57" s="54"/>
      <c r="E57" s="19"/>
      <c r="F57" s="19"/>
      <c r="G57" s="1" t="s">
        <v>168</v>
      </c>
      <c r="H57" s="1" t="s">
        <v>168</v>
      </c>
      <c r="I57" s="1" t="s">
        <v>168</v>
      </c>
      <c r="J57" s="1" t="s">
        <v>168</v>
      </c>
      <c r="K57" s="1" t="s">
        <v>168</v>
      </c>
      <c r="L57" s="1" t="s">
        <v>168</v>
      </c>
      <c r="M57" s="1" t="s">
        <v>168</v>
      </c>
      <c r="N57" s="1" t="s">
        <v>168</v>
      </c>
      <c r="O57" s="1" t="s">
        <v>168</v>
      </c>
      <c r="P57" s="1" t="s">
        <v>168</v>
      </c>
      <c r="Q57" s="1" t="s">
        <v>168</v>
      </c>
      <c r="R57" s="8" t="s">
        <v>168</v>
      </c>
      <c r="S57" s="13" t="s">
        <v>168</v>
      </c>
      <c r="T57" s="1" t="s">
        <v>168</v>
      </c>
      <c r="U57" s="1" t="s">
        <v>168</v>
      </c>
      <c r="V57" s="1" t="s">
        <v>168</v>
      </c>
      <c r="W57" s="1" t="s">
        <v>168</v>
      </c>
      <c r="X57" s="1" t="s">
        <v>168</v>
      </c>
      <c r="Y57" s="1" t="s">
        <v>168</v>
      </c>
      <c r="Z57" s="1" t="s">
        <v>168</v>
      </c>
      <c r="AA57" s="1" t="s">
        <v>168</v>
      </c>
      <c r="AB57" s="1" t="s">
        <v>168</v>
      </c>
      <c r="AC57" s="1" t="s">
        <v>168</v>
      </c>
      <c r="AD57" s="8" t="s">
        <v>168</v>
      </c>
      <c r="AE57" s="13" t="s">
        <v>168</v>
      </c>
      <c r="AF57" s="1" t="s">
        <v>168</v>
      </c>
      <c r="AG57" s="1" t="s">
        <v>168</v>
      </c>
      <c r="AH57" s="1" t="s">
        <v>168</v>
      </c>
      <c r="AI57" s="1" t="s">
        <v>168</v>
      </c>
      <c r="AJ57" s="1" t="s">
        <v>168</v>
      </c>
      <c r="AK57" s="1" t="s">
        <v>168</v>
      </c>
      <c r="AL57" s="1" t="s">
        <v>168</v>
      </c>
      <c r="AM57" s="1" t="s">
        <v>168</v>
      </c>
      <c r="AN57" s="1" t="s">
        <v>168</v>
      </c>
      <c r="AO57" s="1" t="s">
        <v>168</v>
      </c>
      <c r="AP57" s="8" t="s">
        <v>168</v>
      </c>
      <c r="AQ57" s="13" t="s">
        <v>168</v>
      </c>
      <c r="AR57" s="1" t="s">
        <v>168</v>
      </c>
      <c r="AS57" s="1" t="s">
        <v>168</v>
      </c>
      <c r="AT57" s="1" t="s">
        <v>168</v>
      </c>
      <c r="AU57" s="1" t="s">
        <v>168</v>
      </c>
      <c r="AV57" s="1" t="s">
        <v>168</v>
      </c>
      <c r="AW57" s="1" t="s">
        <v>168</v>
      </c>
      <c r="AX57" s="1" t="s">
        <v>168</v>
      </c>
      <c r="AY57" s="1" t="s">
        <v>168</v>
      </c>
      <c r="AZ57" s="1" t="s">
        <v>168</v>
      </c>
      <c r="BA57" s="1" t="s">
        <v>168</v>
      </c>
      <c r="BB57" s="8" t="s">
        <v>168</v>
      </c>
      <c r="BC57" s="13" t="s">
        <v>168</v>
      </c>
      <c r="BD57" s="1" t="s">
        <v>168</v>
      </c>
      <c r="BE57" s="1" t="s">
        <v>168</v>
      </c>
      <c r="BF57" s="1" t="s">
        <v>168</v>
      </c>
      <c r="BG57" s="1" t="s">
        <v>168</v>
      </c>
      <c r="BH57" s="1" t="s">
        <v>168</v>
      </c>
      <c r="BI57" s="1" t="s">
        <v>168</v>
      </c>
      <c r="BJ57" s="1" t="s">
        <v>168</v>
      </c>
      <c r="BK57" s="1" t="s">
        <v>168</v>
      </c>
      <c r="BL57" s="1" t="s">
        <v>168</v>
      </c>
      <c r="BM57" s="1" t="s">
        <v>168</v>
      </c>
      <c r="BN57" s="8" t="s">
        <v>168</v>
      </c>
    </row>
    <row r="58" spans="1:66">
      <c r="A58" s="67"/>
      <c r="B58" s="46"/>
      <c r="C58" s="127"/>
      <c r="D58" s="52"/>
      <c r="E58" s="59"/>
      <c r="F58" s="59"/>
      <c r="G58" s="3">
        <f>'d)Pers.Técnico'!E45</f>
        <v>0</v>
      </c>
      <c r="H58" s="3">
        <f>'d)Pers.Técnico'!F45</f>
        <v>0</v>
      </c>
      <c r="I58" s="3">
        <f>'d)Pers.Técnico'!G45</f>
        <v>0</v>
      </c>
      <c r="J58" s="3">
        <f>'d)Pers.Técnico'!H45</f>
        <v>0</v>
      </c>
      <c r="K58" s="3">
        <f>'d)Pers.Técnico'!I45</f>
        <v>0</v>
      </c>
      <c r="L58" s="3">
        <f>'d)Pers.Técnico'!J45</f>
        <v>0</v>
      </c>
      <c r="M58" s="3">
        <f>'d)Pers.Técnico'!K45</f>
        <v>0</v>
      </c>
      <c r="N58" s="3">
        <f>'d)Pers.Técnico'!L45</f>
        <v>0</v>
      </c>
      <c r="O58" s="3">
        <f>'d)Pers.Técnico'!M45</f>
        <v>0</v>
      </c>
      <c r="P58" s="3">
        <f>'d)Pers.Técnico'!N45</f>
        <v>0</v>
      </c>
      <c r="Q58" s="3">
        <f>'d)Pers.Técnico'!O45</f>
        <v>0</v>
      </c>
      <c r="R58" s="14">
        <f>'d)Pers.Técnico'!P45</f>
        <v>0</v>
      </c>
      <c r="S58" s="20">
        <f>'d)Pers.Técnico'!Q45</f>
        <v>0</v>
      </c>
      <c r="T58" s="3">
        <f>'d)Pers.Técnico'!R45</f>
        <v>0</v>
      </c>
      <c r="U58" s="3">
        <f>'d)Pers.Técnico'!S45</f>
        <v>0</v>
      </c>
      <c r="V58" s="3">
        <f>'d)Pers.Técnico'!T45</f>
        <v>0</v>
      </c>
      <c r="W58" s="3">
        <f>'d)Pers.Técnico'!U45</f>
        <v>0</v>
      </c>
      <c r="X58" s="3">
        <f>'d)Pers.Técnico'!V45</f>
        <v>0</v>
      </c>
      <c r="Y58" s="3">
        <f>'d)Pers.Técnico'!W45</f>
        <v>0</v>
      </c>
      <c r="Z58" s="3">
        <f>'d)Pers.Técnico'!X45</f>
        <v>0</v>
      </c>
      <c r="AA58" s="3">
        <f>'d)Pers.Técnico'!Y45</f>
        <v>0</v>
      </c>
      <c r="AB58" s="3">
        <f>'d)Pers.Técnico'!Z45</f>
        <v>0</v>
      </c>
      <c r="AC58" s="3">
        <f>'d)Pers.Técnico'!AA45</f>
        <v>0</v>
      </c>
      <c r="AD58" s="14">
        <f>'d)Pers.Técnico'!AB45</f>
        <v>0</v>
      </c>
      <c r="AE58" s="20">
        <f>'d)Pers.Técnico'!AC45</f>
        <v>0</v>
      </c>
      <c r="AF58" s="3">
        <f>'d)Pers.Técnico'!AD45</f>
        <v>0</v>
      </c>
      <c r="AG58" s="3">
        <f>'d)Pers.Técnico'!AE45</f>
        <v>0</v>
      </c>
      <c r="AH58" s="3">
        <f>'d)Pers.Técnico'!AF45</f>
        <v>0</v>
      </c>
      <c r="AI58" s="3">
        <f>'d)Pers.Técnico'!AG45</f>
        <v>0</v>
      </c>
      <c r="AJ58" s="3">
        <f>'d)Pers.Técnico'!AH45</f>
        <v>0</v>
      </c>
      <c r="AK58" s="3">
        <f>'d)Pers.Técnico'!AI45</f>
        <v>0</v>
      </c>
      <c r="AL58" s="3">
        <f>'d)Pers.Técnico'!AJ45</f>
        <v>0</v>
      </c>
      <c r="AM58" s="3">
        <f>'d)Pers.Técnico'!AK45</f>
        <v>0</v>
      </c>
      <c r="AN58" s="3">
        <f>'d)Pers.Técnico'!AL45</f>
        <v>0</v>
      </c>
      <c r="AO58" s="3">
        <f>'d)Pers.Técnico'!AM45</f>
        <v>0</v>
      </c>
      <c r="AP58" s="14">
        <f>'d)Pers.Técnico'!AN45</f>
        <v>0</v>
      </c>
      <c r="AQ58" s="20">
        <f>'d)Pers.Técnico'!AO45</f>
        <v>0</v>
      </c>
      <c r="AR58" s="3">
        <f>'d)Pers.Técnico'!AP45</f>
        <v>0</v>
      </c>
      <c r="AS58" s="3">
        <f>'d)Pers.Técnico'!AQ45</f>
        <v>0</v>
      </c>
      <c r="AT58" s="3">
        <f>'d)Pers.Técnico'!AR45</f>
        <v>0</v>
      </c>
      <c r="AU58" s="3">
        <f>'d)Pers.Técnico'!AS45</f>
        <v>0</v>
      </c>
      <c r="AV58" s="3">
        <f>'d)Pers.Técnico'!AT45</f>
        <v>0</v>
      </c>
      <c r="AW58" s="3">
        <f>'d)Pers.Técnico'!AU45</f>
        <v>0</v>
      </c>
      <c r="AX58" s="3">
        <f>'d)Pers.Técnico'!AV45</f>
        <v>0</v>
      </c>
      <c r="AY58" s="3">
        <f>'d)Pers.Técnico'!AW45</f>
        <v>0</v>
      </c>
      <c r="AZ58" s="3">
        <f>'d)Pers.Técnico'!AX45</f>
        <v>0</v>
      </c>
      <c r="BA58" s="1">
        <f>'d)Pers.Técnico'!AY45</f>
        <v>0</v>
      </c>
      <c r="BB58" s="60">
        <f>'d)Pers.Técnico'!AZ45</f>
        <v>0</v>
      </c>
      <c r="BC58" s="61">
        <f>'d)Pers.Técnico'!BA45</f>
        <v>0</v>
      </c>
      <c r="BD58" s="3">
        <f>'d)Pers.Técnico'!BB45</f>
        <v>0</v>
      </c>
      <c r="BE58" s="3">
        <f>'d)Pers.Técnico'!BC45</f>
        <v>0</v>
      </c>
      <c r="BF58" s="3">
        <f>'d)Pers.Técnico'!BD45</f>
        <v>0</v>
      </c>
      <c r="BG58" s="3">
        <f>'d)Pers.Técnico'!BE45</f>
        <v>0</v>
      </c>
      <c r="BH58" s="3">
        <f>'d)Pers.Técnico'!BF45</f>
        <v>0</v>
      </c>
      <c r="BI58" s="3">
        <f>'d)Pers.Técnico'!BG45</f>
        <v>0</v>
      </c>
      <c r="BJ58" s="3">
        <f>'d)Pers.Técnico'!BH45</f>
        <v>0</v>
      </c>
      <c r="BK58" s="3">
        <f>'d)Pers.Técnico'!BI45</f>
        <v>0</v>
      </c>
      <c r="BL58" s="3">
        <f>'d)Pers.Técnico'!BJ45</f>
        <v>0</v>
      </c>
      <c r="BM58" s="3">
        <f>'d)Pers.Técnico'!BK45</f>
        <v>0</v>
      </c>
      <c r="BN58" s="14">
        <f>'d)Pers.Técnico'!BL45</f>
        <v>0</v>
      </c>
    </row>
    <row r="59" spans="1:66">
      <c r="A59" s="67"/>
      <c r="B59" s="46" t="str">
        <f>+'d)Pers.Técnico'!B45</f>
        <v/>
      </c>
      <c r="C59" s="127" t="str">
        <f>'d)Pers.Técnico'!C45</f>
        <v/>
      </c>
      <c r="D59" s="52">
        <f>SUM(G58:BN58)</f>
        <v>0</v>
      </c>
      <c r="E59" s="7">
        <f>IF('a)Plantilla'!C19&gt;0,'a)Plantilla'!D19/30,0)</f>
        <v>0</v>
      </c>
      <c r="F59" s="7">
        <f>SUM(G59:BN59)</f>
        <v>0</v>
      </c>
      <c r="G59" s="2">
        <f>IF(TipoProgramaPersonalTecnico=1,$E59*'a)Plantilla'!$C19*Programa!D$13,IF(TipoProgramaPersonalTecnico=2,$E59*G58,$E59/Hjor*G58))</f>
        <v>0</v>
      </c>
      <c r="H59" s="2">
        <f>IF(TipoProgramaPersonalTecnico=1,$E59*'a)Plantilla'!$C19*Programa!D$14,IF(TipoProgramaPersonalTecnico=2,$E59*H58,$E59/Hjor*H58))</f>
        <v>0</v>
      </c>
      <c r="I59" s="2">
        <f>IF(TipoProgramaPersonalTecnico=1,$E59*'a)Plantilla'!$C19*Programa!D$15,IF(TipoProgramaPersonalTecnico=2,$E59*I58,$E59/Hjor*I58))</f>
        <v>0</v>
      </c>
      <c r="J59" s="2">
        <f>IF(TipoProgramaPersonalTecnico=1,$E59*'a)Plantilla'!$C19*Programa!D$16,IF(TipoProgramaPersonalTecnico=2,$E59*J58,$E59/Hjor*J58))</f>
        <v>0</v>
      </c>
      <c r="K59" s="2">
        <f>IF(TipoProgramaPersonalTecnico=1,$E59*'a)Plantilla'!$C19*Programa!D$17,IF(TipoProgramaPersonalTecnico=2,$E59*K58,$E59/Hjor*K58))</f>
        <v>0</v>
      </c>
      <c r="L59" s="2">
        <f>IF(TipoProgramaPersonalTecnico=1,$E59*'a)Plantilla'!$C19*Programa!D$18,IF(TipoProgramaPersonalTecnico=2,$E59*L58,$E59/Hjor*L58))</f>
        <v>0</v>
      </c>
      <c r="M59" s="2">
        <f>IF(TipoProgramaPersonalTecnico=1,$E59*'a)Plantilla'!$C19*Programa!D$19,IF(TipoProgramaPersonalTecnico=2,$E59*M58,$E59/Hjor*M58))</f>
        <v>0</v>
      </c>
      <c r="N59" s="2">
        <f>IF(TipoProgramaPersonalTecnico=1,$E59*'a)Plantilla'!$C19*Programa!D$20,IF(TipoProgramaPersonalTecnico=2,$E59*N58,$E59/Hjor*N58))</f>
        <v>0</v>
      </c>
      <c r="O59" s="2">
        <f>IF(TipoProgramaPersonalTecnico=1,$E59*'a)Plantilla'!$C19*Programa!D$21,IF(TipoProgramaPersonalTecnico=2,$E59*O58,$E59/Hjor*O58))</f>
        <v>0</v>
      </c>
      <c r="P59" s="2">
        <f>IF(TipoProgramaPersonalTecnico=1,$E59*'a)Plantilla'!$C19*Programa!D$22,IF(TipoProgramaPersonalTecnico=2,$E59*P58,$E59/Hjor*P58))</f>
        <v>0</v>
      </c>
      <c r="Q59" s="2">
        <f>IF(TipoProgramaPersonalTecnico=1,$E59*'a)Plantilla'!$C19*Programa!D$23,IF(TipoProgramaPersonalTecnico=2,$E59*Q58,$E59/Hjor*Q58))</f>
        <v>0</v>
      </c>
      <c r="R59" s="12">
        <f>IF(TipoProgramaPersonalTecnico=1,$E59*'a)Plantilla'!$C19*Programa!D$24,IF(TipoProgramaPersonalTecnico=2,$E59*R58,$E59/Hjor*R58))</f>
        <v>0</v>
      </c>
      <c r="S59" s="7">
        <f>IF(TipoProgramaPersonalTecnico=1,$E59*'a)Plantilla'!$C19*Programa!D$25,IF(TipoProgramaPersonalTecnico=2,$E59*S58,$E59/Hjor*S58))</f>
        <v>0</v>
      </c>
      <c r="T59" s="2">
        <f>IF(TipoProgramaPersonalTecnico=1,$E59*'a)Plantilla'!$C19*Programa!D$26,IF(TipoProgramaPersonalTecnico=2,$E59*T58,$E59/Hjor*T58))</f>
        <v>0</v>
      </c>
      <c r="U59" s="2">
        <f>IF(TipoProgramaPersonalTecnico=1,$E59*'a)Plantilla'!$C19*Programa!D$27,IF(TipoProgramaPersonalTecnico=2,$E59*U58,$E59/Hjor*U58))</f>
        <v>0</v>
      </c>
      <c r="V59" s="2">
        <f>IF(TipoProgramaPersonalTecnico=1,$E59*'a)Plantilla'!$C19*Programa!D$28,IF(TipoProgramaPersonalTecnico=2,$E59*V58,$E59/Hjor*V58))</f>
        <v>0</v>
      </c>
      <c r="W59" s="2">
        <f>IF(TipoProgramaPersonalTecnico=1,$E59*'a)Plantilla'!$C19*Programa!D$29,IF(TipoProgramaPersonalTecnico=2,$E59*W58,$E59/Hjor*W58))</f>
        <v>0</v>
      </c>
      <c r="X59" s="2">
        <f>IF(TipoProgramaPersonalTecnico=1,$E59*'a)Plantilla'!$C19*Programa!D$30,IF(TipoProgramaPersonalTecnico=2,$E59*X58,$E59/Hjor*X58))</f>
        <v>0</v>
      </c>
      <c r="Y59" s="2">
        <f>IF(TipoProgramaPersonalTecnico=1,$E59*'a)Plantilla'!$C19*Programa!D$31,IF(TipoProgramaPersonalTecnico=2,$E59*Y58,$E59/Hjor*Y58))</f>
        <v>0</v>
      </c>
      <c r="Z59" s="2">
        <f>IF(TipoProgramaPersonalTecnico=1,$E59*'a)Plantilla'!$C19*Programa!D$32,IF(TipoProgramaPersonalTecnico=2,$E59*Z58,$E59/Hjor*Z58))</f>
        <v>0</v>
      </c>
      <c r="AA59" s="2">
        <f>IF(TipoProgramaPersonalTecnico=1,$E59*'a)Plantilla'!$C19*Programa!D$33,IF(TipoProgramaPersonalTecnico=2,$E59*AA58,$E59/Hjor*AA58))</f>
        <v>0</v>
      </c>
      <c r="AB59" s="2">
        <f>IF(TipoProgramaPersonalTecnico=1,$E59*'a)Plantilla'!$C19*Programa!D$34,IF(TipoProgramaPersonalTecnico=2,$E59*AB58,$E59/Hjor*AB58))</f>
        <v>0</v>
      </c>
      <c r="AC59" s="2">
        <f>IF(TipoProgramaPersonalTecnico=1,$E59*'a)Plantilla'!$C19*Programa!D$35,IF(TipoProgramaPersonalTecnico=2,$E59*AC58,$E59/Hjor*AC58))</f>
        <v>0</v>
      </c>
      <c r="AD59" s="12">
        <f>IF(TipoProgramaPersonalTecnico=1,$E59*'a)Plantilla'!$C19*Programa!D$36,IF(TipoProgramaPersonalTecnico=2,$E59*AD58,$E59/Hjor*AD58))</f>
        <v>0</v>
      </c>
      <c r="AE59" s="7">
        <f>IF(TipoProgramaPersonalTecnico=1,$E59*'a)Plantilla'!$C19*Programa!D$37,IF(TipoProgramaPersonalTecnico=2,$E59*AE58,$E59/Hjor*AE58))</f>
        <v>0</v>
      </c>
      <c r="AF59" s="2">
        <f>IF(TipoProgramaPersonalTecnico=1,$E59*'a)Plantilla'!$C19*Programa!D$38,IF(TipoProgramaPersonalTecnico=2,$E59*AF58,$E59/Hjor*AF58))</f>
        <v>0</v>
      </c>
      <c r="AG59" s="2">
        <f>IF(TipoProgramaPersonalTecnico=1,$E59*'a)Plantilla'!$C19*Programa!D$39,IF(TipoProgramaPersonalTecnico=2,$E59*AG58,$E59/Hjor*AG58))</f>
        <v>0</v>
      </c>
      <c r="AH59" s="2">
        <f>IF(TipoProgramaPersonalTecnico=1,$E59*'a)Plantilla'!$C19*Programa!D$40,IF(TipoProgramaPersonalTecnico=2,$E59*AH58,$E59/Hjor*AH58))</f>
        <v>0</v>
      </c>
      <c r="AI59" s="2">
        <f>IF(TipoProgramaPersonalTecnico=1,$E59*'a)Plantilla'!$C19*Programa!D$41,IF(TipoProgramaPersonalTecnico=2,$E59*AI58,$E59/Hjor*AI58))</f>
        <v>0</v>
      </c>
      <c r="AJ59" s="2">
        <f>IF(TipoProgramaPersonalTecnico=1,$E59*'a)Plantilla'!$C19*Programa!D$42,IF(TipoProgramaPersonalTecnico=2,$E59*AJ58,$E59/Hjor*AJ58))</f>
        <v>0</v>
      </c>
      <c r="AK59" s="2">
        <f>IF(TipoProgramaPersonalTecnico=1,$E59*'a)Plantilla'!$C19*Programa!D$43,IF(TipoProgramaPersonalTecnico=2,$E59*AK58,$E59/Hjor*AK58))</f>
        <v>0</v>
      </c>
      <c r="AL59" s="2">
        <f>IF(TipoProgramaPersonalTecnico=1,$E59*'a)Plantilla'!$C19*Programa!D$44,IF(TipoProgramaPersonalTecnico=2,$E59*AL58,$E59/Hjor*AL58))</f>
        <v>0</v>
      </c>
      <c r="AM59" s="2">
        <f>IF(TipoProgramaPersonalTecnico=1,$E59*'a)Plantilla'!$C19*Programa!D$45,IF(TipoProgramaPersonalTecnico=2,$E59*AM58,$E59/Hjor*AM58))</f>
        <v>0</v>
      </c>
      <c r="AN59" s="2">
        <f>IF(TipoProgramaPersonalTecnico=1,$E59*'a)Plantilla'!$C19*Programa!D$46,IF(TipoProgramaPersonalTecnico=2,$E59*AN58,$E59/Hjor*AN58))</f>
        <v>0</v>
      </c>
      <c r="AO59" s="2">
        <f>IF(TipoProgramaPersonalTecnico=1,$E59*'a)Plantilla'!$C19*Programa!D$47,IF(TipoProgramaPersonalTecnico=2,$E59*AO58,$E59/Hjor*AO58))</f>
        <v>0</v>
      </c>
      <c r="AP59" s="12">
        <f>IF(TipoProgramaPersonalTecnico=1,$E59*'a)Plantilla'!$C19*Programa!D$48,IF(TipoProgramaPersonalTecnico=2,$E59*AP58,$E59/Hjor*AP58))</f>
        <v>0</v>
      </c>
      <c r="AQ59" s="7">
        <f>IF(TipoProgramaPersonalTecnico=1,$E59*'a)Plantilla'!$C19*Programa!D$49,IF(TipoProgramaPersonalTecnico=2,$E59*AQ58,$E59/Hjor*AQ58))</f>
        <v>0</v>
      </c>
      <c r="AR59" s="2">
        <f>IF(TipoProgramaPersonalTecnico=1,$E59*'a)Plantilla'!$C19*Programa!D$50,IF(TipoProgramaPersonalTecnico=2,$E59*AR58,$E59/Hjor*AR58))</f>
        <v>0</v>
      </c>
      <c r="AS59" s="2">
        <f>IF(TipoProgramaPersonalTecnico=1,$E59*'a)Plantilla'!$C19*Programa!D$51,IF(TipoProgramaPersonalTecnico=2,$E59*AS58,$E59/Hjor*AS58))</f>
        <v>0</v>
      </c>
      <c r="AT59" s="2">
        <f>IF(TipoProgramaPersonalTecnico=1,$E59*'a)Plantilla'!$C19*Programa!D$52,IF(TipoProgramaPersonalTecnico=2,$E59*AT58,$E59/Hjor*AT58))</f>
        <v>0</v>
      </c>
      <c r="AU59" s="2">
        <f>IF(TipoProgramaPersonalTecnico=1,$E59*'a)Plantilla'!$C19*Programa!D$53,IF(TipoProgramaPersonalTecnico=2,$E59*AU58,$E59/Hjor*AU58))</f>
        <v>0</v>
      </c>
      <c r="AV59" s="2">
        <f>IF(TipoProgramaPersonalTecnico=1,$E59*'a)Plantilla'!$C19*Programa!D$54,IF(TipoProgramaPersonalTecnico=2,$E59*AV58,$E59/Hjor*AV58))</f>
        <v>0</v>
      </c>
      <c r="AW59" s="2">
        <f>IF(TipoProgramaPersonalTecnico=1,$E59*'a)Plantilla'!$C19*Programa!D$55,IF(TipoProgramaPersonalTecnico=2,$E59*AW58,$E59/Hjor*AW58))</f>
        <v>0</v>
      </c>
      <c r="AX59" s="2">
        <f>IF(TipoProgramaPersonalTecnico=1,$E59*'a)Plantilla'!$C19*Programa!D$56,IF(TipoProgramaPersonalTecnico=2,$E59*AX58,$E59/Hjor*AX58))</f>
        <v>0</v>
      </c>
      <c r="AY59" s="2">
        <f>IF(TipoProgramaPersonalTecnico=1,$E59*'a)Plantilla'!$C19*Programa!D$57,IF(TipoProgramaPersonalTecnico=2,$E59*AY58,$E59/Hjor*AY58))</f>
        <v>0</v>
      </c>
      <c r="AZ59" s="2">
        <f>IF(TipoProgramaPersonalTecnico=1,$E59*'a)Plantilla'!$C19*Programa!D$58,IF(TipoProgramaPersonalTecnico=2,$E59*AZ58,$E59/Hjor*AZ58))</f>
        <v>0</v>
      </c>
      <c r="BA59" s="55">
        <f>IF(TipoProgramaPersonalTecnico=1,$E59*'a)Plantilla'!$C19*Programa!D$59,IF(TipoProgramaPersonalTecnico=2,$E59*BA58,$E59/Hjor*BA58))</f>
        <v>0</v>
      </c>
      <c r="BB59" s="56">
        <f>IF(TipoProgramaPersonalTecnico=1,$E59*'a)Plantilla'!$C19*Programa!D$60,IF(TipoProgramaPersonalTecnico=2,$E59*BB58,$E59/Hjor*BB58))</f>
        <v>0</v>
      </c>
      <c r="BC59" s="53">
        <f>IF(TipoProgramaPersonalTecnico=1,$E59*'a)Plantilla'!$C19*Programa!D$61,IF(TipoProgramaPersonalTecnico=2,$E59*BC58,$E59/Hjor*BC58))</f>
        <v>0</v>
      </c>
      <c r="BD59" s="2">
        <f>IF(TipoProgramaPersonalTecnico=1,$E59*'a)Plantilla'!$C19*Programa!D$62,IF(TipoProgramaPersonalTecnico=2,$E59*BD58,$E59/Hjor*BD58))</f>
        <v>0</v>
      </c>
      <c r="BE59" s="2">
        <f>IF(TipoProgramaPersonalTecnico=1,$E59*'a)Plantilla'!$C19*Programa!D$63,IF(TipoProgramaPersonalTecnico=2,$E59*BE58,$E59/Hjor*BE58))</f>
        <v>0</v>
      </c>
      <c r="BF59" s="2">
        <f>IF(TipoProgramaPersonalTecnico=1,$E59*'a)Plantilla'!$C19*Programa!D$64,IF(TipoProgramaPersonalTecnico=2,$E59*BF58,$E59/Hjor*BF58))</f>
        <v>0</v>
      </c>
      <c r="BG59" s="2">
        <f>IF(TipoProgramaPersonalTecnico=1,$E59*'a)Plantilla'!$C19*Programa!D$65,IF(TipoProgramaPersonalTecnico=2,$E59*BG58,$E59/Hjor*BG58))</f>
        <v>0</v>
      </c>
      <c r="BH59" s="2">
        <f>IF(TipoProgramaPersonalTecnico=1,$E59*'a)Plantilla'!$C19*Programa!D$66,IF(TipoProgramaPersonalTecnico=2,$E59*BH58,$E59/Hjor*BH58))</f>
        <v>0</v>
      </c>
      <c r="BI59" s="2">
        <f>IF(TipoProgramaPersonalTecnico=1,$E59*'a)Plantilla'!$C19*Programa!D$67,IF(TipoProgramaPersonalTecnico=2,$E59*BI58,$E59/Hjor*BI58))</f>
        <v>0</v>
      </c>
      <c r="BJ59" s="2">
        <f>IF(TipoProgramaPersonalTecnico=1,$E59*'a)Plantilla'!$C19*Programa!D$68,IF(TipoProgramaPersonalTecnico=2,$E59*BJ58,$E59/Hjor*BJ58))</f>
        <v>0</v>
      </c>
      <c r="BK59" s="2">
        <f>IF(TipoProgramaPersonalTecnico=1,$E59*'a)Plantilla'!$C19*Programa!D$69,IF(TipoProgramaPersonalTecnico=2,$E59*BK58,$E59/Hjor*BK58))</f>
        <v>0</v>
      </c>
      <c r="BL59" s="2">
        <f>IF(TipoProgramaPersonalTecnico=1,$E59*'a)Plantilla'!$C19*Programa!D$70,IF(TipoProgramaPersonalTecnico=2,$E59*BL58,$E59/Hjor*BL58))</f>
        <v>0</v>
      </c>
      <c r="BM59" s="2">
        <f>IF(TipoProgramaPersonalTecnico=1,$E59*'a)Plantilla'!$C19*Programa!D$71,IF(TipoProgramaPersonalTecnico=2,$E59*BM58,$E59/Hjor*BM58))</f>
        <v>0</v>
      </c>
      <c r="BN59" s="12">
        <f>IF(TipoProgramaPersonalTecnico=1,$E59*'a)Plantilla'!$C19*Programa!D$72,IF(TipoProgramaPersonalTecnico=2,$E59*BN58,$E59/Hjor*BN58))</f>
        <v>0</v>
      </c>
    </row>
    <row r="60" spans="1:66" ht="7.5" customHeight="1">
      <c r="A60" s="67"/>
      <c r="B60" s="19"/>
      <c r="C60" s="127"/>
      <c r="D60" s="54"/>
      <c r="E60" s="19"/>
      <c r="F60" s="19"/>
      <c r="G60" s="1" t="s">
        <v>168</v>
      </c>
      <c r="H60" s="1" t="s">
        <v>168</v>
      </c>
      <c r="I60" s="1" t="s">
        <v>168</v>
      </c>
      <c r="J60" s="1" t="s">
        <v>168</v>
      </c>
      <c r="K60" s="1" t="s">
        <v>168</v>
      </c>
      <c r="L60" s="1" t="s">
        <v>168</v>
      </c>
      <c r="M60" s="1" t="s">
        <v>168</v>
      </c>
      <c r="N60" s="1" t="s">
        <v>168</v>
      </c>
      <c r="O60" s="1" t="s">
        <v>168</v>
      </c>
      <c r="P60" s="1" t="s">
        <v>168</v>
      </c>
      <c r="Q60" s="1" t="s">
        <v>168</v>
      </c>
      <c r="R60" s="8" t="s">
        <v>168</v>
      </c>
      <c r="S60" s="13" t="s">
        <v>168</v>
      </c>
      <c r="T60" s="1" t="s">
        <v>168</v>
      </c>
      <c r="U60" s="1" t="s">
        <v>168</v>
      </c>
      <c r="V60" s="1" t="s">
        <v>168</v>
      </c>
      <c r="W60" s="1" t="s">
        <v>168</v>
      </c>
      <c r="X60" s="1" t="s">
        <v>168</v>
      </c>
      <c r="Y60" s="1" t="s">
        <v>168</v>
      </c>
      <c r="Z60" s="1" t="s">
        <v>168</v>
      </c>
      <c r="AA60" s="1" t="s">
        <v>168</v>
      </c>
      <c r="AB60" s="1" t="s">
        <v>168</v>
      </c>
      <c r="AC60" s="1" t="s">
        <v>168</v>
      </c>
      <c r="AD60" s="8" t="s">
        <v>168</v>
      </c>
      <c r="AE60" s="13" t="s">
        <v>168</v>
      </c>
      <c r="AF60" s="1" t="s">
        <v>168</v>
      </c>
      <c r="AG60" s="1" t="s">
        <v>168</v>
      </c>
      <c r="AH60" s="1" t="s">
        <v>168</v>
      </c>
      <c r="AI60" s="1" t="s">
        <v>168</v>
      </c>
      <c r="AJ60" s="1" t="s">
        <v>168</v>
      </c>
      <c r="AK60" s="1" t="s">
        <v>168</v>
      </c>
      <c r="AL60" s="1" t="s">
        <v>168</v>
      </c>
      <c r="AM60" s="1" t="s">
        <v>168</v>
      </c>
      <c r="AN60" s="1" t="s">
        <v>168</v>
      </c>
      <c r="AO60" s="1" t="s">
        <v>168</v>
      </c>
      <c r="AP60" s="8" t="s">
        <v>168</v>
      </c>
      <c r="AQ60" s="13" t="s">
        <v>168</v>
      </c>
      <c r="AR60" s="1" t="s">
        <v>168</v>
      </c>
      <c r="AS60" s="1" t="s">
        <v>168</v>
      </c>
      <c r="AT60" s="1" t="s">
        <v>168</v>
      </c>
      <c r="AU60" s="1" t="s">
        <v>168</v>
      </c>
      <c r="AV60" s="1" t="s">
        <v>168</v>
      </c>
      <c r="AW60" s="1" t="s">
        <v>168</v>
      </c>
      <c r="AX60" s="1" t="s">
        <v>168</v>
      </c>
      <c r="AY60" s="1" t="s">
        <v>168</v>
      </c>
      <c r="AZ60" s="1" t="s">
        <v>168</v>
      </c>
      <c r="BA60" s="1" t="s">
        <v>168</v>
      </c>
      <c r="BB60" s="8" t="s">
        <v>168</v>
      </c>
      <c r="BC60" s="13" t="s">
        <v>168</v>
      </c>
      <c r="BD60" s="1" t="s">
        <v>168</v>
      </c>
      <c r="BE60" s="1" t="s">
        <v>168</v>
      </c>
      <c r="BF60" s="1" t="s">
        <v>168</v>
      </c>
      <c r="BG60" s="1" t="s">
        <v>168</v>
      </c>
      <c r="BH60" s="1" t="s">
        <v>168</v>
      </c>
      <c r="BI60" s="1" t="s">
        <v>168</v>
      </c>
      <c r="BJ60" s="1" t="s">
        <v>168</v>
      </c>
      <c r="BK60" s="1" t="s">
        <v>168</v>
      </c>
      <c r="BL60" s="1" t="s">
        <v>168</v>
      </c>
      <c r="BM60" s="1" t="s">
        <v>168</v>
      </c>
      <c r="BN60" s="8" t="s">
        <v>168</v>
      </c>
    </row>
    <row r="61" spans="1:66">
      <c r="A61" s="67"/>
      <c r="B61" s="46"/>
      <c r="C61" s="127"/>
      <c r="D61" s="52"/>
      <c r="E61" s="59"/>
      <c r="F61" s="59"/>
      <c r="G61" s="3">
        <f>'d)Pers.Técnico'!E47</f>
        <v>0</v>
      </c>
      <c r="H61" s="3">
        <f>'d)Pers.Técnico'!F47</f>
        <v>0</v>
      </c>
      <c r="I61" s="3">
        <f>'d)Pers.Técnico'!G47</f>
        <v>0</v>
      </c>
      <c r="J61" s="3">
        <f>'d)Pers.Técnico'!H47</f>
        <v>0</v>
      </c>
      <c r="K61" s="3">
        <f>'d)Pers.Técnico'!I47</f>
        <v>0</v>
      </c>
      <c r="L61" s="3">
        <f>'d)Pers.Técnico'!J47</f>
        <v>0</v>
      </c>
      <c r="M61" s="3">
        <f>'d)Pers.Técnico'!K47</f>
        <v>0</v>
      </c>
      <c r="N61" s="3">
        <f>'d)Pers.Técnico'!L47</f>
        <v>0</v>
      </c>
      <c r="O61" s="3">
        <f>'d)Pers.Técnico'!M47</f>
        <v>0</v>
      </c>
      <c r="P61" s="3">
        <f>'d)Pers.Técnico'!N47</f>
        <v>0</v>
      </c>
      <c r="Q61" s="3">
        <f>'d)Pers.Técnico'!O47</f>
        <v>0</v>
      </c>
      <c r="R61" s="14">
        <f>'d)Pers.Técnico'!P47</f>
        <v>0</v>
      </c>
      <c r="S61" s="20">
        <f>'d)Pers.Técnico'!Q47</f>
        <v>0</v>
      </c>
      <c r="T61" s="3">
        <f>'d)Pers.Técnico'!R47</f>
        <v>0</v>
      </c>
      <c r="U61" s="3">
        <f>'d)Pers.Técnico'!S47</f>
        <v>0</v>
      </c>
      <c r="V61" s="3">
        <f>'d)Pers.Técnico'!T47</f>
        <v>0</v>
      </c>
      <c r="W61" s="3">
        <f>'d)Pers.Técnico'!U47</f>
        <v>0</v>
      </c>
      <c r="X61" s="3">
        <f>'d)Pers.Técnico'!V47</f>
        <v>0</v>
      </c>
      <c r="Y61" s="3">
        <f>'d)Pers.Técnico'!W47</f>
        <v>0</v>
      </c>
      <c r="Z61" s="3">
        <f>'d)Pers.Técnico'!X47</f>
        <v>0</v>
      </c>
      <c r="AA61" s="3">
        <f>'d)Pers.Técnico'!Y47</f>
        <v>0</v>
      </c>
      <c r="AB61" s="3">
        <f>'d)Pers.Técnico'!Z47</f>
        <v>0</v>
      </c>
      <c r="AC61" s="3">
        <f>'d)Pers.Técnico'!AA47</f>
        <v>0</v>
      </c>
      <c r="AD61" s="14">
        <f>'d)Pers.Técnico'!AB47</f>
        <v>0</v>
      </c>
      <c r="AE61" s="20">
        <f>'d)Pers.Técnico'!AC47</f>
        <v>0</v>
      </c>
      <c r="AF61" s="3">
        <f>'d)Pers.Técnico'!AD47</f>
        <v>0</v>
      </c>
      <c r="AG61" s="3">
        <f>'d)Pers.Técnico'!AE47</f>
        <v>0</v>
      </c>
      <c r="AH61" s="3">
        <f>'d)Pers.Técnico'!AF47</f>
        <v>0</v>
      </c>
      <c r="AI61" s="3">
        <f>'d)Pers.Técnico'!AG47</f>
        <v>0</v>
      </c>
      <c r="AJ61" s="3">
        <f>'d)Pers.Técnico'!AH47</f>
        <v>0</v>
      </c>
      <c r="AK61" s="3">
        <f>'d)Pers.Técnico'!AI47</f>
        <v>0</v>
      </c>
      <c r="AL61" s="3">
        <f>'d)Pers.Técnico'!AJ47</f>
        <v>0</v>
      </c>
      <c r="AM61" s="3">
        <f>'d)Pers.Técnico'!AK47</f>
        <v>0</v>
      </c>
      <c r="AN61" s="3">
        <f>'d)Pers.Técnico'!AL47</f>
        <v>0</v>
      </c>
      <c r="AO61" s="3">
        <f>'d)Pers.Técnico'!AM47</f>
        <v>0</v>
      </c>
      <c r="AP61" s="14">
        <f>'d)Pers.Técnico'!AN47</f>
        <v>0</v>
      </c>
      <c r="AQ61" s="20">
        <f>'d)Pers.Técnico'!AO47</f>
        <v>0</v>
      </c>
      <c r="AR61" s="3">
        <f>'d)Pers.Técnico'!AP47</f>
        <v>0</v>
      </c>
      <c r="AS61" s="3">
        <f>'d)Pers.Técnico'!AQ47</f>
        <v>0</v>
      </c>
      <c r="AT61" s="3">
        <f>'d)Pers.Técnico'!AR47</f>
        <v>0</v>
      </c>
      <c r="AU61" s="3">
        <f>'d)Pers.Técnico'!AS47</f>
        <v>0</v>
      </c>
      <c r="AV61" s="3">
        <f>'d)Pers.Técnico'!AT47</f>
        <v>0</v>
      </c>
      <c r="AW61" s="3">
        <f>'d)Pers.Técnico'!AU47</f>
        <v>0</v>
      </c>
      <c r="AX61" s="3">
        <f>'d)Pers.Técnico'!AV47</f>
        <v>0</v>
      </c>
      <c r="AY61" s="3">
        <f>'d)Pers.Técnico'!AW47</f>
        <v>0</v>
      </c>
      <c r="AZ61" s="3">
        <f>'d)Pers.Técnico'!AX47</f>
        <v>0</v>
      </c>
      <c r="BA61" s="1">
        <f>'d)Pers.Técnico'!AY47</f>
        <v>0</v>
      </c>
      <c r="BB61" s="60">
        <f>'d)Pers.Técnico'!AZ47</f>
        <v>0</v>
      </c>
      <c r="BC61" s="61">
        <f>'d)Pers.Técnico'!BA47</f>
        <v>0</v>
      </c>
      <c r="BD61" s="3">
        <f>'d)Pers.Técnico'!BB47</f>
        <v>0</v>
      </c>
      <c r="BE61" s="3">
        <f>'d)Pers.Técnico'!BC47</f>
        <v>0</v>
      </c>
      <c r="BF61" s="3">
        <f>'d)Pers.Técnico'!BD47</f>
        <v>0</v>
      </c>
      <c r="BG61" s="3">
        <f>'d)Pers.Técnico'!BE47</f>
        <v>0</v>
      </c>
      <c r="BH61" s="3">
        <f>'d)Pers.Técnico'!BF47</f>
        <v>0</v>
      </c>
      <c r="BI61" s="3">
        <f>'d)Pers.Técnico'!BG47</f>
        <v>0</v>
      </c>
      <c r="BJ61" s="3">
        <f>'d)Pers.Técnico'!BH47</f>
        <v>0</v>
      </c>
      <c r="BK61" s="3">
        <f>'d)Pers.Técnico'!BI47</f>
        <v>0</v>
      </c>
      <c r="BL61" s="3">
        <f>'d)Pers.Técnico'!BJ47</f>
        <v>0</v>
      </c>
      <c r="BM61" s="3">
        <f>'d)Pers.Técnico'!BK47</f>
        <v>0</v>
      </c>
      <c r="BN61" s="14">
        <f>'d)Pers.Técnico'!BL47</f>
        <v>0</v>
      </c>
    </row>
    <row r="62" spans="1:66">
      <c r="A62" s="67"/>
      <c r="B62" s="46" t="str">
        <f>+'d)Pers.Técnico'!B47</f>
        <v/>
      </c>
      <c r="C62" s="127" t="str">
        <f>'d)Pers.Técnico'!C47</f>
        <v/>
      </c>
      <c r="D62" s="52">
        <f>SUM(G61:BN61)</f>
        <v>0</v>
      </c>
      <c r="E62" s="7">
        <f>IF('a)Plantilla'!C20&gt;0,'a)Plantilla'!D20/30,0)</f>
        <v>0</v>
      </c>
      <c r="F62" s="7">
        <f>SUM(G62:BN62)</f>
        <v>0</v>
      </c>
      <c r="G62" s="2">
        <f>IF(TipoProgramaPersonalTecnico=1,$E62*'a)Plantilla'!$C20*Programa!D$13,IF(TipoProgramaPersonalTecnico=2,$E62*G61,$E62/Hjor*G61))</f>
        <v>0</v>
      </c>
      <c r="H62" s="2">
        <f>IF(TipoProgramaPersonalTecnico=1,$E62*'a)Plantilla'!$C20*Programa!D$14,IF(TipoProgramaPersonalTecnico=2,$E62*H61,$E62/Hjor*H61))</f>
        <v>0</v>
      </c>
      <c r="I62" s="2">
        <f>IF(TipoProgramaPersonalTecnico=1,$E62*'a)Plantilla'!$C20*Programa!D$15,IF(TipoProgramaPersonalTecnico=2,$E62*I61,$E62/Hjor*I61))</f>
        <v>0</v>
      </c>
      <c r="J62" s="2">
        <f>IF(TipoProgramaPersonalTecnico=1,$E62*'a)Plantilla'!$C20*Programa!D$16,IF(TipoProgramaPersonalTecnico=2,$E62*J61,$E62/Hjor*J61))</f>
        <v>0</v>
      </c>
      <c r="K62" s="2">
        <f>IF(TipoProgramaPersonalTecnico=1,$E62*'a)Plantilla'!$C20*Programa!D$17,IF(TipoProgramaPersonalTecnico=2,$E62*K61,$E62/Hjor*K61))</f>
        <v>0</v>
      </c>
      <c r="L62" s="2">
        <f>IF(TipoProgramaPersonalTecnico=1,$E62*'a)Plantilla'!$C20*Programa!D$18,IF(TipoProgramaPersonalTecnico=2,$E62*L61,$E62/Hjor*L61))</f>
        <v>0</v>
      </c>
      <c r="M62" s="2">
        <f>IF(TipoProgramaPersonalTecnico=1,$E62*'a)Plantilla'!$C20*Programa!D$19,IF(TipoProgramaPersonalTecnico=2,$E62*M61,$E62/Hjor*M61))</f>
        <v>0</v>
      </c>
      <c r="N62" s="2">
        <f>IF(TipoProgramaPersonalTecnico=1,$E62*'a)Plantilla'!$C20*Programa!D$20,IF(TipoProgramaPersonalTecnico=2,$E62*N61,$E62/Hjor*N61))</f>
        <v>0</v>
      </c>
      <c r="O62" s="2">
        <f>IF(TipoProgramaPersonalTecnico=1,$E62*'a)Plantilla'!$C20*Programa!D$21,IF(TipoProgramaPersonalTecnico=2,$E62*O61,$E62/Hjor*O61))</f>
        <v>0</v>
      </c>
      <c r="P62" s="2">
        <f>IF(TipoProgramaPersonalTecnico=1,$E62*'a)Plantilla'!$C20*Programa!D$22,IF(TipoProgramaPersonalTecnico=2,$E62*P61,$E62/Hjor*P61))</f>
        <v>0</v>
      </c>
      <c r="Q62" s="2">
        <f>IF(TipoProgramaPersonalTecnico=1,$E62*'a)Plantilla'!$C20*Programa!D$23,IF(TipoProgramaPersonalTecnico=2,$E62*Q61,$E62/Hjor*Q61))</f>
        <v>0</v>
      </c>
      <c r="R62" s="12">
        <f>IF(TipoProgramaPersonalTecnico=1,$E62*'a)Plantilla'!$C20*Programa!D$24,IF(TipoProgramaPersonalTecnico=2,$E62*R61,$E62/Hjor*R61))</f>
        <v>0</v>
      </c>
      <c r="S62" s="7">
        <f>IF(TipoProgramaPersonalTecnico=1,$E62*'a)Plantilla'!$C20*Programa!D$25,IF(TipoProgramaPersonalTecnico=2,$E62*S61,$E62/Hjor*S61))</f>
        <v>0</v>
      </c>
      <c r="T62" s="2">
        <f>IF(TipoProgramaPersonalTecnico=1,$E62*'a)Plantilla'!$C20*Programa!D$26,IF(TipoProgramaPersonalTecnico=2,$E62*T61,$E62/Hjor*T61))</f>
        <v>0</v>
      </c>
      <c r="U62" s="2">
        <f>IF(TipoProgramaPersonalTecnico=1,$E62*'a)Plantilla'!$C20*Programa!D$27,IF(TipoProgramaPersonalTecnico=2,$E62*U61,$E62/Hjor*U61))</f>
        <v>0</v>
      </c>
      <c r="V62" s="2">
        <f>IF(TipoProgramaPersonalTecnico=1,$E62*'a)Plantilla'!$C20*Programa!D$28,IF(TipoProgramaPersonalTecnico=2,$E62*V61,$E62/Hjor*V61))</f>
        <v>0</v>
      </c>
      <c r="W62" s="2">
        <f>IF(TipoProgramaPersonalTecnico=1,$E62*'a)Plantilla'!$C20*Programa!D$29,IF(TipoProgramaPersonalTecnico=2,$E62*W61,$E62/Hjor*W61))</f>
        <v>0</v>
      </c>
      <c r="X62" s="2">
        <f>IF(TipoProgramaPersonalTecnico=1,$E62*'a)Plantilla'!$C20*Programa!D$30,IF(TipoProgramaPersonalTecnico=2,$E62*X61,$E62/Hjor*X61))</f>
        <v>0</v>
      </c>
      <c r="Y62" s="2">
        <f>IF(TipoProgramaPersonalTecnico=1,$E62*'a)Plantilla'!$C20*Programa!D$31,IF(TipoProgramaPersonalTecnico=2,$E62*Y61,$E62/Hjor*Y61))</f>
        <v>0</v>
      </c>
      <c r="Z62" s="2">
        <f>IF(TipoProgramaPersonalTecnico=1,$E62*'a)Plantilla'!$C20*Programa!D$32,IF(TipoProgramaPersonalTecnico=2,$E62*Z61,$E62/Hjor*Z61))</f>
        <v>0</v>
      </c>
      <c r="AA62" s="2">
        <f>IF(TipoProgramaPersonalTecnico=1,$E62*'a)Plantilla'!$C20*Programa!D$33,IF(TipoProgramaPersonalTecnico=2,$E62*AA61,$E62/Hjor*AA61))</f>
        <v>0</v>
      </c>
      <c r="AB62" s="2">
        <f>IF(TipoProgramaPersonalTecnico=1,$E62*'a)Plantilla'!$C20*Programa!D$34,IF(TipoProgramaPersonalTecnico=2,$E62*AB61,$E62/Hjor*AB61))</f>
        <v>0</v>
      </c>
      <c r="AC62" s="2">
        <f>IF(TipoProgramaPersonalTecnico=1,$E62*'a)Plantilla'!$C20*Programa!D$35,IF(TipoProgramaPersonalTecnico=2,$E62*AC61,$E62/Hjor*AC61))</f>
        <v>0</v>
      </c>
      <c r="AD62" s="12">
        <f>IF(TipoProgramaPersonalTecnico=1,$E62*'a)Plantilla'!$C20*Programa!D$36,IF(TipoProgramaPersonalTecnico=2,$E62*AD61,$E62/Hjor*AD61))</f>
        <v>0</v>
      </c>
      <c r="AE62" s="7">
        <f>IF(TipoProgramaPersonalTecnico=1,$E62*'a)Plantilla'!$C20*Programa!D$37,IF(TipoProgramaPersonalTecnico=2,$E62*AE61,$E62/Hjor*AE61))</f>
        <v>0</v>
      </c>
      <c r="AF62" s="2">
        <f>IF(TipoProgramaPersonalTecnico=1,$E62*'a)Plantilla'!$C20*Programa!D$38,IF(TipoProgramaPersonalTecnico=2,$E62*AF61,$E62/Hjor*AF61))</f>
        <v>0</v>
      </c>
      <c r="AG62" s="2">
        <f>IF(TipoProgramaPersonalTecnico=1,$E62*'a)Plantilla'!$C20*Programa!D$39,IF(TipoProgramaPersonalTecnico=2,$E62*AG61,$E62/Hjor*AG61))</f>
        <v>0</v>
      </c>
      <c r="AH62" s="2">
        <f>IF(TipoProgramaPersonalTecnico=1,$E62*'a)Plantilla'!$C20*Programa!D$40,IF(TipoProgramaPersonalTecnico=2,$E62*AH61,$E62/Hjor*AH61))</f>
        <v>0</v>
      </c>
      <c r="AI62" s="2">
        <f>IF(TipoProgramaPersonalTecnico=1,$E62*'a)Plantilla'!$C20*Programa!D$41,IF(TipoProgramaPersonalTecnico=2,$E62*AI61,$E62/Hjor*AI61))</f>
        <v>0</v>
      </c>
      <c r="AJ62" s="2">
        <f>IF(TipoProgramaPersonalTecnico=1,$E62*'a)Plantilla'!$C20*Programa!D$42,IF(TipoProgramaPersonalTecnico=2,$E62*AJ61,$E62/Hjor*AJ61))</f>
        <v>0</v>
      </c>
      <c r="AK62" s="2">
        <f>IF(TipoProgramaPersonalTecnico=1,$E62*'a)Plantilla'!$C20*Programa!D$43,IF(TipoProgramaPersonalTecnico=2,$E62*AK61,$E62/Hjor*AK61))</f>
        <v>0</v>
      </c>
      <c r="AL62" s="2">
        <f>IF(TipoProgramaPersonalTecnico=1,$E62*'a)Plantilla'!$C20*Programa!D$44,IF(TipoProgramaPersonalTecnico=2,$E62*AL61,$E62/Hjor*AL61))</f>
        <v>0</v>
      </c>
      <c r="AM62" s="2">
        <f>IF(TipoProgramaPersonalTecnico=1,$E62*'a)Plantilla'!$C20*Programa!D$45,IF(TipoProgramaPersonalTecnico=2,$E62*AM61,$E62/Hjor*AM61))</f>
        <v>0</v>
      </c>
      <c r="AN62" s="2">
        <f>IF(TipoProgramaPersonalTecnico=1,$E62*'a)Plantilla'!$C20*Programa!D$46,IF(TipoProgramaPersonalTecnico=2,$E62*AN61,$E62/Hjor*AN61))</f>
        <v>0</v>
      </c>
      <c r="AO62" s="2">
        <f>IF(TipoProgramaPersonalTecnico=1,$E62*'a)Plantilla'!$C20*Programa!D$47,IF(TipoProgramaPersonalTecnico=2,$E62*AO61,$E62/Hjor*AO61))</f>
        <v>0</v>
      </c>
      <c r="AP62" s="12">
        <f>IF(TipoProgramaPersonalTecnico=1,$E62*'a)Plantilla'!$C20*Programa!D$48,IF(TipoProgramaPersonalTecnico=2,$E62*AP61,$E62/Hjor*AP61))</f>
        <v>0</v>
      </c>
      <c r="AQ62" s="7">
        <f>IF(TipoProgramaPersonalTecnico=1,$E62*'a)Plantilla'!$C20*Programa!D$49,IF(TipoProgramaPersonalTecnico=2,$E62*AQ61,$E62/Hjor*AQ61))</f>
        <v>0</v>
      </c>
      <c r="AR62" s="2">
        <f>IF(TipoProgramaPersonalTecnico=1,$E62*'a)Plantilla'!$C20*Programa!D$50,IF(TipoProgramaPersonalTecnico=2,$E62*AR61,$E62/Hjor*AR61))</f>
        <v>0</v>
      </c>
      <c r="AS62" s="2">
        <f>IF(TipoProgramaPersonalTecnico=1,$E62*'a)Plantilla'!$C20*Programa!D$51,IF(TipoProgramaPersonalTecnico=2,$E62*AS61,$E62/Hjor*AS61))</f>
        <v>0</v>
      </c>
      <c r="AT62" s="2">
        <f>IF(TipoProgramaPersonalTecnico=1,$E62*'a)Plantilla'!$C20*Programa!D$52,IF(TipoProgramaPersonalTecnico=2,$E62*AT61,$E62/Hjor*AT61))</f>
        <v>0</v>
      </c>
      <c r="AU62" s="2">
        <f>IF(TipoProgramaPersonalTecnico=1,$E62*'a)Plantilla'!$C20*Programa!D$53,IF(TipoProgramaPersonalTecnico=2,$E62*AU61,$E62/Hjor*AU61))</f>
        <v>0</v>
      </c>
      <c r="AV62" s="2">
        <f>IF(TipoProgramaPersonalTecnico=1,$E62*'a)Plantilla'!$C20*Programa!D$54,IF(TipoProgramaPersonalTecnico=2,$E62*AV61,$E62/Hjor*AV61))</f>
        <v>0</v>
      </c>
      <c r="AW62" s="2">
        <f>IF(TipoProgramaPersonalTecnico=1,$E62*'a)Plantilla'!$C20*Programa!D$55,IF(TipoProgramaPersonalTecnico=2,$E62*AW61,$E62/Hjor*AW61))</f>
        <v>0</v>
      </c>
      <c r="AX62" s="2">
        <f>IF(TipoProgramaPersonalTecnico=1,$E62*'a)Plantilla'!$C20*Programa!D$56,IF(TipoProgramaPersonalTecnico=2,$E62*AX61,$E62/Hjor*AX61))</f>
        <v>0</v>
      </c>
      <c r="AY62" s="2">
        <f>IF(TipoProgramaPersonalTecnico=1,$E62*'a)Plantilla'!$C20*Programa!D$57,IF(TipoProgramaPersonalTecnico=2,$E62*AY61,$E62/Hjor*AY61))</f>
        <v>0</v>
      </c>
      <c r="AZ62" s="2">
        <f>IF(TipoProgramaPersonalTecnico=1,$E62*'a)Plantilla'!$C20*Programa!D$58,IF(TipoProgramaPersonalTecnico=2,$E62*AZ61,$E62/Hjor*AZ61))</f>
        <v>0</v>
      </c>
      <c r="BA62" s="55">
        <f>IF(TipoProgramaPersonalTecnico=1,$E62*'a)Plantilla'!$C20*Programa!D$59,IF(TipoProgramaPersonalTecnico=2,$E62*BA61,$E62/Hjor*BA61))</f>
        <v>0</v>
      </c>
      <c r="BB62" s="56">
        <f>IF(TipoProgramaPersonalTecnico=1,$E62*'a)Plantilla'!$C20*Programa!D$60,IF(TipoProgramaPersonalTecnico=2,$E62*BB61,$E62/Hjor*BB61))</f>
        <v>0</v>
      </c>
      <c r="BC62" s="53">
        <f>IF(TipoProgramaPersonalTecnico=1,$E62*'a)Plantilla'!$C20*Programa!D$61,IF(TipoProgramaPersonalTecnico=2,$E62*BC61,$E62/Hjor*BC61))</f>
        <v>0</v>
      </c>
      <c r="BD62" s="2">
        <f>IF(TipoProgramaPersonalTecnico=1,$E62*'a)Plantilla'!$C20*Programa!D$62,IF(TipoProgramaPersonalTecnico=2,$E62*BD61,$E62/Hjor*BD61))</f>
        <v>0</v>
      </c>
      <c r="BE62" s="2">
        <f>IF(TipoProgramaPersonalTecnico=1,$E62*'a)Plantilla'!$C20*Programa!D$63,IF(TipoProgramaPersonalTecnico=2,$E62*BE61,$E62/Hjor*BE61))</f>
        <v>0</v>
      </c>
      <c r="BF62" s="2">
        <f>IF(TipoProgramaPersonalTecnico=1,$E62*'a)Plantilla'!$C20*Programa!D$64,IF(TipoProgramaPersonalTecnico=2,$E62*BF61,$E62/Hjor*BF61))</f>
        <v>0</v>
      </c>
      <c r="BG62" s="2">
        <f>IF(TipoProgramaPersonalTecnico=1,$E62*'a)Plantilla'!$C20*Programa!D$65,IF(TipoProgramaPersonalTecnico=2,$E62*BG61,$E62/Hjor*BG61))</f>
        <v>0</v>
      </c>
      <c r="BH62" s="2">
        <f>IF(TipoProgramaPersonalTecnico=1,$E62*'a)Plantilla'!$C20*Programa!D$66,IF(TipoProgramaPersonalTecnico=2,$E62*BH61,$E62/Hjor*BH61))</f>
        <v>0</v>
      </c>
      <c r="BI62" s="2">
        <f>IF(TipoProgramaPersonalTecnico=1,$E62*'a)Plantilla'!$C20*Programa!D$67,IF(TipoProgramaPersonalTecnico=2,$E62*BI61,$E62/Hjor*BI61))</f>
        <v>0</v>
      </c>
      <c r="BJ62" s="2">
        <f>IF(TipoProgramaPersonalTecnico=1,$E62*'a)Plantilla'!$C20*Programa!D$68,IF(TipoProgramaPersonalTecnico=2,$E62*BJ61,$E62/Hjor*BJ61))</f>
        <v>0</v>
      </c>
      <c r="BK62" s="2">
        <f>IF(TipoProgramaPersonalTecnico=1,$E62*'a)Plantilla'!$C20*Programa!D$69,IF(TipoProgramaPersonalTecnico=2,$E62*BK61,$E62/Hjor*BK61))</f>
        <v>0</v>
      </c>
      <c r="BL62" s="2">
        <f>IF(TipoProgramaPersonalTecnico=1,$E62*'a)Plantilla'!$C20*Programa!D$70,IF(TipoProgramaPersonalTecnico=2,$E62*BL61,$E62/Hjor*BL61))</f>
        <v>0</v>
      </c>
      <c r="BM62" s="2">
        <f>IF(TipoProgramaPersonalTecnico=1,$E62*'a)Plantilla'!$C20*Programa!D$71,IF(TipoProgramaPersonalTecnico=2,$E62*BM61,$E62/Hjor*BM61))</f>
        <v>0</v>
      </c>
      <c r="BN62" s="12">
        <f>IF(TipoProgramaPersonalTecnico=1,$E62*'a)Plantilla'!$C20*Programa!D$72,IF(TipoProgramaPersonalTecnico=2,$E62*BN61,$E62/Hjor*BN61))</f>
        <v>0</v>
      </c>
    </row>
    <row r="63" spans="1:66" ht="7.5" customHeight="1">
      <c r="A63" s="67"/>
      <c r="B63" s="19"/>
      <c r="C63" s="127"/>
      <c r="D63" s="54"/>
      <c r="E63" s="19"/>
      <c r="F63" s="19"/>
      <c r="G63" s="1" t="s">
        <v>168</v>
      </c>
      <c r="H63" s="1" t="s">
        <v>168</v>
      </c>
      <c r="I63" s="1" t="s">
        <v>168</v>
      </c>
      <c r="J63" s="1" t="s">
        <v>168</v>
      </c>
      <c r="K63" s="1" t="s">
        <v>168</v>
      </c>
      <c r="L63" s="1" t="s">
        <v>168</v>
      </c>
      <c r="M63" s="1" t="s">
        <v>168</v>
      </c>
      <c r="N63" s="1" t="s">
        <v>168</v>
      </c>
      <c r="O63" s="1" t="s">
        <v>168</v>
      </c>
      <c r="P63" s="1" t="s">
        <v>168</v>
      </c>
      <c r="Q63" s="1" t="s">
        <v>168</v>
      </c>
      <c r="R63" s="8" t="s">
        <v>168</v>
      </c>
      <c r="S63" s="13" t="s">
        <v>168</v>
      </c>
      <c r="T63" s="1" t="s">
        <v>168</v>
      </c>
      <c r="U63" s="1" t="s">
        <v>168</v>
      </c>
      <c r="V63" s="1" t="s">
        <v>168</v>
      </c>
      <c r="W63" s="1" t="s">
        <v>168</v>
      </c>
      <c r="X63" s="1" t="s">
        <v>168</v>
      </c>
      <c r="Y63" s="1" t="s">
        <v>168</v>
      </c>
      <c r="Z63" s="1" t="s">
        <v>168</v>
      </c>
      <c r="AA63" s="1" t="s">
        <v>168</v>
      </c>
      <c r="AB63" s="1" t="s">
        <v>168</v>
      </c>
      <c r="AC63" s="1" t="s">
        <v>168</v>
      </c>
      <c r="AD63" s="8" t="s">
        <v>168</v>
      </c>
      <c r="AE63" s="13" t="s">
        <v>168</v>
      </c>
      <c r="AF63" s="1" t="s">
        <v>168</v>
      </c>
      <c r="AG63" s="1" t="s">
        <v>168</v>
      </c>
      <c r="AH63" s="1" t="s">
        <v>168</v>
      </c>
      <c r="AI63" s="1" t="s">
        <v>168</v>
      </c>
      <c r="AJ63" s="1" t="s">
        <v>168</v>
      </c>
      <c r="AK63" s="1" t="s">
        <v>168</v>
      </c>
      <c r="AL63" s="1" t="s">
        <v>168</v>
      </c>
      <c r="AM63" s="1" t="s">
        <v>168</v>
      </c>
      <c r="AN63" s="1" t="s">
        <v>168</v>
      </c>
      <c r="AO63" s="1" t="s">
        <v>168</v>
      </c>
      <c r="AP63" s="8" t="s">
        <v>168</v>
      </c>
      <c r="AQ63" s="13" t="s">
        <v>168</v>
      </c>
      <c r="AR63" s="1" t="s">
        <v>168</v>
      </c>
      <c r="AS63" s="1" t="s">
        <v>168</v>
      </c>
      <c r="AT63" s="1" t="s">
        <v>168</v>
      </c>
      <c r="AU63" s="1" t="s">
        <v>168</v>
      </c>
      <c r="AV63" s="1" t="s">
        <v>168</v>
      </c>
      <c r="AW63" s="1" t="s">
        <v>168</v>
      </c>
      <c r="AX63" s="1" t="s">
        <v>168</v>
      </c>
      <c r="AY63" s="1" t="s">
        <v>168</v>
      </c>
      <c r="AZ63" s="1" t="s">
        <v>168</v>
      </c>
      <c r="BA63" s="1" t="s">
        <v>168</v>
      </c>
      <c r="BB63" s="8" t="s">
        <v>168</v>
      </c>
      <c r="BC63" s="13" t="s">
        <v>168</v>
      </c>
      <c r="BD63" s="1" t="s">
        <v>168</v>
      </c>
      <c r="BE63" s="1" t="s">
        <v>168</v>
      </c>
      <c r="BF63" s="1" t="s">
        <v>168</v>
      </c>
      <c r="BG63" s="1" t="s">
        <v>168</v>
      </c>
      <c r="BH63" s="1" t="s">
        <v>168</v>
      </c>
      <c r="BI63" s="1" t="s">
        <v>168</v>
      </c>
      <c r="BJ63" s="1" t="s">
        <v>168</v>
      </c>
      <c r="BK63" s="1" t="s">
        <v>168</v>
      </c>
      <c r="BL63" s="1" t="s">
        <v>168</v>
      </c>
      <c r="BM63" s="1" t="s">
        <v>168</v>
      </c>
      <c r="BN63" s="8" t="s">
        <v>168</v>
      </c>
    </row>
    <row r="64" spans="1:66">
      <c r="A64" s="67"/>
      <c r="B64" s="46"/>
      <c r="C64" s="127"/>
      <c r="D64" s="52"/>
      <c r="E64" s="59"/>
      <c r="F64" s="59"/>
      <c r="G64" s="3">
        <f>'d)Pers.Técnico'!E49</f>
        <v>0</v>
      </c>
      <c r="H64" s="3">
        <f>'d)Pers.Técnico'!F49</f>
        <v>0</v>
      </c>
      <c r="I64" s="3">
        <f>'d)Pers.Técnico'!G49</f>
        <v>0</v>
      </c>
      <c r="J64" s="3">
        <f>'d)Pers.Técnico'!H49</f>
        <v>0</v>
      </c>
      <c r="K64" s="3">
        <f>'d)Pers.Técnico'!I49</f>
        <v>0</v>
      </c>
      <c r="L64" s="3">
        <f>'d)Pers.Técnico'!J49</f>
        <v>0</v>
      </c>
      <c r="M64" s="3">
        <f>'d)Pers.Técnico'!K49</f>
        <v>0</v>
      </c>
      <c r="N64" s="3">
        <f>'d)Pers.Técnico'!L49</f>
        <v>0</v>
      </c>
      <c r="O64" s="3">
        <f>'d)Pers.Técnico'!M49</f>
        <v>0</v>
      </c>
      <c r="P64" s="3">
        <f>'d)Pers.Técnico'!N49</f>
        <v>0</v>
      </c>
      <c r="Q64" s="3">
        <f>'d)Pers.Técnico'!O49</f>
        <v>0</v>
      </c>
      <c r="R64" s="14">
        <f>'d)Pers.Técnico'!P49</f>
        <v>0</v>
      </c>
      <c r="S64" s="20">
        <f>'d)Pers.Técnico'!Q49</f>
        <v>0</v>
      </c>
      <c r="T64" s="3">
        <f>'d)Pers.Técnico'!R49</f>
        <v>0</v>
      </c>
      <c r="U64" s="3">
        <f>'d)Pers.Técnico'!S49</f>
        <v>0</v>
      </c>
      <c r="V64" s="3">
        <f>'d)Pers.Técnico'!T49</f>
        <v>0</v>
      </c>
      <c r="W64" s="3">
        <f>'d)Pers.Técnico'!U49</f>
        <v>0</v>
      </c>
      <c r="X64" s="3">
        <f>'d)Pers.Técnico'!V49</f>
        <v>0</v>
      </c>
      <c r="Y64" s="3">
        <f>'d)Pers.Técnico'!W49</f>
        <v>0</v>
      </c>
      <c r="Z64" s="3">
        <f>'d)Pers.Técnico'!X49</f>
        <v>0</v>
      </c>
      <c r="AA64" s="3">
        <f>'d)Pers.Técnico'!Y49</f>
        <v>0</v>
      </c>
      <c r="AB64" s="3">
        <f>'d)Pers.Técnico'!Z49</f>
        <v>0</v>
      </c>
      <c r="AC64" s="3">
        <f>'d)Pers.Técnico'!AA49</f>
        <v>0</v>
      </c>
      <c r="AD64" s="14">
        <f>'d)Pers.Técnico'!AB49</f>
        <v>0</v>
      </c>
      <c r="AE64" s="20">
        <f>'d)Pers.Técnico'!AC49</f>
        <v>0</v>
      </c>
      <c r="AF64" s="3">
        <f>'d)Pers.Técnico'!AD49</f>
        <v>0</v>
      </c>
      <c r="AG64" s="3">
        <f>'d)Pers.Técnico'!AE49</f>
        <v>0</v>
      </c>
      <c r="AH64" s="3">
        <f>'d)Pers.Técnico'!AF49</f>
        <v>0</v>
      </c>
      <c r="AI64" s="3">
        <f>'d)Pers.Técnico'!AG49</f>
        <v>0</v>
      </c>
      <c r="AJ64" s="3">
        <f>'d)Pers.Técnico'!AH49</f>
        <v>0</v>
      </c>
      <c r="AK64" s="3">
        <f>'d)Pers.Técnico'!AI49</f>
        <v>0</v>
      </c>
      <c r="AL64" s="3">
        <f>'d)Pers.Técnico'!AJ49</f>
        <v>0</v>
      </c>
      <c r="AM64" s="3">
        <f>'d)Pers.Técnico'!AK49</f>
        <v>0</v>
      </c>
      <c r="AN64" s="3">
        <f>'d)Pers.Técnico'!AL49</f>
        <v>0</v>
      </c>
      <c r="AO64" s="3">
        <f>'d)Pers.Técnico'!AM49</f>
        <v>0</v>
      </c>
      <c r="AP64" s="14">
        <f>'d)Pers.Técnico'!AN49</f>
        <v>0</v>
      </c>
      <c r="AQ64" s="20">
        <f>'d)Pers.Técnico'!AO49</f>
        <v>0</v>
      </c>
      <c r="AR64" s="3">
        <f>'d)Pers.Técnico'!AP49</f>
        <v>0</v>
      </c>
      <c r="AS64" s="3">
        <f>'d)Pers.Técnico'!AQ49</f>
        <v>0</v>
      </c>
      <c r="AT64" s="3">
        <f>'d)Pers.Técnico'!AR49</f>
        <v>0</v>
      </c>
      <c r="AU64" s="3">
        <f>'d)Pers.Técnico'!AS49</f>
        <v>0</v>
      </c>
      <c r="AV64" s="3">
        <f>'d)Pers.Técnico'!AT49</f>
        <v>0</v>
      </c>
      <c r="AW64" s="3">
        <f>'d)Pers.Técnico'!AU49</f>
        <v>0</v>
      </c>
      <c r="AX64" s="3">
        <f>'d)Pers.Técnico'!AV49</f>
        <v>0</v>
      </c>
      <c r="AY64" s="3">
        <f>'d)Pers.Técnico'!AW49</f>
        <v>0</v>
      </c>
      <c r="AZ64" s="3">
        <f>'d)Pers.Técnico'!AX49</f>
        <v>0</v>
      </c>
      <c r="BA64" s="1">
        <f>'d)Pers.Técnico'!AY49</f>
        <v>0</v>
      </c>
      <c r="BB64" s="60">
        <f>'d)Pers.Técnico'!AZ49</f>
        <v>0</v>
      </c>
      <c r="BC64" s="61">
        <f>'d)Pers.Técnico'!BA49</f>
        <v>0</v>
      </c>
      <c r="BD64" s="3">
        <f>'d)Pers.Técnico'!BB49</f>
        <v>0</v>
      </c>
      <c r="BE64" s="3">
        <f>'d)Pers.Técnico'!BC49</f>
        <v>0</v>
      </c>
      <c r="BF64" s="3">
        <f>'d)Pers.Técnico'!BD49</f>
        <v>0</v>
      </c>
      <c r="BG64" s="3">
        <f>'d)Pers.Técnico'!BE49</f>
        <v>0</v>
      </c>
      <c r="BH64" s="3">
        <f>'d)Pers.Técnico'!BF49</f>
        <v>0</v>
      </c>
      <c r="BI64" s="3">
        <f>'d)Pers.Técnico'!BG49</f>
        <v>0</v>
      </c>
      <c r="BJ64" s="3">
        <f>'d)Pers.Técnico'!BH49</f>
        <v>0</v>
      </c>
      <c r="BK64" s="3">
        <f>'d)Pers.Técnico'!BI49</f>
        <v>0</v>
      </c>
      <c r="BL64" s="3">
        <f>'d)Pers.Técnico'!BJ49</f>
        <v>0</v>
      </c>
      <c r="BM64" s="3">
        <f>'d)Pers.Técnico'!BK49</f>
        <v>0</v>
      </c>
      <c r="BN64" s="14">
        <f>'d)Pers.Técnico'!BL49</f>
        <v>0</v>
      </c>
    </row>
    <row r="65" spans="1:66">
      <c r="A65" s="67"/>
      <c r="B65" s="46" t="str">
        <f>+'d)Pers.Técnico'!B49</f>
        <v/>
      </c>
      <c r="C65" s="127" t="str">
        <f>'d)Pers.Técnico'!C49</f>
        <v/>
      </c>
      <c r="D65" s="52">
        <f>SUM(G64:BN64)</f>
        <v>0</v>
      </c>
      <c r="E65" s="7">
        <f>IF('a)Plantilla'!C21&gt;0,'a)Plantilla'!D21/30,0)</f>
        <v>0</v>
      </c>
      <c r="F65" s="7">
        <f>SUM(G65:BN65)</f>
        <v>0</v>
      </c>
      <c r="G65" s="2">
        <f>IF(TipoProgramaPersonalTecnico=1,$E65*'a)Plantilla'!$C21*Programa!D$13,IF(TipoProgramaPersonalTecnico=2,$E65*G64,$E65/Hjor*G64))</f>
        <v>0</v>
      </c>
      <c r="H65" s="2">
        <f>IF(TipoProgramaPersonalTecnico=1,$E65*'a)Plantilla'!$C21*Programa!D$14,IF(TipoProgramaPersonalTecnico=2,$E65*H64,$E65/Hjor*H64))</f>
        <v>0</v>
      </c>
      <c r="I65" s="2">
        <f>IF(TipoProgramaPersonalTecnico=1,$E65*'a)Plantilla'!$C21*Programa!D$15,IF(TipoProgramaPersonalTecnico=2,$E65*I64,$E65/Hjor*I64))</f>
        <v>0</v>
      </c>
      <c r="J65" s="2">
        <f>IF(TipoProgramaPersonalTecnico=1,$E65*'a)Plantilla'!$C21*Programa!D$16,IF(TipoProgramaPersonalTecnico=2,$E65*J64,$E65/Hjor*J64))</f>
        <v>0</v>
      </c>
      <c r="K65" s="2">
        <f>IF(TipoProgramaPersonalTecnico=1,$E65*'a)Plantilla'!$C21*Programa!D$17,IF(TipoProgramaPersonalTecnico=2,$E65*K64,$E65/Hjor*K64))</f>
        <v>0</v>
      </c>
      <c r="L65" s="2">
        <f>IF(TipoProgramaPersonalTecnico=1,$E65*'a)Plantilla'!$C21*Programa!D$18,IF(TipoProgramaPersonalTecnico=2,$E65*L64,$E65/Hjor*L64))</f>
        <v>0</v>
      </c>
      <c r="M65" s="2">
        <f>IF(TipoProgramaPersonalTecnico=1,$E65*'a)Plantilla'!$C21*Programa!D$19,IF(TipoProgramaPersonalTecnico=2,$E65*M64,$E65/Hjor*M64))</f>
        <v>0</v>
      </c>
      <c r="N65" s="2">
        <f>IF(TipoProgramaPersonalTecnico=1,$E65*'a)Plantilla'!$C21*Programa!D$20,IF(TipoProgramaPersonalTecnico=2,$E65*N64,$E65/Hjor*N64))</f>
        <v>0</v>
      </c>
      <c r="O65" s="2">
        <f>IF(TipoProgramaPersonalTecnico=1,$E65*'a)Plantilla'!$C21*Programa!D$21,IF(TipoProgramaPersonalTecnico=2,$E65*O64,$E65/Hjor*O64))</f>
        <v>0</v>
      </c>
      <c r="P65" s="2">
        <f>IF(TipoProgramaPersonalTecnico=1,$E65*'a)Plantilla'!$C21*Programa!D$22,IF(TipoProgramaPersonalTecnico=2,$E65*P64,$E65/Hjor*P64))</f>
        <v>0</v>
      </c>
      <c r="Q65" s="2">
        <f>IF(TipoProgramaPersonalTecnico=1,$E65*'a)Plantilla'!$C21*Programa!D$23,IF(TipoProgramaPersonalTecnico=2,$E65*Q64,$E65/Hjor*Q64))</f>
        <v>0</v>
      </c>
      <c r="R65" s="12">
        <f>IF(TipoProgramaPersonalTecnico=1,$E65*'a)Plantilla'!$C21*Programa!D$24,IF(TipoProgramaPersonalTecnico=2,$E65*R64,$E65/Hjor*R64))</f>
        <v>0</v>
      </c>
      <c r="S65" s="7">
        <f>IF(TipoProgramaPersonalTecnico=1,$E65*'a)Plantilla'!$C21*Programa!D$25,IF(TipoProgramaPersonalTecnico=2,$E65*S64,$E65/Hjor*S64))</f>
        <v>0</v>
      </c>
      <c r="T65" s="2">
        <f>IF(TipoProgramaPersonalTecnico=1,$E65*'a)Plantilla'!$C21*Programa!D$26,IF(TipoProgramaPersonalTecnico=2,$E65*T64,$E65/Hjor*T64))</f>
        <v>0</v>
      </c>
      <c r="U65" s="2">
        <f>IF(TipoProgramaPersonalTecnico=1,$E65*'a)Plantilla'!$C21*Programa!D$27,IF(TipoProgramaPersonalTecnico=2,$E65*U64,$E65/Hjor*U64))</f>
        <v>0</v>
      </c>
      <c r="V65" s="2">
        <f>IF(TipoProgramaPersonalTecnico=1,$E65*'a)Plantilla'!$C21*Programa!D$28,IF(TipoProgramaPersonalTecnico=2,$E65*V64,$E65/Hjor*V64))</f>
        <v>0</v>
      </c>
      <c r="W65" s="2">
        <f>IF(TipoProgramaPersonalTecnico=1,$E65*'a)Plantilla'!$C21*Programa!D$29,IF(TipoProgramaPersonalTecnico=2,$E65*W64,$E65/Hjor*W64))</f>
        <v>0</v>
      </c>
      <c r="X65" s="2">
        <f>IF(TipoProgramaPersonalTecnico=1,$E65*'a)Plantilla'!$C21*Programa!D$30,IF(TipoProgramaPersonalTecnico=2,$E65*X64,$E65/Hjor*X64))</f>
        <v>0</v>
      </c>
      <c r="Y65" s="2">
        <f>IF(TipoProgramaPersonalTecnico=1,$E65*'a)Plantilla'!$C21*Programa!D$31,IF(TipoProgramaPersonalTecnico=2,$E65*Y64,$E65/Hjor*Y64))</f>
        <v>0</v>
      </c>
      <c r="Z65" s="2">
        <f>IF(TipoProgramaPersonalTecnico=1,$E65*'a)Plantilla'!$C21*Programa!D$32,IF(TipoProgramaPersonalTecnico=2,$E65*Z64,$E65/Hjor*Z64))</f>
        <v>0</v>
      </c>
      <c r="AA65" s="2">
        <f>IF(TipoProgramaPersonalTecnico=1,$E65*'a)Plantilla'!$C21*Programa!D$33,IF(TipoProgramaPersonalTecnico=2,$E65*AA64,$E65/Hjor*AA64))</f>
        <v>0</v>
      </c>
      <c r="AB65" s="2">
        <f>IF(TipoProgramaPersonalTecnico=1,$E65*'a)Plantilla'!$C21*Programa!D$34,IF(TipoProgramaPersonalTecnico=2,$E65*AB64,$E65/Hjor*AB64))</f>
        <v>0</v>
      </c>
      <c r="AC65" s="2">
        <f>IF(TipoProgramaPersonalTecnico=1,$E65*'a)Plantilla'!$C21*Programa!D$35,IF(TipoProgramaPersonalTecnico=2,$E65*AC64,$E65/Hjor*AC64))</f>
        <v>0</v>
      </c>
      <c r="AD65" s="12">
        <f>IF(TipoProgramaPersonalTecnico=1,$E65*'a)Plantilla'!$C21*Programa!D$36,IF(TipoProgramaPersonalTecnico=2,$E65*AD64,$E65/Hjor*AD64))</f>
        <v>0</v>
      </c>
      <c r="AE65" s="7">
        <f>IF(TipoProgramaPersonalTecnico=1,$E65*'a)Plantilla'!$C21*Programa!D$37,IF(TipoProgramaPersonalTecnico=2,$E65*AE64,$E65/Hjor*AE64))</f>
        <v>0</v>
      </c>
      <c r="AF65" s="2">
        <f>IF(TipoProgramaPersonalTecnico=1,$E65*'a)Plantilla'!$C21*Programa!D$38,IF(TipoProgramaPersonalTecnico=2,$E65*AF64,$E65/Hjor*AF64))</f>
        <v>0</v>
      </c>
      <c r="AG65" s="2">
        <f>IF(TipoProgramaPersonalTecnico=1,$E65*'a)Plantilla'!$C21*Programa!D$39,IF(TipoProgramaPersonalTecnico=2,$E65*AG64,$E65/Hjor*AG64))</f>
        <v>0</v>
      </c>
      <c r="AH65" s="2">
        <f>IF(TipoProgramaPersonalTecnico=1,$E65*'a)Plantilla'!$C21*Programa!D$40,IF(TipoProgramaPersonalTecnico=2,$E65*AH64,$E65/Hjor*AH64))</f>
        <v>0</v>
      </c>
      <c r="AI65" s="2">
        <f>IF(TipoProgramaPersonalTecnico=1,$E65*'a)Plantilla'!$C21*Programa!D$41,IF(TipoProgramaPersonalTecnico=2,$E65*AI64,$E65/Hjor*AI64))</f>
        <v>0</v>
      </c>
      <c r="AJ65" s="2">
        <f>IF(TipoProgramaPersonalTecnico=1,$E65*'a)Plantilla'!$C21*Programa!D$42,IF(TipoProgramaPersonalTecnico=2,$E65*AJ64,$E65/Hjor*AJ64))</f>
        <v>0</v>
      </c>
      <c r="AK65" s="2">
        <f>IF(TipoProgramaPersonalTecnico=1,$E65*'a)Plantilla'!$C21*Programa!D$43,IF(TipoProgramaPersonalTecnico=2,$E65*AK64,$E65/Hjor*AK64))</f>
        <v>0</v>
      </c>
      <c r="AL65" s="2">
        <f>IF(TipoProgramaPersonalTecnico=1,$E65*'a)Plantilla'!$C21*Programa!D$44,IF(TipoProgramaPersonalTecnico=2,$E65*AL64,$E65/Hjor*AL64))</f>
        <v>0</v>
      </c>
      <c r="AM65" s="2">
        <f>IF(TipoProgramaPersonalTecnico=1,$E65*'a)Plantilla'!$C21*Programa!D$45,IF(TipoProgramaPersonalTecnico=2,$E65*AM64,$E65/Hjor*AM64))</f>
        <v>0</v>
      </c>
      <c r="AN65" s="2">
        <f>IF(TipoProgramaPersonalTecnico=1,$E65*'a)Plantilla'!$C21*Programa!D$46,IF(TipoProgramaPersonalTecnico=2,$E65*AN64,$E65/Hjor*AN64))</f>
        <v>0</v>
      </c>
      <c r="AO65" s="2">
        <f>IF(TipoProgramaPersonalTecnico=1,$E65*'a)Plantilla'!$C21*Programa!D$47,IF(TipoProgramaPersonalTecnico=2,$E65*AO64,$E65/Hjor*AO64))</f>
        <v>0</v>
      </c>
      <c r="AP65" s="12">
        <f>IF(TipoProgramaPersonalTecnico=1,$E65*'a)Plantilla'!$C21*Programa!D$48,IF(TipoProgramaPersonalTecnico=2,$E65*AP64,$E65/Hjor*AP64))</f>
        <v>0</v>
      </c>
      <c r="AQ65" s="7">
        <f>IF(TipoProgramaPersonalTecnico=1,$E65*'a)Plantilla'!$C21*Programa!D$49,IF(TipoProgramaPersonalTecnico=2,$E65*AQ64,$E65/Hjor*AQ64))</f>
        <v>0</v>
      </c>
      <c r="AR65" s="2">
        <f>IF(TipoProgramaPersonalTecnico=1,$E65*'a)Plantilla'!$C21*Programa!D$50,IF(TipoProgramaPersonalTecnico=2,$E65*AR64,$E65/Hjor*AR64))</f>
        <v>0</v>
      </c>
      <c r="AS65" s="2">
        <f>IF(TipoProgramaPersonalTecnico=1,$E65*'a)Plantilla'!$C21*Programa!D$51,IF(TipoProgramaPersonalTecnico=2,$E65*AS64,$E65/Hjor*AS64))</f>
        <v>0</v>
      </c>
      <c r="AT65" s="2">
        <f>IF(TipoProgramaPersonalTecnico=1,$E65*'a)Plantilla'!$C21*Programa!D$52,IF(TipoProgramaPersonalTecnico=2,$E65*AT64,$E65/Hjor*AT64))</f>
        <v>0</v>
      </c>
      <c r="AU65" s="2">
        <f>IF(TipoProgramaPersonalTecnico=1,$E65*'a)Plantilla'!$C21*Programa!D$53,IF(TipoProgramaPersonalTecnico=2,$E65*AU64,$E65/Hjor*AU64))</f>
        <v>0</v>
      </c>
      <c r="AV65" s="2">
        <f>IF(TipoProgramaPersonalTecnico=1,$E65*'a)Plantilla'!$C21*Programa!D$54,IF(TipoProgramaPersonalTecnico=2,$E65*AV64,$E65/Hjor*AV64))</f>
        <v>0</v>
      </c>
      <c r="AW65" s="2">
        <f>IF(TipoProgramaPersonalTecnico=1,$E65*'a)Plantilla'!$C21*Programa!D$55,IF(TipoProgramaPersonalTecnico=2,$E65*AW64,$E65/Hjor*AW64))</f>
        <v>0</v>
      </c>
      <c r="AX65" s="2">
        <f>IF(TipoProgramaPersonalTecnico=1,$E65*'a)Plantilla'!$C21*Programa!D$56,IF(TipoProgramaPersonalTecnico=2,$E65*AX64,$E65/Hjor*AX64))</f>
        <v>0</v>
      </c>
      <c r="AY65" s="2">
        <f>IF(TipoProgramaPersonalTecnico=1,$E65*'a)Plantilla'!$C21*Programa!D$57,IF(TipoProgramaPersonalTecnico=2,$E65*AY64,$E65/Hjor*AY64))</f>
        <v>0</v>
      </c>
      <c r="AZ65" s="2">
        <f>IF(TipoProgramaPersonalTecnico=1,$E65*'a)Plantilla'!$C21*Programa!D$58,IF(TipoProgramaPersonalTecnico=2,$E65*AZ64,$E65/Hjor*AZ64))</f>
        <v>0</v>
      </c>
      <c r="BA65" s="55">
        <f>IF(TipoProgramaPersonalTecnico=1,$E65*'a)Plantilla'!$C21*Programa!D$59,IF(TipoProgramaPersonalTecnico=2,$E65*BA64,$E65/Hjor*BA64))</f>
        <v>0</v>
      </c>
      <c r="BB65" s="56">
        <f>IF(TipoProgramaPersonalTecnico=1,$E65*'a)Plantilla'!$C21*Programa!D$60,IF(TipoProgramaPersonalTecnico=2,$E65*BB64,$E65/Hjor*BB64))</f>
        <v>0</v>
      </c>
      <c r="BC65" s="53">
        <f>IF(TipoProgramaPersonalTecnico=1,$E65*'a)Plantilla'!$C21*Programa!D$61,IF(TipoProgramaPersonalTecnico=2,$E65*BC64,$E65/Hjor*BC64))</f>
        <v>0</v>
      </c>
      <c r="BD65" s="2">
        <f>IF(TipoProgramaPersonalTecnico=1,$E65*'a)Plantilla'!$C21*Programa!D$62,IF(TipoProgramaPersonalTecnico=2,$E65*BD64,$E65/Hjor*BD64))</f>
        <v>0</v>
      </c>
      <c r="BE65" s="2">
        <f>IF(TipoProgramaPersonalTecnico=1,$E65*'a)Plantilla'!$C21*Programa!D$63,IF(TipoProgramaPersonalTecnico=2,$E65*BE64,$E65/Hjor*BE64))</f>
        <v>0</v>
      </c>
      <c r="BF65" s="2">
        <f>IF(TipoProgramaPersonalTecnico=1,$E65*'a)Plantilla'!$C21*Programa!D$64,IF(TipoProgramaPersonalTecnico=2,$E65*BF64,$E65/Hjor*BF64))</f>
        <v>0</v>
      </c>
      <c r="BG65" s="2">
        <f>IF(TipoProgramaPersonalTecnico=1,$E65*'a)Plantilla'!$C21*Programa!D$65,IF(TipoProgramaPersonalTecnico=2,$E65*BG64,$E65/Hjor*BG64))</f>
        <v>0</v>
      </c>
      <c r="BH65" s="2">
        <f>IF(TipoProgramaPersonalTecnico=1,$E65*'a)Plantilla'!$C21*Programa!D$66,IF(TipoProgramaPersonalTecnico=2,$E65*BH64,$E65/Hjor*BH64))</f>
        <v>0</v>
      </c>
      <c r="BI65" s="2">
        <f>IF(TipoProgramaPersonalTecnico=1,$E65*'a)Plantilla'!$C21*Programa!D$67,IF(TipoProgramaPersonalTecnico=2,$E65*BI64,$E65/Hjor*BI64))</f>
        <v>0</v>
      </c>
      <c r="BJ65" s="2">
        <f>IF(TipoProgramaPersonalTecnico=1,$E65*'a)Plantilla'!$C21*Programa!D$68,IF(TipoProgramaPersonalTecnico=2,$E65*BJ64,$E65/Hjor*BJ64))</f>
        <v>0</v>
      </c>
      <c r="BK65" s="2">
        <f>IF(TipoProgramaPersonalTecnico=1,$E65*'a)Plantilla'!$C21*Programa!D$69,IF(TipoProgramaPersonalTecnico=2,$E65*BK64,$E65/Hjor*BK64))</f>
        <v>0</v>
      </c>
      <c r="BL65" s="2">
        <f>IF(TipoProgramaPersonalTecnico=1,$E65*'a)Plantilla'!$C21*Programa!D$70,IF(TipoProgramaPersonalTecnico=2,$E65*BL64,$E65/Hjor*BL64))</f>
        <v>0</v>
      </c>
      <c r="BM65" s="2">
        <f>IF(TipoProgramaPersonalTecnico=1,$E65*'a)Plantilla'!$C21*Programa!D$71,IF(TipoProgramaPersonalTecnico=2,$E65*BM64,$E65/Hjor*BM64))</f>
        <v>0</v>
      </c>
      <c r="BN65" s="12">
        <f>IF(TipoProgramaPersonalTecnico=1,$E65*'a)Plantilla'!$C21*Programa!D$72,IF(TipoProgramaPersonalTecnico=2,$E65*BN64,$E65/Hjor*BN64))</f>
        <v>0</v>
      </c>
    </row>
    <row r="66" spans="1:66" ht="7.5" customHeight="1">
      <c r="A66" s="67"/>
      <c r="B66" s="19"/>
      <c r="C66" s="127"/>
      <c r="D66" s="54"/>
      <c r="E66" s="19"/>
      <c r="F66" s="19"/>
      <c r="G66" s="1" t="s">
        <v>168</v>
      </c>
      <c r="H66" s="1" t="s">
        <v>168</v>
      </c>
      <c r="I66" s="1" t="s">
        <v>168</v>
      </c>
      <c r="J66" s="1" t="s">
        <v>168</v>
      </c>
      <c r="K66" s="1" t="s">
        <v>168</v>
      </c>
      <c r="L66" s="1" t="s">
        <v>168</v>
      </c>
      <c r="M66" s="1" t="s">
        <v>168</v>
      </c>
      <c r="N66" s="1" t="s">
        <v>168</v>
      </c>
      <c r="O66" s="1" t="s">
        <v>168</v>
      </c>
      <c r="P66" s="1" t="s">
        <v>168</v>
      </c>
      <c r="Q66" s="1" t="s">
        <v>168</v>
      </c>
      <c r="R66" s="8" t="s">
        <v>168</v>
      </c>
      <c r="S66" s="13" t="s">
        <v>168</v>
      </c>
      <c r="T66" s="1" t="s">
        <v>168</v>
      </c>
      <c r="U66" s="1" t="s">
        <v>168</v>
      </c>
      <c r="V66" s="1" t="s">
        <v>168</v>
      </c>
      <c r="W66" s="1" t="s">
        <v>168</v>
      </c>
      <c r="X66" s="1" t="s">
        <v>168</v>
      </c>
      <c r="Y66" s="1" t="s">
        <v>168</v>
      </c>
      <c r="Z66" s="1" t="s">
        <v>168</v>
      </c>
      <c r="AA66" s="1" t="s">
        <v>168</v>
      </c>
      <c r="AB66" s="1" t="s">
        <v>168</v>
      </c>
      <c r="AC66" s="1" t="s">
        <v>168</v>
      </c>
      <c r="AD66" s="8" t="s">
        <v>168</v>
      </c>
      <c r="AE66" s="13" t="s">
        <v>168</v>
      </c>
      <c r="AF66" s="1" t="s">
        <v>168</v>
      </c>
      <c r="AG66" s="1" t="s">
        <v>168</v>
      </c>
      <c r="AH66" s="1" t="s">
        <v>168</v>
      </c>
      <c r="AI66" s="1" t="s">
        <v>168</v>
      </c>
      <c r="AJ66" s="1" t="s">
        <v>168</v>
      </c>
      <c r="AK66" s="1" t="s">
        <v>168</v>
      </c>
      <c r="AL66" s="1" t="s">
        <v>168</v>
      </c>
      <c r="AM66" s="1" t="s">
        <v>168</v>
      </c>
      <c r="AN66" s="1" t="s">
        <v>168</v>
      </c>
      <c r="AO66" s="1" t="s">
        <v>168</v>
      </c>
      <c r="AP66" s="8" t="s">
        <v>168</v>
      </c>
      <c r="AQ66" s="13" t="s">
        <v>168</v>
      </c>
      <c r="AR66" s="1" t="s">
        <v>168</v>
      </c>
      <c r="AS66" s="1" t="s">
        <v>168</v>
      </c>
      <c r="AT66" s="1" t="s">
        <v>168</v>
      </c>
      <c r="AU66" s="1" t="s">
        <v>168</v>
      </c>
      <c r="AV66" s="1" t="s">
        <v>168</v>
      </c>
      <c r="AW66" s="1" t="s">
        <v>168</v>
      </c>
      <c r="AX66" s="1" t="s">
        <v>168</v>
      </c>
      <c r="AY66" s="1" t="s">
        <v>168</v>
      </c>
      <c r="AZ66" s="1" t="s">
        <v>168</v>
      </c>
      <c r="BA66" s="1" t="s">
        <v>168</v>
      </c>
      <c r="BB66" s="8" t="s">
        <v>168</v>
      </c>
      <c r="BC66" s="13" t="s">
        <v>168</v>
      </c>
      <c r="BD66" s="1" t="s">
        <v>168</v>
      </c>
      <c r="BE66" s="1" t="s">
        <v>168</v>
      </c>
      <c r="BF66" s="1" t="s">
        <v>168</v>
      </c>
      <c r="BG66" s="1" t="s">
        <v>168</v>
      </c>
      <c r="BH66" s="1" t="s">
        <v>168</v>
      </c>
      <c r="BI66" s="1" t="s">
        <v>168</v>
      </c>
      <c r="BJ66" s="1" t="s">
        <v>168</v>
      </c>
      <c r="BK66" s="1" t="s">
        <v>168</v>
      </c>
      <c r="BL66" s="1" t="s">
        <v>168</v>
      </c>
      <c r="BM66" s="1" t="s">
        <v>168</v>
      </c>
      <c r="BN66" s="8" t="s">
        <v>168</v>
      </c>
    </row>
    <row r="67" spans="1:66">
      <c r="A67" s="67"/>
      <c r="B67" s="46"/>
      <c r="C67" s="127"/>
      <c r="D67" s="52"/>
      <c r="E67" s="59"/>
      <c r="F67" s="59"/>
      <c r="G67" s="3">
        <f>'d)Pers.Técnico'!E51</f>
        <v>0</v>
      </c>
      <c r="H67" s="3">
        <f>'d)Pers.Técnico'!F51</f>
        <v>0</v>
      </c>
      <c r="I67" s="3">
        <f>'d)Pers.Técnico'!G51</f>
        <v>0</v>
      </c>
      <c r="J67" s="3">
        <f>'d)Pers.Técnico'!H51</f>
        <v>0</v>
      </c>
      <c r="K67" s="3">
        <f>'d)Pers.Técnico'!I51</f>
        <v>0</v>
      </c>
      <c r="L67" s="3">
        <f>'d)Pers.Técnico'!J51</f>
        <v>0</v>
      </c>
      <c r="M67" s="3">
        <f>'d)Pers.Técnico'!K51</f>
        <v>0</v>
      </c>
      <c r="N67" s="3">
        <f>'d)Pers.Técnico'!L51</f>
        <v>0</v>
      </c>
      <c r="O67" s="3">
        <f>'d)Pers.Técnico'!M51</f>
        <v>0</v>
      </c>
      <c r="P67" s="3">
        <f>'d)Pers.Técnico'!N51</f>
        <v>0</v>
      </c>
      <c r="Q67" s="3">
        <f>'d)Pers.Técnico'!O51</f>
        <v>0</v>
      </c>
      <c r="R67" s="14">
        <f>'d)Pers.Técnico'!P51</f>
        <v>0</v>
      </c>
      <c r="S67" s="20">
        <f>'d)Pers.Técnico'!Q51</f>
        <v>0</v>
      </c>
      <c r="T67" s="3">
        <f>'d)Pers.Técnico'!R51</f>
        <v>0</v>
      </c>
      <c r="U67" s="3">
        <f>'d)Pers.Técnico'!S51</f>
        <v>0</v>
      </c>
      <c r="V67" s="3">
        <f>'d)Pers.Técnico'!T51</f>
        <v>0</v>
      </c>
      <c r="W67" s="3">
        <f>'d)Pers.Técnico'!U51</f>
        <v>0</v>
      </c>
      <c r="X67" s="3">
        <f>'d)Pers.Técnico'!V51</f>
        <v>0</v>
      </c>
      <c r="Y67" s="3">
        <f>'d)Pers.Técnico'!W51</f>
        <v>0</v>
      </c>
      <c r="Z67" s="3">
        <f>'d)Pers.Técnico'!X51</f>
        <v>0</v>
      </c>
      <c r="AA67" s="3">
        <f>'d)Pers.Técnico'!Y51</f>
        <v>0</v>
      </c>
      <c r="AB67" s="3">
        <f>'d)Pers.Técnico'!Z51</f>
        <v>0</v>
      </c>
      <c r="AC67" s="3">
        <f>'d)Pers.Técnico'!AA51</f>
        <v>0</v>
      </c>
      <c r="AD67" s="14">
        <f>'d)Pers.Técnico'!AB51</f>
        <v>0</v>
      </c>
      <c r="AE67" s="20">
        <f>'d)Pers.Técnico'!AC51</f>
        <v>0</v>
      </c>
      <c r="AF67" s="3">
        <f>'d)Pers.Técnico'!AD51</f>
        <v>0</v>
      </c>
      <c r="AG67" s="3">
        <f>'d)Pers.Técnico'!AE51</f>
        <v>0</v>
      </c>
      <c r="AH67" s="3">
        <f>'d)Pers.Técnico'!AF51</f>
        <v>0</v>
      </c>
      <c r="AI67" s="3">
        <f>'d)Pers.Técnico'!AG51</f>
        <v>0</v>
      </c>
      <c r="AJ67" s="3">
        <f>'d)Pers.Técnico'!AH51</f>
        <v>0</v>
      </c>
      <c r="AK67" s="3">
        <f>'d)Pers.Técnico'!AI51</f>
        <v>0</v>
      </c>
      <c r="AL67" s="3">
        <f>'d)Pers.Técnico'!AJ51</f>
        <v>0</v>
      </c>
      <c r="AM67" s="3">
        <f>'d)Pers.Técnico'!AK51</f>
        <v>0</v>
      </c>
      <c r="AN67" s="3">
        <f>'d)Pers.Técnico'!AL51</f>
        <v>0</v>
      </c>
      <c r="AO67" s="3">
        <f>'d)Pers.Técnico'!AM51</f>
        <v>0</v>
      </c>
      <c r="AP67" s="14">
        <f>'d)Pers.Técnico'!AN51</f>
        <v>0</v>
      </c>
      <c r="AQ67" s="20">
        <f>'d)Pers.Técnico'!AO51</f>
        <v>0</v>
      </c>
      <c r="AR67" s="3">
        <f>'d)Pers.Técnico'!AP51</f>
        <v>0</v>
      </c>
      <c r="AS67" s="3">
        <f>'d)Pers.Técnico'!AQ51</f>
        <v>0</v>
      </c>
      <c r="AT67" s="3">
        <f>'d)Pers.Técnico'!AR51</f>
        <v>0</v>
      </c>
      <c r="AU67" s="3">
        <f>'d)Pers.Técnico'!AS51</f>
        <v>0</v>
      </c>
      <c r="AV67" s="3">
        <f>'d)Pers.Técnico'!AT51</f>
        <v>0</v>
      </c>
      <c r="AW67" s="3">
        <f>'d)Pers.Técnico'!AU51</f>
        <v>0</v>
      </c>
      <c r="AX67" s="3">
        <f>'d)Pers.Técnico'!AV51</f>
        <v>0</v>
      </c>
      <c r="AY67" s="3">
        <f>'d)Pers.Técnico'!AW51</f>
        <v>0</v>
      </c>
      <c r="AZ67" s="3">
        <f>'d)Pers.Técnico'!AX51</f>
        <v>0</v>
      </c>
      <c r="BA67" s="1">
        <f>'d)Pers.Técnico'!AY51</f>
        <v>0</v>
      </c>
      <c r="BB67" s="60">
        <f>'d)Pers.Técnico'!AZ51</f>
        <v>0</v>
      </c>
      <c r="BC67" s="61">
        <f>'d)Pers.Técnico'!BA51</f>
        <v>0</v>
      </c>
      <c r="BD67" s="3">
        <f>'d)Pers.Técnico'!BB51</f>
        <v>0</v>
      </c>
      <c r="BE67" s="3">
        <f>'d)Pers.Técnico'!BC51</f>
        <v>0</v>
      </c>
      <c r="BF67" s="3">
        <f>'d)Pers.Técnico'!BD51</f>
        <v>0</v>
      </c>
      <c r="BG67" s="3">
        <f>'d)Pers.Técnico'!BE51</f>
        <v>0</v>
      </c>
      <c r="BH67" s="3">
        <f>'d)Pers.Técnico'!BF51</f>
        <v>0</v>
      </c>
      <c r="BI67" s="3">
        <f>'d)Pers.Técnico'!BG51</f>
        <v>0</v>
      </c>
      <c r="BJ67" s="3">
        <f>'d)Pers.Técnico'!BH51</f>
        <v>0</v>
      </c>
      <c r="BK67" s="3">
        <f>'d)Pers.Técnico'!BI51</f>
        <v>0</v>
      </c>
      <c r="BL67" s="3">
        <f>'d)Pers.Técnico'!BJ51</f>
        <v>0</v>
      </c>
      <c r="BM67" s="3">
        <f>'d)Pers.Técnico'!BK51</f>
        <v>0</v>
      </c>
      <c r="BN67" s="14">
        <f>'d)Pers.Técnico'!BL51</f>
        <v>0</v>
      </c>
    </row>
    <row r="68" spans="1:66">
      <c r="A68" s="67" t="s">
        <v>168</v>
      </c>
      <c r="B68" s="46" t="str">
        <f>+'d)Pers.Técnico'!B51</f>
        <v/>
      </c>
      <c r="C68" s="127" t="str">
        <f>'d)Pers.Técnico'!C51</f>
        <v/>
      </c>
      <c r="D68" s="52">
        <f>SUM(G67:BN67)</f>
        <v>0</v>
      </c>
      <c r="E68" s="7">
        <f>IF('a)Plantilla'!C22&gt;0,'a)Plantilla'!D22/30,0)</f>
        <v>0</v>
      </c>
      <c r="F68" s="7">
        <f>SUM(G68:BN68)</f>
        <v>0</v>
      </c>
      <c r="G68" s="2">
        <f>IF(TipoProgramaPersonalTecnico=1,$E68*'a)Plantilla'!$C22*Programa!D$13,IF(TipoProgramaPersonalTecnico=2,$E68*G67,$E68/Hjor*G67))</f>
        <v>0</v>
      </c>
      <c r="H68" s="2">
        <f>IF(TipoProgramaPersonalTecnico=1,$E68*'a)Plantilla'!$C22*Programa!D$14,IF(TipoProgramaPersonalTecnico=2,$E68*H67,$E68/Hjor*H67))</f>
        <v>0</v>
      </c>
      <c r="I68" s="2">
        <f>IF(TipoProgramaPersonalTecnico=1,$E68*'a)Plantilla'!$C22*Programa!D$15,IF(TipoProgramaPersonalTecnico=2,$E68*I67,$E68/Hjor*I67))</f>
        <v>0</v>
      </c>
      <c r="J68" s="2">
        <f>IF(TipoProgramaPersonalTecnico=1,$E68*'a)Plantilla'!$C22*Programa!D$16,IF(TipoProgramaPersonalTecnico=2,$E68*J67,$E68/Hjor*J67))</f>
        <v>0</v>
      </c>
      <c r="K68" s="2">
        <f>IF(TipoProgramaPersonalTecnico=1,$E68*'a)Plantilla'!$C22*Programa!D$17,IF(TipoProgramaPersonalTecnico=2,$E68*K67,$E68/Hjor*K67))</f>
        <v>0</v>
      </c>
      <c r="L68" s="2">
        <f>IF(TipoProgramaPersonalTecnico=1,$E68*'a)Plantilla'!$C22*Programa!D$18,IF(TipoProgramaPersonalTecnico=2,$E68*L67,$E68/Hjor*L67))</f>
        <v>0</v>
      </c>
      <c r="M68" s="2">
        <f>IF(TipoProgramaPersonalTecnico=1,$E68*'a)Plantilla'!$C22*Programa!D$19,IF(TipoProgramaPersonalTecnico=2,$E68*M67,$E68/Hjor*M67))</f>
        <v>0</v>
      </c>
      <c r="N68" s="2">
        <f>IF(TipoProgramaPersonalTecnico=1,$E68*'a)Plantilla'!$C22*Programa!D$20,IF(TipoProgramaPersonalTecnico=2,$E68*N67,$E68/Hjor*N67))</f>
        <v>0</v>
      </c>
      <c r="O68" s="2">
        <f>IF(TipoProgramaPersonalTecnico=1,$E68*'a)Plantilla'!$C22*Programa!D$21,IF(TipoProgramaPersonalTecnico=2,$E68*O67,$E68/Hjor*O67))</f>
        <v>0</v>
      </c>
      <c r="P68" s="2">
        <f>IF(TipoProgramaPersonalTecnico=1,$E68*'a)Plantilla'!$C22*Programa!D$22,IF(TipoProgramaPersonalTecnico=2,$E68*P67,$E68/Hjor*P67))</f>
        <v>0</v>
      </c>
      <c r="Q68" s="2">
        <f>IF(TipoProgramaPersonalTecnico=1,$E68*'a)Plantilla'!$C22*Programa!D$23,IF(TipoProgramaPersonalTecnico=2,$E68*Q67,$E68/Hjor*Q67))</f>
        <v>0</v>
      </c>
      <c r="R68" s="12">
        <f>IF(TipoProgramaPersonalTecnico=1,$E68*'a)Plantilla'!$C22*Programa!D$24,IF(TipoProgramaPersonalTecnico=2,$E68*R67,$E68/Hjor*R67))</f>
        <v>0</v>
      </c>
      <c r="S68" s="7">
        <f>IF(TipoProgramaPersonalTecnico=1,$E68*'a)Plantilla'!$C22*Programa!D$25,IF(TipoProgramaPersonalTecnico=2,$E68*S67,$E68/Hjor*S67))</f>
        <v>0</v>
      </c>
      <c r="T68" s="2">
        <f>IF(TipoProgramaPersonalTecnico=1,$E68*'a)Plantilla'!$C22*Programa!D$26,IF(TipoProgramaPersonalTecnico=2,$E68*T67,$E68/Hjor*T67))</f>
        <v>0</v>
      </c>
      <c r="U68" s="2">
        <f>IF(TipoProgramaPersonalTecnico=1,$E68*'a)Plantilla'!$C22*Programa!D$27,IF(TipoProgramaPersonalTecnico=2,$E68*U67,$E68/Hjor*U67))</f>
        <v>0</v>
      </c>
      <c r="V68" s="2">
        <f>IF(TipoProgramaPersonalTecnico=1,$E68*'a)Plantilla'!$C22*Programa!D$28,IF(TipoProgramaPersonalTecnico=2,$E68*V67,$E68/Hjor*V67))</f>
        <v>0</v>
      </c>
      <c r="W68" s="2">
        <f>IF(TipoProgramaPersonalTecnico=1,$E68*'a)Plantilla'!$C22*Programa!D$29,IF(TipoProgramaPersonalTecnico=2,$E68*W67,$E68/Hjor*W67))</f>
        <v>0</v>
      </c>
      <c r="X68" s="2">
        <f>IF(TipoProgramaPersonalTecnico=1,$E68*'a)Plantilla'!$C22*Programa!D$30,IF(TipoProgramaPersonalTecnico=2,$E68*X67,$E68/Hjor*X67))</f>
        <v>0</v>
      </c>
      <c r="Y68" s="2">
        <f>IF(TipoProgramaPersonalTecnico=1,$E68*'a)Plantilla'!$C22*Programa!D$31,IF(TipoProgramaPersonalTecnico=2,$E68*Y67,$E68/Hjor*Y67))</f>
        <v>0</v>
      </c>
      <c r="Z68" s="2">
        <f>IF(TipoProgramaPersonalTecnico=1,$E68*'a)Plantilla'!$C22*Programa!D$32,IF(TipoProgramaPersonalTecnico=2,$E68*Z67,$E68/Hjor*Z67))</f>
        <v>0</v>
      </c>
      <c r="AA68" s="2">
        <f>IF(TipoProgramaPersonalTecnico=1,$E68*'a)Plantilla'!$C22*Programa!D$33,IF(TipoProgramaPersonalTecnico=2,$E68*AA67,$E68/Hjor*AA67))</f>
        <v>0</v>
      </c>
      <c r="AB68" s="2">
        <f>IF(TipoProgramaPersonalTecnico=1,$E68*'a)Plantilla'!$C22*Programa!D$34,IF(TipoProgramaPersonalTecnico=2,$E68*AB67,$E68/Hjor*AB67))</f>
        <v>0</v>
      </c>
      <c r="AC68" s="2">
        <f>IF(TipoProgramaPersonalTecnico=1,$E68*'a)Plantilla'!$C22*Programa!D$35,IF(TipoProgramaPersonalTecnico=2,$E68*AC67,$E68/Hjor*AC67))</f>
        <v>0</v>
      </c>
      <c r="AD68" s="12">
        <f>IF(TipoProgramaPersonalTecnico=1,$E68*'a)Plantilla'!$C22*Programa!D$36,IF(TipoProgramaPersonalTecnico=2,$E68*AD67,$E68/Hjor*AD67))</f>
        <v>0</v>
      </c>
      <c r="AE68" s="7">
        <f>IF(TipoProgramaPersonalTecnico=1,$E68*'a)Plantilla'!$C22*Programa!D$37,IF(TipoProgramaPersonalTecnico=2,$E68*AE67,$E68/Hjor*AE67))</f>
        <v>0</v>
      </c>
      <c r="AF68" s="2">
        <f>IF(TipoProgramaPersonalTecnico=1,$E68*'a)Plantilla'!$C22*Programa!D$38,IF(TipoProgramaPersonalTecnico=2,$E68*AF67,$E68/Hjor*AF67))</f>
        <v>0</v>
      </c>
      <c r="AG68" s="2">
        <f>IF(TipoProgramaPersonalTecnico=1,$E68*'a)Plantilla'!$C22*Programa!D$39,IF(TipoProgramaPersonalTecnico=2,$E68*AG67,$E68/Hjor*AG67))</f>
        <v>0</v>
      </c>
      <c r="AH68" s="2">
        <f>IF(TipoProgramaPersonalTecnico=1,$E68*'a)Plantilla'!$C22*Programa!D$40,IF(TipoProgramaPersonalTecnico=2,$E68*AH67,$E68/Hjor*AH67))</f>
        <v>0</v>
      </c>
      <c r="AI68" s="2">
        <f>IF(TipoProgramaPersonalTecnico=1,$E68*'a)Plantilla'!$C22*Programa!D$41,IF(TipoProgramaPersonalTecnico=2,$E68*AI67,$E68/Hjor*AI67))</f>
        <v>0</v>
      </c>
      <c r="AJ68" s="2">
        <f>IF(TipoProgramaPersonalTecnico=1,$E68*'a)Plantilla'!$C22*Programa!D$42,IF(TipoProgramaPersonalTecnico=2,$E68*AJ67,$E68/Hjor*AJ67))</f>
        <v>0</v>
      </c>
      <c r="AK68" s="2">
        <f>IF(TipoProgramaPersonalTecnico=1,$E68*'a)Plantilla'!$C22*Programa!D$43,IF(TipoProgramaPersonalTecnico=2,$E68*AK67,$E68/Hjor*AK67))</f>
        <v>0</v>
      </c>
      <c r="AL68" s="2">
        <f>IF(TipoProgramaPersonalTecnico=1,$E68*'a)Plantilla'!$C22*Programa!D$44,IF(TipoProgramaPersonalTecnico=2,$E68*AL67,$E68/Hjor*AL67))</f>
        <v>0</v>
      </c>
      <c r="AM68" s="2">
        <f>IF(TipoProgramaPersonalTecnico=1,$E68*'a)Plantilla'!$C22*Programa!D$45,IF(TipoProgramaPersonalTecnico=2,$E68*AM67,$E68/Hjor*AM67))</f>
        <v>0</v>
      </c>
      <c r="AN68" s="2">
        <f>IF(TipoProgramaPersonalTecnico=1,$E68*'a)Plantilla'!$C22*Programa!D$46,IF(TipoProgramaPersonalTecnico=2,$E68*AN67,$E68/Hjor*AN67))</f>
        <v>0</v>
      </c>
      <c r="AO68" s="2">
        <f>IF(TipoProgramaPersonalTecnico=1,$E68*'a)Plantilla'!$C22*Programa!D$47,IF(TipoProgramaPersonalTecnico=2,$E68*AO67,$E68/Hjor*AO67))</f>
        <v>0</v>
      </c>
      <c r="AP68" s="12">
        <f>IF(TipoProgramaPersonalTecnico=1,$E68*'a)Plantilla'!$C22*Programa!D$48,IF(TipoProgramaPersonalTecnico=2,$E68*AP67,$E68/Hjor*AP67))</f>
        <v>0</v>
      </c>
      <c r="AQ68" s="7">
        <f>IF(TipoProgramaPersonalTecnico=1,$E68*'a)Plantilla'!$C22*Programa!D$49,IF(TipoProgramaPersonalTecnico=2,$E68*AQ67,$E68/Hjor*AQ67))</f>
        <v>0</v>
      </c>
      <c r="AR68" s="2">
        <f>IF(TipoProgramaPersonalTecnico=1,$E68*'a)Plantilla'!$C22*Programa!D$50,IF(TipoProgramaPersonalTecnico=2,$E68*AR67,$E68/Hjor*AR67))</f>
        <v>0</v>
      </c>
      <c r="AS68" s="2">
        <f>IF(TipoProgramaPersonalTecnico=1,$E68*'a)Plantilla'!$C22*Programa!D$51,IF(TipoProgramaPersonalTecnico=2,$E68*AS67,$E68/Hjor*AS67))</f>
        <v>0</v>
      </c>
      <c r="AT68" s="2">
        <f>IF(TipoProgramaPersonalTecnico=1,$E68*'a)Plantilla'!$C22*Programa!D$52,IF(TipoProgramaPersonalTecnico=2,$E68*AT67,$E68/Hjor*AT67))</f>
        <v>0</v>
      </c>
      <c r="AU68" s="2">
        <f>IF(TipoProgramaPersonalTecnico=1,$E68*'a)Plantilla'!$C22*Programa!D$53,IF(TipoProgramaPersonalTecnico=2,$E68*AU67,$E68/Hjor*AU67))</f>
        <v>0</v>
      </c>
      <c r="AV68" s="2">
        <f>IF(TipoProgramaPersonalTecnico=1,$E68*'a)Plantilla'!$C22*Programa!D$54,IF(TipoProgramaPersonalTecnico=2,$E68*AV67,$E68/Hjor*AV67))</f>
        <v>0</v>
      </c>
      <c r="AW68" s="2">
        <f>IF(TipoProgramaPersonalTecnico=1,$E68*'a)Plantilla'!$C22*Programa!D$55,IF(TipoProgramaPersonalTecnico=2,$E68*AW67,$E68/Hjor*AW67))</f>
        <v>0</v>
      </c>
      <c r="AX68" s="2">
        <f>IF(TipoProgramaPersonalTecnico=1,$E68*'a)Plantilla'!$C22*Programa!D$56,IF(TipoProgramaPersonalTecnico=2,$E68*AX67,$E68/Hjor*AX67))</f>
        <v>0</v>
      </c>
      <c r="AY68" s="2">
        <f>IF(TipoProgramaPersonalTecnico=1,$E68*'a)Plantilla'!$C22*Programa!D$57,IF(TipoProgramaPersonalTecnico=2,$E68*AY67,$E68/Hjor*AY67))</f>
        <v>0</v>
      </c>
      <c r="AZ68" s="2">
        <f>IF(TipoProgramaPersonalTecnico=1,$E68*'a)Plantilla'!$C22*Programa!D$58,IF(TipoProgramaPersonalTecnico=2,$E68*AZ67,$E68/Hjor*AZ67))</f>
        <v>0</v>
      </c>
      <c r="BA68" s="55">
        <f>IF(TipoProgramaPersonalTecnico=1,$E68*'a)Plantilla'!$C22*Programa!D$59,IF(TipoProgramaPersonalTecnico=2,$E68*BA67,$E68/Hjor*BA67))</f>
        <v>0</v>
      </c>
      <c r="BB68" s="56">
        <f>IF(TipoProgramaPersonalTecnico=1,$E68*'a)Plantilla'!$C22*Programa!D$60,IF(TipoProgramaPersonalTecnico=2,$E68*BB67,$E68/Hjor*BB67))</f>
        <v>0</v>
      </c>
      <c r="BC68" s="53">
        <f>IF(TipoProgramaPersonalTecnico=1,$E68*'a)Plantilla'!$C22*Programa!D$61,IF(TipoProgramaPersonalTecnico=2,$E68*BC67,$E68/Hjor*BC67))</f>
        <v>0</v>
      </c>
      <c r="BD68" s="2">
        <f>IF(TipoProgramaPersonalTecnico=1,$E68*'a)Plantilla'!$C22*Programa!D$62,IF(TipoProgramaPersonalTecnico=2,$E68*BD67,$E68/Hjor*BD67))</f>
        <v>0</v>
      </c>
      <c r="BE68" s="2">
        <f>IF(TipoProgramaPersonalTecnico=1,$E68*'a)Plantilla'!$C22*Programa!D$63,IF(TipoProgramaPersonalTecnico=2,$E68*BE67,$E68/Hjor*BE67))</f>
        <v>0</v>
      </c>
      <c r="BF68" s="2">
        <f>IF(TipoProgramaPersonalTecnico=1,$E68*'a)Plantilla'!$C22*Programa!D$64,IF(TipoProgramaPersonalTecnico=2,$E68*BF67,$E68/Hjor*BF67))</f>
        <v>0</v>
      </c>
      <c r="BG68" s="2">
        <f>IF(TipoProgramaPersonalTecnico=1,$E68*'a)Plantilla'!$C22*Programa!D$65,IF(TipoProgramaPersonalTecnico=2,$E68*BG67,$E68/Hjor*BG67))</f>
        <v>0</v>
      </c>
      <c r="BH68" s="2">
        <f>IF(TipoProgramaPersonalTecnico=1,$E68*'a)Plantilla'!$C22*Programa!D$66,IF(TipoProgramaPersonalTecnico=2,$E68*BH67,$E68/Hjor*BH67))</f>
        <v>0</v>
      </c>
      <c r="BI68" s="2">
        <f>IF(TipoProgramaPersonalTecnico=1,$E68*'a)Plantilla'!$C22*Programa!D$67,IF(TipoProgramaPersonalTecnico=2,$E68*BI67,$E68/Hjor*BI67))</f>
        <v>0</v>
      </c>
      <c r="BJ68" s="2">
        <f>IF(TipoProgramaPersonalTecnico=1,$E68*'a)Plantilla'!$C22*Programa!D$68,IF(TipoProgramaPersonalTecnico=2,$E68*BJ67,$E68/Hjor*BJ67))</f>
        <v>0</v>
      </c>
      <c r="BK68" s="2">
        <f>IF(TipoProgramaPersonalTecnico=1,$E68*'a)Plantilla'!$C22*Programa!D$69,IF(TipoProgramaPersonalTecnico=2,$E68*BK67,$E68/Hjor*BK67))</f>
        <v>0</v>
      </c>
      <c r="BL68" s="2">
        <f>IF(TipoProgramaPersonalTecnico=1,$E68*'a)Plantilla'!$C22*Programa!D$70,IF(TipoProgramaPersonalTecnico=2,$E68*BL67,$E68/Hjor*BL67))</f>
        <v>0</v>
      </c>
      <c r="BM68" s="2">
        <f>IF(TipoProgramaPersonalTecnico=1,$E68*'a)Plantilla'!$C22*Programa!D$71,IF(TipoProgramaPersonalTecnico=2,$E68*BM67,$E68/Hjor*BM67))</f>
        <v>0</v>
      </c>
      <c r="BN68" s="12">
        <f>IF(TipoProgramaPersonalTecnico=1,$E68*'a)Plantilla'!$C22*Programa!D$72,IF(TipoProgramaPersonalTecnico=2,$E68*BN67,$E68/Hjor*BN67))</f>
        <v>0</v>
      </c>
    </row>
    <row r="69" spans="1:66" ht="7.5" customHeight="1">
      <c r="A69" s="67"/>
      <c r="B69" s="19"/>
      <c r="C69" s="127"/>
      <c r="D69" s="54"/>
      <c r="E69" s="19"/>
      <c r="F69" s="19"/>
      <c r="G69" s="1" t="s">
        <v>168</v>
      </c>
      <c r="H69" s="1" t="s">
        <v>168</v>
      </c>
      <c r="I69" s="1" t="s">
        <v>168</v>
      </c>
      <c r="J69" s="1" t="s">
        <v>168</v>
      </c>
      <c r="K69" s="1" t="s">
        <v>168</v>
      </c>
      <c r="L69" s="1" t="s">
        <v>168</v>
      </c>
      <c r="M69" s="1" t="s">
        <v>168</v>
      </c>
      <c r="N69" s="1" t="s">
        <v>168</v>
      </c>
      <c r="O69" s="1" t="s">
        <v>168</v>
      </c>
      <c r="P69" s="1" t="s">
        <v>168</v>
      </c>
      <c r="Q69" s="1" t="s">
        <v>168</v>
      </c>
      <c r="R69" s="8" t="s">
        <v>168</v>
      </c>
      <c r="S69" s="13" t="s">
        <v>168</v>
      </c>
      <c r="T69" s="1" t="s">
        <v>168</v>
      </c>
      <c r="U69" s="1" t="s">
        <v>168</v>
      </c>
      <c r="V69" s="1" t="s">
        <v>168</v>
      </c>
      <c r="W69" s="1" t="s">
        <v>168</v>
      </c>
      <c r="X69" s="1" t="s">
        <v>168</v>
      </c>
      <c r="Y69" s="1" t="s">
        <v>168</v>
      </c>
      <c r="Z69" s="1" t="s">
        <v>168</v>
      </c>
      <c r="AA69" s="1" t="s">
        <v>168</v>
      </c>
      <c r="AB69" s="1" t="s">
        <v>168</v>
      </c>
      <c r="AC69" s="1" t="s">
        <v>168</v>
      </c>
      <c r="AD69" s="8" t="s">
        <v>168</v>
      </c>
      <c r="AE69" s="13" t="s">
        <v>168</v>
      </c>
      <c r="AF69" s="1" t="s">
        <v>168</v>
      </c>
      <c r="AG69" s="1" t="s">
        <v>168</v>
      </c>
      <c r="AH69" s="1" t="s">
        <v>168</v>
      </c>
      <c r="AI69" s="1" t="s">
        <v>168</v>
      </c>
      <c r="AJ69" s="1" t="s">
        <v>168</v>
      </c>
      <c r="AK69" s="1" t="s">
        <v>168</v>
      </c>
      <c r="AL69" s="1" t="s">
        <v>168</v>
      </c>
      <c r="AM69" s="1" t="s">
        <v>168</v>
      </c>
      <c r="AN69" s="1" t="s">
        <v>168</v>
      </c>
      <c r="AO69" s="1" t="s">
        <v>168</v>
      </c>
      <c r="AP69" s="8" t="s">
        <v>168</v>
      </c>
      <c r="AQ69" s="13" t="s">
        <v>168</v>
      </c>
      <c r="AR69" s="1" t="s">
        <v>168</v>
      </c>
      <c r="AS69" s="1" t="s">
        <v>168</v>
      </c>
      <c r="AT69" s="1" t="s">
        <v>168</v>
      </c>
      <c r="AU69" s="1" t="s">
        <v>168</v>
      </c>
      <c r="AV69" s="1" t="s">
        <v>168</v>
      </c>
      <c r="AW69" s="1" t="s">
        <v>168</v>
      </c>
      <c r="AX69" s="1" t="s">
        <v>168</v>
      </c>
      <c r="AY69" s="1" t="s">
        <v>168</v>
      </c>
      <c r="AZ69" s="1" t="s">
        <v>168</v>
      </c>
      <c r="BA69" s="1" t="s">
        <v>168</v>
      </c>
      <c r="BB69" s="8" t="s">
        <v>168</v>
      </c>
      <c r="BC69" s="13" t="s">
        <v>168</v>
      </c>
      <c r="BD69" s="1" t="s">
        <v>168</v>
      </c>
      <c r="BE69" s="1" t="s">
        <v>168</v>
      </c>
      <c r="BF69" s="1" t="s">
        <v>168</v>
      </c>
      <c r="BG69" s="1" t="s">
        <v>168</v>
      </c>
      <c r="BH69" s="1" t="s">
        <v>168</v>
      </c>
      <c r="BI69" s="1" t="s">
        <v>168</v>
      </c>
      <c r="BJ69" s="1" t="s">
        <v>168</v>
      </c>
      <c r="BK69" s="1" t="s">
        <v>168</v>
      </c>
      <c r="BL69" s="1" t="s">
        <v>168</v>
      </c>
      <c r="BM69" s="1" t="s">
        <v>168</v>
      </c>
      <c r="BN69" s="8" t="s">
        <v>168</v>
      </c>
    </row>
    <row r="70" spans="1:66">
      <c r="A70" s="67"/>
      <c r="B70" s="46"/>
      <c r="C70" s="127"/>
      <c r="D70" s="52"/>
      <c r="E70" s="59"/>
      <c r="F70" s="59"/>
      <c r="G70" s="3">
        <f>'d)Pers.Técnico'!E53</f>
        <v>0</v>
      </c>
      <c r="H70" s="3">
        <f>'d)Pers.Técnico'!F53</f>
        <v>0</v>
      </c>
      <c r="I70" s="3">
        <f>'d)Pers.Técnico'!G53</f>
        <v>0</v>
      </c>
      <c r="J70" s="3">
        <f>'d)Pers.Técnico'!H53</f>
        <v>0</v>
      </c>
      <c r="K70" s="3">
        <f>'d)Pers.Técnico'!I53</f>
        <v>0</v>
      </c>
      <c r="L70" s="3">
        <f>'d)Pers.Técnico'!J53</f>
        <v>0</v>
      </c>
      <c r="M70" s="3">
        <f>'d)Pers.Técnico'!K53</f>
        <v>0</v>
      </c>
      <c r="N70" s="3">
        <f>'d)Pers.Técnico'!L53</f>
        <v>0</v>
      </c>
      <c r="O70" s="3">
        <f>'d)Pers.Técnico'!M53</f>
        <v>0</v>
      </c>
      <c r="P70" s="3">
        <f>'d)Pers.Técnico'!N53</f>
        <v>0</v>
      </c>
      <c r="Q70" s="3">
        <f>'d)Pers.Técnico'!O53</f>
        <v>0</v>
      </c>
      <c r="R70" s="14">
        <f>'d)Pers.Técnico'!P53</f>
        <v>0</v>
      </c>
      <c r="S70" s="20">
        <f>'d)Pers.Técnico'!Q53</f>
        <v>0</v>
      </c>
      <c r="T70" s="3">
        <f>'d)Pers.Técnico'!R53</f>
        <v>0</v>
      </c>
      <c r="U70" s="3">
        <f>'d)Pers.Técnico'!S53</f>
        <v>0</v>
      </c>
      <c r="V70" s="3">
        <f>'d)Pers.Técnico'!T53</f>
        <v>0</v>
      </c>
      <c r="W70" s="3">
        <f>'d)Pers.Técnico'!U53</f>
        <v>0</v>
      </c>
      <c r="X70" s="3">
        <f>'d)Pers.Técnico'!V53</f>
        <v>0</v>
      </c>
      <c r="Y70" s="3">
        <f>'d)Pers.Técnico'!W53</f>
        <v>0</v>
      </c>
      <c r="Z70" s="3">
        <f>'d)Pers.Técnico'!X53</f>
        <v>0</v>
      </c>
      <c r="AA70" s="3">
        <f>'d)Pers.Técnico'!Y53</f>
        <v>0</v>
      </c>
      <c r="AB70" s="3">
        <f>'d)Pers.Técnico'!Z53</f>
        <v>0</v>
      </c>
      <c r="AC70" s="3">
        <f>'d)Pers.Técnico'!AA53</f>
        <v>0</v>
      </c>
      <c r="AD70" s="14">
        <f>'d)Pers.Técnico'!AB53</f>
        <v>0</v>
      </c>
      <c r="AE70" s="20">
        <f>'d)Pers.Técnico'!AC53</f>
        <v>0</v>
      </c>
      <c r="AF70" s="3">
        <f>'d)Pers.Técnico'!AD53</f>
        <v>0</v>
      </c>
      <c r="AG70" s="3">
        <f>'d)Pers.Técnico'!AE53</f>
        <v>0</v>
      </c>
      <c r="AH70" s="3">
        <f>'d)Pers.Técnico'!AF53</f>
        <v>0</v>
      </c>
      <c r="AI70" s="3">
        <f>'d)Pers.Técnico'!AG53</f>
        <v>0</v>
      </c>
      <c r="AJ70" s="3">
        <f>'d)Pers.Técnico'!AH53</f>
        <v>0</v>
      </c>
      <c r="AK70" s="3">
        <f>'d)Pers.Técnico'!AI53</f>
        <v>0</v>
      </c>
      <c r="AL70" s="3">
        <f>'d)Pers.Técnico'!AJ53</f>
        <v>0</v>
      </c>
      <c r="AM70" s="3">
        <f>'d)Pers.Técnico'!AK53</f>
        <v>0</v>
      </c>
      <c r="AN70" s="3">
        <f>'d)Pers.Técnico'!AL53</f>
        <v>0</v>
      </c>
      <c r="AO70" s="3">
        <f>'d)Pers.Técnico'!AM53</f>
        <v>0</v>
      </c>
      <c r="AP70" s="14">
        <f>'d)Pers.Técnico'!AN53</f>
        <v>0</v>
      </c>
      <c r="AQ70" s="20">
        <f>'d)Pers.Técnico'!AO53</f>
        <v>0</v>
      </c>
      <c r="AR70" s="3">
        <f>'d)Pers.Técnico'!AP53</f>
        <v>0</v>
      </c>
      <c r="AS70" s="3">
        <f>'d)Pers.Técnico'!AQ53</f>
        <v>0</v>
      </c>
      <c r="AT70" s="3">
        <f>'d)Pers.Técnico'!AR53</f>
        <v>0</v>
      </c>
      <c r="AU70" s="3">
        <f>'d)Pers.Técnico'!AS53</f>
        <v>0</v>
      </c>
      <c r="AV70" s="3">
        <f>'d)Pers.Técnico'!AT53</f>
        <v>0</v>
      </c>
      <c r="AW70" s="3">
        <f>'d)Pers.Técnico'!AU53</f>
        <v>0</v>
      </c>
      <c r="AX70" s="3">
        <f>'d)Pers.Técnico'!AV53</f>
        <v>0</v>
      </c>
      <c r="AY70" s="3">
        <f>'d)Pers.Técnico'!AW53</f>
        <v>0</v>
      </c>
      <c r="AZ70" s="3">
        <f>'d)Pers.Técnico'!AX53</f>
        <v>0</v>
      </c>
      <c r="BA70" s="1">
        <f>'d)Pers.Técnico'!AY53</f>
        <v>0</v>
      </c>
      <c r="BB70" s="60">
        <f>'d)Pers.Técnico'!AZ53</f>
        <v>0</v>
      </c>
      <c r="BC70" s="61">
        <f>'d)Pers.Técnico'!BA53</f>
        <v>0</v>
      </c>
      <c r="BD70" s="3">
        <f>'d)Pers.Técnico'!BB53</f>
        <v>0</v>
      </c>
      <c r="BE70" s="3">
        <f>'d)Pers.Técnico'!BC53</f>
        <v>0</v>
      </c>
      <c r="BF70" s="3">
        <f>'d)Pers.Técnico'!BD53</f>
        <v>0</v>
      </c>
      <c r="BG70" s="3">
        <f>'d)Pers.Técnico'!BE53</f>
        <v>0</v>
      </c>
      <c r="BH70" s="3">
        <f>'d)Pers.Técnico'!BF53</f>
        <v>0</v>
      </c>
      <c r="BI70" s="3">
        <f>'d)Pers.Técnico'!BG53</f>
        <v>0</v>
      </c>
      <c r="BJ70" s="3">
        <f>'d)Pers.Técnico'!BH53</f>
        <v>0</v>
      </c>
      <c r="BK70" s="3">
        <f>'d)Pers.Técnico'!BI53</f>
        <v>0</v>
      </c>
      <c r="BL70" s="3">
        <f>'d)Pers.Técnico'!BJ53</f>
        <v>0</v>
      </c>
      <c r="BM70" s="3">
        <f>'d)Pers.Técnico'!BK53</f>
        <v>0</v>
      </c>
      <c r="BN70" s="14">
        <f>'d)Pers.Técnico'!BL53</f>
        <v>0</v>
      </c>
    </row>
    <row r="71" spans="1:66">
      <c r="A71" s="67"/>
      <c r="B71" s="46" t="str">
        <f>+'d)Pers.Técnico'!B53</f>
        <v/>
      </c>
      <c r="C71" s="127" t="str">
        <f>'d)Pers.Técnico'!C53</f>
        <v/>
      </c>
      <c r="D71" s="52">
        <f>SUM(G70:BN70)</f>
        <v>0</v>
      </c>
      <c r="E71" s="7">
        <f>IF('a)Plantilla'!C23&gt;0,'a)Plantilla'!D23/30,0)</f>
        <v>0</v>
      </c>
      <c r="F71" s="7">
        <f>SUM(G71:BN71)</f>
        <v>0</v>
      </c>
      <c r="G71" s="2">
        <f>IF(TipoProgramaPersonalTecnico=1,$E71*'a)Plantilla'!$C23*Programa!D$13,IF(TipoProgramaPersonalTecnico=2,$E71*G70,$E71/Hjor*G70))</f>
        <v>0</v>
      </c>
      <c r="H71" s="2">
        <f>IF(TipoProgramaPersonalTecnico=1,$E71*'a)Plantilla'!$C23*Programa!D$14,IF(TipoProgramaPersonalTecnico=2,$E71*H70,$E71/Hjor*H70))</f>
        <v>0</v>
      </c>
      <c r="I71" s="2">
        <f>IF(TipoProgramaPersonalTecnico=1,$E71*'a)Plantilla'!$C23*Programa!D$15,IF(TipoProgramaPersonalTecnico=2,$E71*I70,$E71/Hjor*I70))</f>
        <v>0</v>
      </c>
      <c r="J71" s="2">
        <f>IF(TipoProgramaPersonalTecnico=1,$E71*'a)Plantilla'!$C23*Programa!D$16,IF(TipoProgramaPersonalTecnico=2,$E71*J70,$E71/Hjor*J70))</f>
        <v>0</v>
      </c>
      <c r="K71" s="2">
        <f>IF(TipoProgramaPersonalTecnico=1,$E71*'a)Plantilla'!$C23*Programa!D$17,IF(TipoProgramaPersonalTecnico=2,$E71*K70,$E71/Hjor*K70))</f>
        <v>0</v>
      </c>
      <c r="L71" s="2">
        <f>IF(TipoProgramaPersonalTecnico=1,$E71*'a)Plantilla'!$C23*Programa!D$18,IF(TipoProgramaPersonalTecnico=2,$E71*L70,$E71/Hjor*L70))</f>
        <v>0</v>
      </c>
      <c r="M71" s="2">
        <f>IF(TipoProgramaPersonalTecnico=1,$E71*'a)Plantilla'!$C23*Programa!D$19,IF(TipoProgramaPersonalTecnico=2,$E71*M70,$E71/Hjor*M70))</f>
        <v>0</v>
      </c>
      <c r="N71" s="2">
        <f>IF(TipoProgramaPersonalTecnico=1,$E71*'a)Plantilla'!$C23*Programa!D$20,IF(TipoProgramaPersonalTecnico=2,$E71*N70,$E71/Hjor*N70))</f>
        <v>0</v>
      </c>
      <c r="O71" s="2">
        <f>IF(TipoProgramaPersonalTecnico=1,$E71*'a)Plantilla'!$C23*Programa!D$21,IF(TipoProgramaPersonalTecnico=2,$E71*O70,$E71/Hjor*O70))</f>
        <v>0</v>
      </c>
      <c r="P71" s="2">
        <f>IF(TipoProgramaPersonalTecnico=1,$E71*'a)Plantilla'!$C23*Programa!D$22,IF(TipoProgramaPersonalTecnico=2,$E71*P70,$E71/Hjor*P70))</f>
        <v>0</v>
      </c>
      <c r="Q71" s="2">
        <f>IF(TipoProgramaPersonalTecnico=1,$E71*'a)Plantilla'!$C23*Programa!D$23,IF(TipoProgramaPersonalTecnico=2,$E71*Q70,$E71/Hjor*Q70))</f>
        <v>0</v>
      </c>
      <c r="R71" s="12">
        <f>IF(TipoProgramaPersonalTecnico=1,$E71*'a)Plantilla'!$C23*Programa!D$24,IF(TipoProgramaPersonalTecnico=2,$E71*R70,$E71/Hjor*R70))</f>
        <v>0</v>
      </c>
      <c r="S71" s="7">
        <f>IF(TipoProgramaPersonalTecnico=1,$E71*'a)Plantilla'!$C23*Programa!D$25,IF(TipoProgramaPersonalTecnico=2,$E71*S70,$E71/Hjor*S70))</f>
        <v>0</v>
      </c>
      <c r="T71" s="2">
        <f>IF(TipoProgramaPersonalTecnico=1,$E71*'a)Plantilla'!$C23*Programa!D$26,IF(TipoProgramaPersonalTecnico=2,$E71*T70,$E71/Hjor*T70))</f>
        <v>0</v>
      </c>
      <c r="U71" s="2">
        <f>IF(TipoProgramaPersonalTecnico=1,$E71*'a)Plantilla'!$C23*Programa!D$27,IF(TipoProgramaPersonalTecnico=2,$E71*U70,$E71/Hjor*U70))</f>
        <v>0</v>
      </c>
      <c r="V71" s="2">
        <f>IF(TipoProgramaPersonalTecnico=1,$E71*'a)Plantilla'!$C23*Programa!D$28,IF(TipoProgramaPersonalTecnico=2,$E71*V70,$E71/Hjor*V70))</f>
        <v>0</v>
      </c>
      <c r="W71" s="2">
        <f>IF(TipoProgramaPersonalTecnico=1,$E71*'a)Plantilla'!$C23*Programa!D$29,IF(TipoProgramaPersonalTecnico=2,$E71*W70,$E71/Hjor*W70))</f>
        <v>0</v>
      </c>
      <c r="X71" s="2">
        <f>IF(TipoProgramaPersonalTecnico=1,$E71*'a)Plantilla'!$C23*Programa!D$30,IF(TipoProgramaPersonalTecnico=2,$E71*X70,$E71/Hjor*X70))</f>
        <v>0</v>
      </c>
      <c r="Y71" s="2">
        <f>IF(TipoProgramaPersonalTecnico=1,$E71*'a)Plantilla'!$C23*Programa!D$31,IF(TipoProgramaPersonalTecnico=2,$E71*Y70,$E71/Hjor*Y70))</f>
        <v>0</v>
      </c>
      <c r="Z71" s="2">
        <f>IF(TipoProgramaPersonalTecnico=1,$E71*'a)Plantilla'!$C23*Programa!D$32,IF(TipoProgramaPersonalTecnico=2,$E71*Z70,$E71/Hjor*Z70))</f>
        <v>0</v>
      </c>
      <c r="AA71" s="2">
        <f>IF(TipoProgramaPersonalTecnico=1,$E71*'a)Plantilla'!$C23*Programa!D$33,IF(TipoProgramaPersonalTecnico=2,$E71*AA70,$E71/Hjor*AA70))</f>
        <v>0</v>
      </c>
      <c r="AB71" s="2">
        <f>IF(TipoProgramaPersonalTecnico=1,$E71*'a)Plantilla'!$C23*Programa!D$34,IF(TipoProgramaPersonalTecnico=2,$E71*AB70,$E71/Hjor*AB70))</f>
        <v>0</v>
      </c>
      <c r="AC71" s="2">
        <f>IF(TipoProgramaPersonalTecnico=1,$E71*'a)Plantilla'!$C23*Programa!D$35,IF(TipoProgramaPersonalTecnico=2,$E71*AC70,$E71/Hjor*AC70))</f>
        <v>0</v>
      </c>
      <c r="AD71" s="12">
        <f>IF(TipoProgramaPersonalTecnico=1,$E71*'a)Plantilla'!$C23*Programa!D$36,IF(TipoProgramaPersonalTecnico=2,$E71*AD70,$E71/Hjor*AD70))</f>
        <v>0</v>
      </c>
      <c r="AE71" s="7">
        <f>IF(TipoProgramaPersonalTecnico=1,$E71*'a)Plantilla'!$C23*Programa!D$37,IF(TipoProgramaPersonalTecnico=2,$E71*AE70,$E71/Hjor*AE70))</f>
        <v>0</v>
      </c>
      <c r="AF71" s="2">
        <f>IF(TipoProgramaPersonalTecnico=1,$E71*'a)Plantilla'!$C23*Programa!D$38,IF(TipoProgramaPersonalTecnico=2,$E71*AF70,$E71/Hjor*AF70))</f>
        <v>0</v>
      </c>
      <c r="AG71" s="2">
        <f>IF(TipoProgramaPersonalTecnico=1,$E71*'a)Plantilla'!$C23*Programa!D$39,IF(TipoProgramaPersonalTecnico=2,$E71*AG70,$E71/Hjor*AG70))</f>
        <v>0</v>
      </c>
      <c r="AH71" s="2">
        <f>IF(TipoProgramaPersonalTecnico=1,$E71*'a)Plantilla'!$C23*Programa!D$40,IF(TipoProgramaPersonalTecnico=2,$E71*AH70,$E71/Hjor*AH70))</f>
        <v>0</v>
      </c>
      <c r="AI71" s="2">
        <f>IF(TipoProgramaPersonalTecnico=1,$E71*'a)Plantilla'!$C23*Programa!D$41,IF(TipoProgramaPersonalTecnico=2,$E71*AI70,$E71/Hjor*AI70))</f>
        <v>0</v>
      </c>
      <c r="AJ71" s="2">
        <f>IF(TipoProgramaPersonalTecnico=1,$E71*'a)Plantilla'!$C23*Programa!D$42,IF(TipoProgramaPersonalTecnico=2,$E71*AJ70,$E71/Hjor*AJ70))</f>
        <v>0</v>
      </c>
      <c r="AK71" s="2">
        <f>IF(TipoProgramaPersonalTecnico=1,$E71*'a)Plantilla'!$C23*Programa!D$43,IF(TipoProgramaPersonalTecnico=2,$E71*AK70,$E71/Hjor*AK70))</f>
        <v>0</v>
      </c>
      <c r="AL71" s="2">
        <f>IF(TipoProgramaPersonalTecnico=1,$E71*'a)Plantilla'!$C23*Programa!D$44,IF(TipoProgramaPersonalTecnico=2,$E71*AL70,$E71/Hjor*AL70))</f>
        <v>0</v>
      </c>
      <c r="AM71" s="2">
        <f>IF(TipoProgramaPersonalTecnico=1,$E71*'a)Plantilla'!$C23*Programa!D$45,IF(TipoProgramaPersonalTecnico=2,$E71*AM70,$E71/Hjor*AM70))</f>
        <v>0</v>
      </c>
      <c r="AN71" s="2">
        <f>IF(TipoProgramaPersonalTecnico=1,$E71*'a)Plantilla'!$C23*Programa!D$46,IF(TipoProgramaPersonalTecnico=2,$E71*AN70,$E71/Hjor*AN70))</f>
        <v>0</v>
      </c>
      <c r="AO71" s="2">
        <f>IF(TipoProgramaPersonalTecnico=1,$E71*'a)Plantilla'!$C23*Programa!D$47,IF(TipoProgramaPersonalTecnico=2,$E71*AO70,$E71/Hjor*AO70))</f>
        <v>0</v>
      </c>
      <c r="AP71" s="12">
        <f>IF(TipoProgramaPersonalTecnico=1,$E71*'a)Plantilla'!$C23*Programa!D$48,IF(TipoProgramaPersonalTecnico=2,$E71*AP70,$E71/Hjor*AP70))</f>
        <v>0</v>
      </c>
      <c r="AQ71" s="7">
        <f>IF(TipoProgramaPersonalTecnico=1,$E71*'a)Plantilla'!$C23*Programa!D$49,IF(TipoProgramaPersonalTecnico=2,$E71*AQ70,$E71/Hjor*AQ70))</f>
        <v>0</v>
      </c>
      <c r="AR71" s="2">
        <f>IF(TipoProgramaPersonalTecnico=1,$E71*'a)Plantilla'!$C23*Programa!D$50,IF(TipoProgramaPersonalTecnico=2,$E71*AR70,$E71/Hjor*AR70))</f>
        <v>0</v>
      </c>
      <c r="AS71" s="2">
        <f>IF(TipoProgramaPersonalTecnico=1,$E71*'a)Plantilla'!$C23*Programa!D$51,IF(TipoProgramaPersonalTecnico=2,$E71*AS70,$E71/Hjor*AS70))</f>
        <v>0</v>
      </c>
      <c r="AT71" s="2">
        <f>IF(TipoProgramaPersonalTecnico=1,$E71*'a)Plantilla'!$C23*Programa!D$52,IF(TipoProgramaPersonalTecnico=2,$E71*AT70,$E71/Hjor*AT70))</f>
        <v>0</v>
      </c>
      <c r="AU71" s="2">
        <f>IF(TipoProgramaPersonalTecnico=1,$E71*'a)Plantilla'!$C23*Programa!D$53,IF(TipoProgramaPersonalTecnico=2,$E71*AU70,$E71/Hjor*AU70))</f>
        <v>0</v>
      </c>
      <c r="AV71" s="2">
        <f>IF(TipoProgramaPersonalTecnico=1,$E71*'a)Plantilla'!$C23*Programa!D$54,IF(TipoProgramaPersonalTecnico=2,$E71*AV70,$E71/Hjor*AV70))</f>
        <v>0</v>
      </c>
      <c r="AW71" s="2">
        <f>IF(TipoProgramaPersonalTecnico=1,$E71*'a)Plantilla'!$C23*Programa!D$55,IF(TipoProgramaPersonalTecnico=2,$E71*AW70,$E71/Hjor*AW70))</f>
        <v>0</v>
      </c>
      <c r="AX71" s="2">
        <f>IF(TipoProgramaPersonalTecnico=1,$E71*'a)Plantilla'!$C23*Programa!D$56,IF(TipoProgramaPersonalTecnico=2,$E71*AX70,$E71/Hjor*AX70))</f>
        <v>0</v>
      </c>
      <c r="AY71" s="2">
        <f>IF(TipoProgramaPersonalTecnico=1,$E71*'a)Plantilla'!$C23*Programa!D$57,IF(TipoProgramaPersonalTecnico=2,$E71*AY70,$E71/Hjor*AY70))</f>
        <v>0</v>
      </c>
      <c r="AZ71" s="2">
        <f>IF(TipoProgramaPersonalTecnico=1,$E71*'a)Plantilla'!$C23*Programa!D$58,IF(TipoProgramaPersonalTecnico=2,$E71*AZ70,$E71/Hjor*AZ70))</f>
        <v>0</v>
      </c>
      <c r="BA71" s="55">
        <f>IF(TipoProgramaPersonalTecnico=1,$E71*'a)Plantilla'!$C23*Programa!D$59,IF(TipoProgramaPersonalTecnico=2,$E71*BA70,$E71/Hjor*BA70))</f>
        <v>0</v>
      </c>
      <c r="BB71" s="56">
        <f>IF(TipoProgramaPersonalTecnico=1,$E71*'a)Plantilla'!$C23*Programa!D$60,IF(TipoProgramaPersonalTecnico=2,$E71*BB70,$E71/Hjor*BB70))</f>
        <v>0</v>
      </c>
      <c r="BC71" s="53">
        <f>IF(TipoProgramaPersonalTecnico=1,$E71*'a)Plantilla'!$C23*Programa!D$61,IF(TipoProgramaPersonalTecnico=2,$E71*BC70,$E71/Hjor*BC70))</f>
        <v>0</v>
      </c>
      <c r="BD71" s="2">
        <f>IF(TipoProgramaPersonalTecnico=1,$E71*'a)Plantilla'!$C23*Programa!D$62,IF(TipoProgramaPersonalTecnico=2,$E71*BD70,$E71/Hjor*BD70))</f>
        <v>0</v>
      </c>
      <c r="BE71" s="2">
        <f>IF(TipoProgramaPersonalTecnico=1,$E71*'a)Plantilla'!$C23*Programa!D$63,IF(TipoProgramaPersonalTecnico=2,$E71*BE70,$E71/Hjor*BE70))</f>
        <v>0</v>
      </c>
      <c r="BF71" s="2">
        <f>IF(TipoProgramaPersonalTecnico=1,$E71*'a)Plantilla'!$C23*Programa!D$64,IF(TipoProgramaPersonalTecnico=2,$E71*BF70,$E71/Hjor*BF70))</f>
        <v>0</v>
      </c>
      <c r="BG71" s="2">
        <f>IF(TipoProgramaPersonalTecnico=1,$E71*'a)Plantilla'!$C23*Programa!D$65,IF(TipoProgramaPersonalTecnico=2,$E71*BG70,$E71/Hjor*BG70))</f>
        <v>0</v>
      </c>
      <c r="BH71" s="2">
        <f>IF(TipoProgramaPersonalTecnico=1,$E71*'a)Plantilla'!$C23*Programa!D$66,IF(TipoProgramaPersonalTecnico=2,$E71*BH70,$E71/Hjor*BH70))</f>
        <v>0</v>
      </c>
      <c r="BI71" s="2">
        <f>IF(TipoProgramaPersonalTecnico=1,$E71*'a)Plantilla'!$C23*Programa!D$67,IF(TipoProgramaPersonalTecnico=2,$E71*BI70,$E71/Hjor*BI70))</f>
        <v>0</v>
      </c>
      <c r="BJ71" s="2">
        <f>IF(TipoProgramaPersonalTecnico=1,$E71*'a)Plantilla'!$C23*Programa!D$68,IF(TipoProgramaPersonalTecnico=2,$E71*BJ70,$E71/Hjor*BJ70))</f>
        <v>0</v>
      </c>
      <c r="BK71" s="2">
        <f>IF(TipoProgramaPersonalTecnico=1,$E71*'a)Plantilla'!$C23*Programa!D$69,IF(TipoProgramaPersonalTecnico=2,$E71*BK70,$E71/Hjor*BK70))</f>
        <v>0</v>
      </c>
      <c r="BL71" s="2">
        <f>IF(TipoProgramaPersonalTecnico=1,$E71*'a)Plantilla'!$C23*Programa!D$70,IF(TipoProgramaPersonalTecnico=2,$E71*BL70,$E71/Hjor*BL70))</f>
        <v>0</v>
      </c>
      <c r="BM71" s="2">
        <f>IF(TipoProgramaPersonalTecnico=1,$E71*'a)Plantilla'!$C23*Programa!D$71,IF(TipoProgramaPersonalTecnico=2,$E71*BM70,$E71/Hjor*BM70))</f>
        <v>0</v>
      </c>
      <c r="BN71" s="12">
        <f>IF(TipoProgramaPersonalTecnico=1,$E71*'a)Plantilla'!$C23*Programa!D$72,IF(TipoProgramaPersonalTecnico=2,$E71*BN70,$E71/Hjor*BN70))</f>
        <v>0</v>
      </c>
    </row>
    <row r="72" spans="1:66" ht="7.5" customHeight="1">
      <c r="A72" s="67"/>
      <c r="B72" s="19"/>
      <c r="C72" s="127"/>
      <c r="D72" s="54"/>
      <c r="E72" s="19"/>
      <c r="F72" s="19"/>
      <c r="G72" s="1" t="s">
        <v>168</v>
      </c>
      <c r="H72" s="1" t="s">
        <v>168</v>
      </c>
      <c r="I72" s="1" t="s">
        <v>168</v>
      </c>
      <c r="J72" s="1" t="s">
        <v>168</v>
      </c>
      <c r="K72" s="1" t="s">
        <v>168</v>
      </c>
      <c r="L72" s="1" t="s">
        <v>168</v>
      </c>
      <c r="M72" s="1" t="s">
        <v>168</v>
      </c>
      <c r="N72" s="1" t="s">
        <v>168</v>
      </c>
      <c r="O72" s="1" t="s">
        <v>168</v>
      </c>
      <c r="P72" s="1" t="s">
        <v>168</v>
      </c>
      <c r="Q72" s="1" t="s">
        <v>168</v>
      </c>
      <c r="R72" s="8" t="s">
        <v>168</v>
      </c>
      <c r="S72" s="13" t="s">
        <v>168</v>
      </c>
      <c r="T72" s="1" t="s">
        <v>168</v>
      </c>
      <c r="U72" s="1" t="s">
        <v>168</v>
      </c>
      <c r="V72" s="1" t="s">
        <v>168</v>
      </c>
      <c r="W72" s="1" t="s">
        <v>168</v>
      </c>
      <c r="X72" s="1" t="s">
        <v>168</v>
      </c>
      <c r="Y72" s="1" t="s">
        <v>168</v>
      </c>
      <c r="Z72" s="1" t="s">
        <v>168</v>
      </c>
      <c r="AA72" s="1" t="s">
        <v>168</v>
      </c>
      <c r="AB72" s="1" t="s">
        <v>168</v>
      </c>
      <c r="AC72" s="1" t="s">
        <v>168</v>
      </c>
      <c r="AD72" s="8" t="s">
        <v>168</v>
      </c>
      <c r="AE72" s="13" t="s">
        <v>168</v>
      </c>
      <c r="AF72" s="1" t="s">
        <v>168</v>
      </c>
      <c r="AG72" s="1" t="s">
        <v>168</v>
      </c>
      <c r="AH72" s="1" t="s">
        <v>168</v>
      </c>
      <c r="AI72" s="1" t="s">
        <v>168</v>
      </c>
      <c r="AJ72" s="1" t="s">
        <v>168</v>
      </c>
      <c r="AK72" s="1" t="s">
        <v>168</v>
      </c>
      <c r="AL72" s="1" t="s">
        <v>168</v>
      </c>
      <c r="AM72" s="1" t="s">
        <v>168</v>
      </c>
      <c r="AN72" s="1" t="s">
        <v>168</v>
      </c>
      <c r="AO72" s="1" t="s">
        <v>168</v>
      </c>
      <c r="AP72" s="8" t="s">
        <v>168</v>
      </c>
      <c r="AQ72" s="13" t="s">
        <v>168</v>
      </c>
      <c r="AR72" s="1" t="s">
        <v>168</v>
      </c>
      <c r="AS72" s="1" t="s">
        <v>168</v>
      </c>
      <c r="AT72" s="1" t="s">
        <v>168</v>
      </c>
      <c r="AU72" s="1" t="s">
        <v>168</v>
      </c>
      <c r="AV72" s="1" t="s">
        <v>168</v>
      </c>
      <c r="AW72" s="1" t="s">
        <v>168</v>
      </c>
      <c r="AX72" s="1" t="s">
        <v>168</v>
      </c>
      <c r="AY72" s="1" t="s">
        <v>168</v>
      </c>
      <c r="AZ72" s="1" t="s">
        <v>168</v>
      </c>
      <c r="BA72" s="1" t="s">
        <v>168</v>
      </c>
      <c r="BB72" s="8" t="s">
        <v>168</v>
      </c>
      <c r="BC72" s="13" t="s">
        <v>168</v>
      </c>
      <c r="BD72" s="1" t="s">
        <v>168</v>
      </c>
      <c r="BE72" s="1" t="s">
        <v>168</v>
      </c>
      <c r="BF72" s="1" t="s">
        <v>168</v>
      </c>
      <c r="BG72" s="1" t="s">
        <v>168</v>
      </c>
      <c r="BH72" s="1" t="s">
        <v>168</v>
      </c>
      <c r="BI72" s="1" t="s">
        <v>168</v>
      </c>
      <c r="BJ72" s="1" t="s">
        <v>168</v>
      </c>
      <c r="BK72" s="1" t="s">
        <v>168</v>
      </c>
      <c r="BL72" s="1" t="s">
        <v>168</v>
      </c>
      <c r="BM72" s="1" t="s">
        <v>168</v>
      </c>
      <c r="BN72" s="8" t="s">
        <v>168</v>
      </c>
    </row>
    <row r="73" spans="1:66">
      <c r="A73" s="67"/>
      <c r="B73" s="46"/>
      <c r="C73" s="127"/>
      <c r="D73" s="52"/>
      <c r="E73" s="59"/>
      <c r="F73" s="59"/>
      <c r="G73" s="3">
        <f>'d)Pers.Técnico'!E55</f>
        <v>0</v>
      </c>
      <c r="H73" s="3">
        <f>'d)Pers.Técnico'!F55</f>
        <v>0</v>
      </c>
      <c r="I73" s="3">
        <f>'d)Pers.Técnico'!G55</f>
        <v>0</v>
      </c>
      <c r="J73" s="3">
        <f>'d)Pers.Técnico'!H55</f>
        <v>0</v>
      </c>
      <c r="K73" s="3">
        <f>'d)Pers.Técnico'!I55</f>
        <v>0</v>
      </c>
      <c r="L73" s="3">
        <f>'d)Pers.Técnico'!J55</f>
        <v>0</v>
      </c>
      <c r="M73" s="3">
        <f>'d)Pers.Técnico'!K55</f>
        <v>0</v>
      </c>
      <c r="N73" s="3">
        <f>'d)Pers.Técnico'!L55</f>
        <v>0</v>
      </c>
      <c r="O73" s="3">
        <f>'d)Pers.Técnico'!M55</f>
        <v>0</v>
      </c>
      <c r="P73" s="3">
        <f>'d)Pers.Técnico'!N55</f>
        <v>0</v>
      </c>
      <c r="Q73" s="3">
        <f>'d)Pers.Técnico'!O55</f>
        <v>0</v>
      </c>
      <c r="R73" s="14">
        <f>'d)Pers.Técnico'!P55</f>
        <v>0</v>
      </c>
      <c r="S73" s="20">
        <f>'d)Pers.Técnico'!Q55</f>
        <v>0</v>
      </c>
      <c r="T73" s="3">
        <f>'d)Pers.Técnico'!R55</f>
        <v>0</v>
      </c>
      <c r="U73" s="3">
        <f>'d)Pers.Técnico'!S55</f>
        <v>0</v>
      </c>
      <c r="V73" s="3">
        <f>'d)Pers.Técnico'!T55</f>
        <v>0</v>
      </c>
      <c r="W73" s="3">
        <f>'d)Pers.Técnico'!U55</f>
        <v>0</v>
      </c>
      <c r="X73" s="3">
        <f>'d)Pers.Técnico'!V55</f>
        <v>0</v>
      </c>
      <c r="Y73" s="3">
        <f>'d)Pers.Técnico'!W55</f>
        <v>0</v>
      </c>
      <c r="Z73" s="3">
        <f>'d)Pers.Técnico'!X55</f>
        <v>0</v>
      </c>
      <c r="AA73" s="3">
        <f>'d)Pers.Técnico'!Y55</f>
        <v>0</v>
      </c>
      <c r="AB73" s="3">
        <f>'d)Pers.Técnico'!Z55</f>
        <v>0</v>
      </c>
      <c r="AC73" s="3">
        <f>'d)Pers.Técnico'!AA55</f>
        <v>0</v>
      </c>
      <c r="AD73" s="14">
        <f>'d)Pers.Técnico'!AB55</f>
        <v>0</v>
      </c>
      <c r="AE73" s="20">
        <f>'d)Pers.Técnico'!AC55</f>
        <v>0</v>
      </c>
      <c r="AF73" s="3">
        <f>'d)Pers.Técnico'!AD55</f>
        <v>0</v>
      </c>
      <c r="AG73" s="3">
        <f>'d)Pers.Técnico'!AE55</f>
        <v>0</v>
      </c>
      <c r="AH73" s="3">
        <f>'d)Pers.Técnico'!AF55</f>
        <v>0</v>
      </c>
      <c r="AI73" s="3">
        <f>'d)Pers.Técnico'!AG55</f>
        <v>0</v>
      </c>
      <c r="AJ73" s="3">
        <f>'d)Pers.Técnico'!AH55</f>
        <v>0</v>
      </c>
      <c r="AK73" s="3">
        <f>'d)Pers.Técnico'!AI55</f>
        <v>0</v>
      </c>
      <c r="AL73" s="3">
        <f>'d)Pers.Técnico'!AJ55</f>
        <v>0</v>
      </c>
      <c r="AM73" s="3">
        <f>'d)Pers.Técnico'!AK55</f>
        <v>0</v>
      </c>
      <c r="AN73" s="3">
        <f>'d)Pers.Técnico'!AL55</f>
        <v>0</v>
      </c>
      <c r="AO73" s="3">
        <f>'d)Pers.Técnico'!AM55</f>
        <v>0</v>
      </c>
      <c r="AP73" s="14">
        <f>'d)Pers.Técnico'!AN55</f>
        <v>0</v>
      </c>
      <c r="AQ73" s="20">
        <f>'d)Pers.Técnico'!AO55</f>
        <v>0</v>
      </c>
      <c r="AR73" s="3">
        <f>'d)Pers.Técnico'!AP55</f>
        <v>0</v>
      </c>
      <c r="AS73" s="3">
        <f>'d)Pers.Técnico'!AQ55</f>
        <v>0</v>
      </c>
      <c r="AT73" s="3">
        <f>'d)Pers.Técnico'!AR55</f>
        <v>0</v>
      </c>
      <c r="AU73" s="3">
        <f>'d)Pers.Técnico'!AS55</f>
        <v>0</v>
      </c>
      <c r="AV73" s="3">
        <f>'d)Pers.Técnico'!AT55</f>
        <v>0</v>
      </c>
      <c r="AW73" s="3">
        <f>'d)Pers.Técnico'!AU55</f>
        <v>0</v>
      </c>
      <c r="AX73" s="3">
        <f>'d)Pers.Técnico'!AV55</f>
        <v>0</v>
      </c>
      <c r="AY73" s="3">
        <f>'d)Pers.Técnico'!AW55</f>
        <v>0</v>
      </c>
      <c r="AZ73" s="3">
        <f>'d)Pers.Técnico'!AX55</f>
        <v>0</v>
      </c>
      <c r="BA73" s="1">
        <f>'d)Pers.Técnico'!AY55</f>
        <v>0</v>
      </c>
      <c r="BB73" s="60">
        <f>'d)Pers.Técnico'!AZ55</f>
        <v>0</v>
      </c>
      <c r="BC73" s="61">
        <f>'d)Pers.Técnico'!BA55</f>
        <v>0</v>
      </c>
      <c r="BD73" s="3">
        <f>'d)Pers.Técnico'!BB55</f>
        <v>0</v>
      </c>
      <c r="BE73" s="3">
        <f>'d)Pers.Técnico'!BC55</f>
        <v>0</v>
      </c>
      <c r="BF73" s="3">
        <f>'d)Pers.Técnico'!BD55</f>
        <v>0</v>
      </c>
      <c r="BG73" s="3">
        <f>'d)Pers.Técnico'!BE55</f>
        <v>0</v>
      </c>
      <c r="BH73" s="3">
        <f>'d)Pers.Técnico'!BF55</f>
        <v>0</v>
      </c>
      <c r="BI73" s="3">
        <f>'d)Pers.Técnico'!BG55</f>
        <v>0</v>
      </c>
      <c r="BJ73" s="3">
        <f>'d)Pers.Técnico'!BH55</f>
        <v>0</v>
      </c>
      <c r="BK73" s="3">
        <f>'d)Pers.Técnico'!BI55</f>
        <v>0</v>
      </c>
      <c r="BL73" s="3">
        <f>'d)Pers.Técnico'!BJ55</f>
        <v>0</v>
      </c>
      <c r="BM73" s="3">
        <f>'d)Pers.Técnico'!BK55</f>
        <v>0</v>
      </c>
      <c r="BN73" s="14">
        <f>'d)Pers.Técnico'!BL55</f>
        <v>0</v>
      </c>
    </row>
    <row r="74" spans="1:66">
      <c r="A74" s="67"/>
      <c r="B74" s="46" t="str">
        <f>+'d)Pers.Técnico'!B55</f>
        <v/>
      </c>
      <c r="C74" s="127" t="str">
        <f>'d)Pers.Técnico'!C55</f>
        <v/>
      </c>
      <c r="D74" s="52">
        <f>SUM(G73:BN73)</f>
        <v>0</v>
      </c>
      <c r="E74" s="7">
        <f>IF('a)Plantilla'!C24&gt;0,'a)Plantilla'!D24/30,0)</f>
        <v>0</v>
      </c>
      <c r="F74" s="7">
        <f>SUM(G74:BN74)</f>
        <v>0</v>
      </c>
      <c r="G74" s="2">
        <f>IF(TipoProgramaPersonalTecnico=1,$E74*'a)Plantilla'!$C24*Programa!D$13,IF(TipoProgramaPersonalTecnico=2,$E74*G73,$E74/Hjor*G73))</f>
        <v>0</v>
      </c>
      <c r="H74" s="2">
        <f>IF(TipoProgramaPersonalTecnico=1,$E74*'a)Plantilla'!$C24*Programa!D$14,IF(TipoProgramaPersonalTecnico=2,$E74*H73,$E74/Hjor*H73))</f>
        <v>0</v>
      </c>
      <c r="I74" s="2">
        <f>IF(TipoProgramaPersonalTecnico=1,$E74*'a)Plantilla'!$C24*Programa!D$15,IF(TipoProgramaPersonalTecnico=2,$E74*I73,$E74/Hjor*I73))</f>
        <v>0</v>
      </c>
      <c r="J74" s="2">
        <f>IF(TipoProgramaPersonalTecnico=1,$E74*'a)Plantilla'!$C24*Programa!D$16,IF(TipoProgramaPersonalTecnico=2,$E74*J73,$E74/Hjor*J73))</f>
        <v>0</v>
      </c>
      <c r="K74" s="2">
        <f>IF(TipoProgramaPersonalTecnico=1,$E74*'a)Plantilla'!$C24*Programa!D$17,IF(TipoProgramaPersonalTecnico=2,$E74*K73,$E74/Hjor*K73))</f>
        <v>0</v>
      </c>
      <c r="L74" s="2">
        <f>IF(TipoProgramaPersonalTecnico=1,$E74*'a)Plantilla'!$C24*Programa!D$18,IF(TipoProgramaPersonalTecnico=2,$E74*L73,$E74/Hjor*L73))</f>
        <v>0</v>
      </c>
      <c r="M74" s="2">
        <f>IF(TipoProgramaPersonalTecnico=1,$E74*'a)Plantilla'!$C24*Programa!D$19,IF(TipoProgramaPersonalTecnico=2,$E74*M73,$E74/Hjor*M73))</f>
        <v>0</v>
      </c>
      <c r="N74" s="2">
        <f>IF(TipoProgramaPersonalTecnico=1,$E74*'a)Plantilla'!$C24*Programa!D$20,IF(TipoProgramaPersonalTecnico=2,$E74*N73,$E74/Hjor*N73))</f>
        <v>0</v>
      </c>
      <c r="O74" s="2">
        <f>IF(TipoProgramaPersonalTecnico=1,$E74*'a)Plantilla'!$C24*Programa!D$21,IF(TipoProgramaPersonalTecnico=2,$E74*O73,$E74/Hjor*O73))</f>
        <v>0</v>
      </c>
      <c r="P74" s="2">
        <f>IF(TipoProgramaPersonalTecnico=1,$E74*'a)Plantilla'!$C24*Programa!D$22,IF(TipoProgramaPersonalTecnico=2,$E74*P73,$E74/Hjor*P73))</f>
        <v>0</v>
      </c>
      <c r="Q74" s="2">
        <f>IF(TipoProgramaPersonalTecnico=1,$E74*'a)Plantilla'!$C24*Programa!D$23,IF(TipoProgramaPersonalTecnico=2,$E74*Q73,$E74/Hjor*Q73))</f>
        <v>0</v>
      </c>
      <c r="R74" s="12">
        <f>IF(TipoProgramaPersonalTecnico=1,$E74*'a)Plantilla'!$C24*Programa!D$24,IF(TipoProgramaPersonalTecnico=2,$E74*R73,$E74/Hjor*R73))</f>
        <v>0</v>
      </c>
      <c r="S74" s="7">
        <f>IF(TipoProgramaPersonalTecnico=1,$E74*'a)Plantilla'!$C24*Programa!D$25,IF(TipoProgramaPersonalTecnico=2,$E74*S73,$E74/Hjor*S73))</f>
        <v>0</v>
      </c>
      <c r="T74" s="2">
        <f>IF(TipoProgramaPersonalTecnico=1,$E74*'a)Plantilla'!$C24*Programa!D$26,IF(TipoProgramaPersonalTecnico=2,$E74*T73,$E74/Hjor*T73))</f>
        <v>0</v>
      </c>
      <c r="U74" s="2">
        <f>IF(TipoProgramaPersonalTecnico=1,$E74*'a)Plantilla'!$C24*Programa!D$27,IF(TipoProgramaPersonalTecnico=2,$E74*U73,$E74/Hjor*U73))</f>
        <v>0</v>
      </c>
      <c r="V74" s="2">
        <f>IF(TipoProgramaPersonalTecnico=1,$E74*'a)Plantilla'!$C24*Programa!D$28,IF(TipoProgramaPersonalTecnico=2,$E74*V73,$E74/Hjor*V73))</f>
        <v>0</v>
      </c>
      <c r="W74" s="2">
        <f>IF(TipoProgramaPersonalTecnico=1,$E74*'a)Plantilla'!$C24*Programa!D$29,IF(TipoProgramaPersonalTecnico=2,$E74*W73,$E74/Hjor*W73))</f>
        <v>0</v>
      </c>
      <c r="X74" s="2">
        <f>IF(TipoProgramaPersonalTecnico=1,$E74*'a)Plantilla'!$C24*Programa!D$30,IF(TipoProgramaPersonalTecnico=2,$E74*X73,$E74/Hjor*X73))</f>
        <v>0</v>
      </c>
      <c r="Y74" s="2">
        <f>IF(TipoProgramaPersonalTecnico=1,$E74*'a)Plantilla'!$C24*Programa!D$31,IF(TipoProgramaPersonalTecnico=2,$E74*Y73,$E74/Hjor*Y73))</f>
        <v>0</v>
      </c>
      <c r="Z74" s="2">
        <f>IF(TipoProgramaPersonalTecnico=1,$E74*'a)Plantilla'!$C24*Programa!D$32,IF(TipoProgramaPersonalTecnico=2,$E74*Z73,$E74/Hjor*Z73))</f>
        <v>0</v>
      </c>
      <c r="AA74" s="2">
        <f>IF(TipoProgramaPersonalTecnico=1,$E74*'a)Plantilla'!$C24*Programa!D$33,IF(TipoProgramaPersonalTecnico=2,$E74*AA73,$E74/Hjor*AA73))</f>
        <v>0</v>
      </c>
      <c r="AB74" s="2">
        <f>IF(TipoProgramaPersonalTecnico=1,$E74*'a)Plantilla'!$C24*Programa!D$34,IF(TipoProgramaPersonalTecnico=2,$E74*AB73,$E74/Hjor*AB73))</f>
        <v>0</v>
      </c>
      <c r="AC74" s="2">
        <f>IF(TipoProgramaPersonalTecnico=1,$E74*'a)Plantilla'!$C24*Programa!D$35,IF(TipoProgramaPersonalTecnico=2,$E74*AC73,$E74/Hjor*AC73))</f>
        <v>0</v>
      </c>
      <c r="AD74" s="12">
        <f>IF(TipoProgramaPersonalTecnico=1,$E74*'a)Plantilla'!$C24*Programa!D$36,IF(TipoProgramaPersonalTecnico=2,$E74*AD73,$E74/Hjor*AD73))</f>
        <v>0</v>
      </c>
      <c r="AE74" s="7">
        <f>IF(TipoProgramaPersonalTecnico=1,$E74*'a)Plantilla'!$C24*Programa!D$37,IF(TipoProgramaPersonalTecnico=2,$E74*AE73,$E74/Hjor*AE73))</f>
        <v>0</v>
      </c>
      <c r="AF74" s="2">
        <f>IF(TipoProgramaPersonalTecnico=1,$E74*'a)Plantilla'!$C24*Programa!D$38,IF(TipoProgramaPersonalTecnico=2,$E74*AF73,$E74/Hjor*AF73))</f>
        <v>0</v>
      </c>
      <c r="AG74" s="2">
        <f>IF(TipoProgramaPersonalTecnico=1,$E74*'a)Plantilla'!$C24*Programa!D$39,IF(TipoProgramaPersonalTecnico=2,$E74*AG73,$E74/Hjor*AG73))</f>
        <v>0</v>
      </c>
      <c r="AH74" s="2">
        <f>IF(TipoProgramaPersonalTecnico=1,$E74*'a)Plantilla'!$C24*Programa!D$40,IF(TipoProgramaPersonalTecnico=2,$E74*AH73,$E74/Hjor*AH73))</f>
        <v>0</v>
      </c>
      <c r="AI74" s="2">
        <f>IF(TipoProgramaPersonalTecnico=1,$E74*'a)Plantilla'!$C24*Programa!D$41,IF(TipoProgramaPersonalTecnico=2,$E74*AI73,$E74/Hjor*AI73))</f>
        <v>0</v>
      </c>
      <c r="AJ74" s="2">
        <f>IF(TipoProgramaPersonalTecnico=1,$E74*'a)Plantilla'!$C24*Programa!D$42,IF(TipoProgramaPersonalTecnico=2,$E74*AJ73,$E74/Hjor*AJ73))</f>
        <v>0</v>
      </c>
      <c r="AK74" s="2">
        <f>IF(TipoProgramaPersonalTecnico=1,$E74*'a)Plantilla'!$C24*Programa!D$43,IF(TipoProgramaPersonalTecnico=2,$E74*AK73,$E74/Hjor*AK73))</f>
        <v>0</v>
      </c>
      <c r="AL74" s="2">
        <f>IF(TipoProgramaPersonalTecnico=1,$E74*'a)Plantilla'!$C24*Programa!D$44,IF(TipoProgramaPersonalTecnico=2,$E74*AL73,$E74/Hjor*AL73))</f>
        <v>0</v>
      </c>
      <c r="AM74" s="2">
        <f>IF(TipoProgramaPersonalTecnico=1,$E74*'a)Plantilla'!$C24*Programa!D$45,IF(TipoProgramaPersonalTecnico=2,$E74*AM73,$E74/Hjor*AM73))</f>
        <v>0</v>
      </c>
      <c r="AN74" s="2">
        <f>IF(TipoProgramaPersonalTecnico=1,$E74*'a)Plantilla'!$C24*Programa!D$46,IF(TipoProgramaPersonalTecnico=2,$E74*AN73,$E74/Hjor*AN73))</f>
        <v>0</v>
      </c>
      <c r="AO74" s="2">
        <f>IF(TipoProgramaPersonalTecnico=1,$E74*'a)Plantilla'!$C24*Programa!D$47,IF(TipoProgramaPersonalTecnico=2,$E74*AO73,$E74/Hjor*AO73))</f>
        <v>0</v>
      </c>
      <c r="AP74" s="12">
        <f>IF(TipoProgramaPersonalTecnico=1,$E74*'a)Plantilla'!$C24*Programa!D$48,IF(TipoProgramaPersonalTecnico=2,$E74*AP73,$E74/Hjor*AP73))</f>
        <v>0</v>
      </c>
      <c r="AQ74" s="7">
        <f>IF(TipoProgramaPersonalTecnico=1,$E74*'a)Plantilla'!$C24*Programa!D$49,IF(TipoProgramaPersonalTecnico=2,$E74*AQ73,$E74/Hjor*AQ73))</f>
        <v>0</v>
      </c>
      <c r="AR74" s="2">
        <f>IF(TipoProgramaPersonalTecnico=1,$E74*'a)Plantilla'!$C24*Programa!D$50,IF(TipoProgramaPersonalTecnico=2,$E74*AR73,$E74/Hjor*AR73))</f>
        <v>0</v>
      </c>
      <c r="AS74" s="2">
        <f>IF(TipoProgramaPersonalTecnico=1,$E74*'a)Plantilla'!$C24*Programa!D$51,IF(TipoProgramaPersonalTecnico=2,$E74*AS73,$E74/Hjor*AS73))</f>
        <v>0</v>
      </c>
      <c r="AT74" s="2">
        <f>IF(TipoProgramaPersonalTecnico=1,$E74*'a)Plantilla'!$C24*Programa!D$52,IF(TipoProgramaPersonalTecnico=2,$E74*AT73,$E74/Hjor*AT73))</f>
        <v>0</v>
      </c>
      <c r="AU74" s="2">
        <f>IF(TipoProgramaPersonalTecnico=1,$E74*'a)Plantilla'!$C24*Programa!D$53,IF(TipoProgramaPersonalTecnico=2,$E74*AU73,$E74/Hjor*AU73))</f>
        <v>0</v>
      </c>
      <c r="AV74" s="2">
        <f>IF(TipoProgramaPersonalTecnico=1,$E74*'a)Plantilla'!$C24*Programa!D$54,IF(TipoProgramaPersonalTecnico=2,$E74*AV73,$E74/Hjor*AV73))</f>
        <v>0</v>
      </c>
      <c r="AW74" s="2">
        <f>IF(TipoProgramaPersonalTecnico=1,$E74*'a)Plantilla'!$C24*Programa!D$55,IF(TipoProgramaPersonalTecnico=2,$E74*AW73,$E74/Hjor*AW73))</f>
        <v>0</v>
      </c>
      <c r="AX74" s="2">
        <f>IF(TipoProgramaPersonalTecnico=1,$E74*'a)Plantilla'!$C24*Programa!D$56,IF(TipoProgramaPersonalTecnico=2,$E74*AX73,$E74/Hjor*AX73))</f>
        <v>0</v>
      </c>
      <c r="AY74" s="2">
        <f>IF(TipoProgramaPersonalTecnico=1,$E74*'a)Plantilla'!$C24*Programa!D$57,IF(TipoProgramaPersonalTecnico=2,$E74*AY73,$E74/Hjor*AY73))</f>
        <v>0</v>
      </c>
      <c r="AZ74" s="2">
        <f>IF(TipoProgramaPersonalTecnico=1,$E74*'a)Plantilla'!$C24*Programa!D$58,IF(TipoProgramaPersonalTecnico=2,$E74*AZ73,$E74/Hjor*AZ73))</f>
        <v>0</v>
      </c>
      <c r="BA74" s="55">
        <f>IF(TipoProgramaPersonalTecnico=1,$E74*'a)Plantilla'!$C24*Programa!D$59,IF(TipoProgramaPersonalTecnico=2,$E74*BA73,$E74/Hjor*BA73))</f>
        <v>0</v>
      </c>
      <c r="BB74" s="56">
        <f>IF(TipoProgramaPersonalTecnico=1,$E74*'a)Plantilla'!$C24*Programa!D$60,IF(TipoProgramaPersonalTecnico=2,$E74*BB73,$E74/Hjor*BB73))</f>
        <v>0</v>
      </c>
      <c r="BC74" s="53">
        <f>IF(TipoProgramaPersonalTecnico=1,$E74*'a)Plantilla'!$C24*Programa!D$61,IF(TipoProgramaPersonalTecnico=2,$E74*BC73,$E74/Hjor*BC73))</f>
        <v>0</v>
      </c>
      <c r="BD74" s="2">
        <f>IF(TipoProgramaPersonalTecnico=1,$E74*'a)Plantilla'!$C24*Programa!D$62,IF(TipoProgramaPersonalTecnico=2,$E74*BD73,$E74/Hjor*BD73))</f>
        <v>0</v>
      </c>
      <c r="BE74" s="2">
        <f>IF(TipoProgramaPersonalTecnico=1,$E74*'a)Plantilla'!$C24*Programa!D$63,IF(TipoProgramaPersonalTecnico=2,$E74*BE73,$E74/Hjor*BE73))</f>
        <v>0</v>
      </c>
      <c r="BF74" s="2">
        <f>IF(TipoProgramaPersonalTecnico=1,$E74*'a)Plantilla'!$C24*Programa!D$64,IF(TipoProgramaPersonalTecnico=2,$E74*BF73,$E74/Hjor*BF73))</f>
        <v>0</v>
      </c>
      <c r="BG74" s="2">
        <f>IF(TipoProgramaPersonalTecnico=1,$E74*'a)Plantilla'!$C24*Programa!D$65,IF(TipoProgramaPersonalTecnico=2,$E74*BG73,$E74/Hjor*BG73))</f>
        <v>0</v>
      </c>
      <c r="BH74" s="2">
        <f>IF(TipoProgramaPersonalTecnico=1,$E74*'a)Plantilla'!$C24*Programa!D$66,IF(TipoProgramaPersonalTecnico=2,$E74*BH73,$E74/Hjor*BH73))</f>
        <v>0</v>
      </c>
      <c r="BI74" s="2">
        <f>IF(TipoProgramaPersonalTecnico=1,$E74*'a)Plantilla'!$C24*Programa!D$67,IF(TipoProgramaPersonalTecnico=2,$E74*BI73,$E74/Hjor*BI73))</f>
        <v>0</v>
      </c>
      <c r="BJ74" s="2">
        <f>IF(TipoProgramaPersonalTecnico=1,$E74*'a)Plantilla'!$C24*Programa!D$68,IF(TipoProgramaPersonalTecnico=2,$E74*BJ73,$E74/Hjor*BJ73))</f>
        <v>0</v>
      </c>
      <c r="BK74" s="2">
        <f>IF(TipoProgramaPersonalTecnico=1,$E74*'a)Plantilla'!$C24*Programa!D$69,IF(TipoProgramaPersonalTecnico=2,$E74*BK73,$E74/Hjor*BK73))</f>
        <v>0</v>
      </c>
      <c r="BL74" s="2">
        <f>IF(TipoProgramaPersonalTecnico=1,$E74*'a)Plantilla'!$C24*Programa!D$70,IF(TipoProgramaPersonalTecnico=2,$E74*BL73,$E74/Hjor*BL73))</f>
        <v>0</v>
      </c>
      <c r="BM74" s="2">
        <f>IF(TipoProgramaPersonalTecnico=1,$E74*'a)Plantilla'!$C24*Programa!D$71,IF(TipoProgramaPersonalTecnico=2,$E74*BM73,$E74/Hjor*BM73))</f>
        <v>0</v>
      </c>
      <c r="BN74" s="12">
        <f>IF(TipoProgramaPersonalTecnico=1,$E74*'a)Plantilla'!$C24*Programa!D$72,IF(TipoProgramaPersonalTecnico=2,$E74*BN73,$E74/Hjor*BN73))</f>
        <v>0</v>
      </c>
    </row>
    <row r="75" spans="1:66" ht="7.5" customHeight="1">
      <c r="A75" s="67"/>
      <c r="B75" s="19"/>
      <c r="C75" s="127"/>
      <c r="D75" s="54"/>
      <c r="E75" s="19"/>
      <c r="F75" s="19"/>
      <c r="G75" s="1" t="s">
        <v>168</v>
      </c>
      <c r="H75" s="1" t="s">
        <v>168</v>
      </c>
      <c r="I75" s="1" t="s">
        <v>168</v>
      </c>
      <c r="J75" s="1" t="s">
        <v>168</v>
      </c>
      <c r="K75" s="1" t="s">
        <v>168</v>
      </c>
      <c r="L75" s="1" t="s">
        <v>168</v>
      </c>
      <c r="M75" s="1" t="s">
        <v>168</v>
      </c>
      <c r="N75" s="1" t="s">
        <v>168</v>
      </c>
      <c r="O75" s="1" t="s">
        <v>168</v>
      </c>
      <c r="P75" s="1" t="s">
        <v>168</v>
      </c>
      <c r="Q75" s="1" t="s">
        <v>168</v>
      </c>
      <c r="R75" s="8" t="s">
        <v>168</v>
      </c>
      <c r="S75" s="13" t="s">
        <v>168</v>
      </c>
      <c r="T75" s="1" t="s">
        <v>168</v>
      </c>
      <c r="U75" s="1" t="s">
        <v>168</v>
      </c>
      <c r="V75" s="1" t="s">
        <v>168</v>
      </c>
      <c r="W75" s="1" t="s">
        <v>168</v>
      </c>
      <c r="X75" s="1" t="s">
        <v>168</v>
      </c>
      <c r="Y75" s="1" t="s">
        <v>168</v>
      </c>
      <c r="Z75" s="1" t="s">
        <v>168</v>
      </c>
      <c r="AA75" s="1" t="s">
        <v>168</v>
      </c>
      <c r="AB75" s="1" t="s">
        <v>168</v>
      </c>
      <c r="AC75" s="1" t="s">
        <v>168</v>
      </c>
      <c r="AD75" s="8" t="s">
        <v>168</v>
      </c>
      <c r="AE75" s="13" t="s">
        <v>168</v>
      </c>
      <c r="AF75" s="1" t="s">
        <v>168</v>
      </c>
      <c r="AG75" s="1" t="s">
        <v>168</v>
      </c>
      <c r="AH75" s="1" t="s">
        <v>168</v>
      </c>
      <c r="AI75" s="1" t="s">
        <v>168</v>
      </c>
      <c r="AJ75" s="1" t="s">
        <v>168</v>
      </c>
      <c r="AK75" s="1" t="s">
        <v>168</v>
      </c>
      <c r="AL75" s="1" t="s">
        <v>168</v>
      </c>
      <c r="AM75" s="1" t="s">
        <v>168</v>
      </c>
      <c r="AN75" s="1" t="s">
        <v>168</v>
      </c>
      <c r="AO75" s="1" t="s">
        <v>168</v>
      </c>
      <c r="AP75" s="8" t="s">
        <v>168</v>
      </c>
      <c r="AQ75" s="13" t="s">
        <v>168</v>
      </c>
      <c r="AR75" s="1" t="s">
        <v>168</v>
      </c>
      <c r="AS75" s="1" t="s">
        <v>168</v>
      </c>
      <c r="AT75" s="1" t="s">
        <v>168</v>
      </c>
      <c r="AU75" s="1" t="s">
        <v>168</v>
      </c>
      <c r="AV75" s="1" t="s">
        <v>168</v>
      </c>
      <c r="AW75" s="1" t="s">
        <v>168</v>
      </c>
      <c r="AX75" s="1" t="s">
        <v>168</v>
      </c>
      <c r="AY75" s="1" t="s">
        <v>168</v>
      </c>
      <c r="AZ75" s="1" t="s">
        <v>168</v>
      </c>
      <c r="BA75" s="1" t="s">
        <v>168</v>
      </c>
      <c r="BB75" s="8" t="s">
        <v>168</v>
      </c>
      <c r="BC75" s="13" t="s">
        <v>168</v>
      </c>
      <c r="BD75" s="1" t="s">
        <v>168</v>
      </c>
      <c r="BE75" s="1" t="s">
        <v>168</v>
      </c>
      <c r="BF75" s="1" t="s">
        <v>168</v>
      </c>
      <c r="BG75" s="1" t="s">
        <v>168</v>
      </c>
      <c r="BH75" s="1" t="s">
        <v>168</v>
      </c>
      <c r="BI75" s="1" t="s">
        <v>168</v>
      </c>
      <c r="BJ75" s="1" t="s">
        <v>168</v>
      </c>
      <c r="BK75" s="1" t="s">
        <v>168</v>
      </c>
      <c r="BL75" s="1" t="s">
        <v>168</v>
      </c>
      <c r="BM75" s="1" t="s">
        <v>168</v>
      </c>
      <c r="BN75" s="8" t="s">
        <v>168</v>
      </c>
    </row>
    <row r="76" spans="1:66">
      <c r="A76" s="67"/>
      <c r="B76" s="46"/>
      <c r="C76" s="127"/>
      <c r="D76" s="52"/>
      <c r="E76" s="59"/>
      <c r="F76" s="59"/>
      <c r="G76" s="3">
        <f>'d)Pers.Técnico'!E57</f>
        <v>0</v>
      </c>
      <c r="H76" s="3">
        <f>'d)Pers.Técnico'!F57</f>
        <v>0</v>
      </c>
      <c r="I76" s="3">
        <f>'d)Pers.Técnico'!G57</f>
        <v>0</v>
      </c>
      <c r="J76" s="3">
        <f>'d)Pers.Técnico'!H57</f>
        <v>0</v>
      </c>
      <c r="K76" s="3">
        <f>'d)Pers.Técnico'!I57</f>
        <v>0</v>
      </c>
      <c r="L76" s="3">
        <f>'d)Pers.Técnico'!J57</f>
        <v>0</v>
      </c>
      <c r="M76" s="3">
        <f>'d)Pers.Técnico'!K57</f>
        <v>0</v>
      </c>
      <c r="N76" s="3">
        <f>'d)Pers.Técnico'!L57</f>
        <v>0</v>
      </c>
      <c r="O76" s="3">
        <f>'d)Pers.Técnico'!M57</f>
        <v>0</v>
      </c>
      <c r="P76" s="3">
        <f>'d)Pers.Técnico'!N57</f>
        <v>0</v>
      </c>
      <c r="Q76" s="3">
        <f>'d)Pers.Técnico'!O57</f>
        <v>0</v>
      </c>
      <c r="R76" s="14">
        <f>'d)Pers.Técnico'!P57</f>
        <v>0</v>
      </c>
      <c r="S76" s="20">
        <f>'d)Pers.Técnico'!Q57</f>
        <v>0</v>
      </c>
      <c r="T76" s="3">
        <f>'d)Pers.Técnico'!R57</f>
        <v>0</v>
      </c>
      <c r="U76" s="3">
        <f>'d)Pers.Técnico'!S57</f>
        <v>0</v>
      </c>
      <c r="V76" s="3">
        <f>'d)Pers.Técnico'!T57</f>
        <v>0</v>
      </c>
      <c r="W76" s="3">
        <f>'d)Pers.Técnico'!U57</f>
        <v>0</v>
      </c>
      <c r="X76" s="3">
        <f>'d)Pers.Técnico'!V57</f>
        <v>0</v>
      </c>
      <c r="Y76" s="3">
        <f>'d)Pers.Técnico'!W57</f>
        <v>0</v>
      </c>
      <c r="Z76" s="3">
        <f>'d)Pers.Técnico'!X57</f>
        <v>0</v>
      </c>
      <c r="AA76" s="3">
        <f>'d)Pers.Técnico'!Y57</f>
        <v>0</v>
      </c>
      <c r="AB76" s="3">
        <f>'d)Pers.Técnico'!Z57</f>
        <v>0</v>
      </c>
      <c r="AC76" s="3">
        <f>'d)Pers.Técnico'!AA57</f>
        <v>0</v>
      </c>
      <c r="AD76" s="14">
        <f>'d)Pers.Técnico'!AB57</f>
        <v>0</v>
      </c>
      <c r="AE76" s="20">
        <f>'d)Pers.Técnico'!AC57</f>
        <v>0</v>
      </c>
      <c r="AF76" s="3">
        <f>'d)Pers.Técnico'!AD57</f>
        <v>0</v>
      </c>
      <c r="AG76" s="3">
        <f>'d)Pers.Técnico'!AE57</f>
        <v>0</v>
      </c>
      <c r="AH76" s="3">
        <f>'d)Pers.Técnico'!AF57</f>
        <v>0</v>
      </c>
      <c r="AI76" s="3">
        <f>'d)Pers.Técnico'!AG57</f>
        <v>0</v>
      </c>
      <c r="AJ76" s="3">
        <f>'d)Pers.Técnico'!AH57</f>
        <v>0</v>
      </c>
      <c r="AK76" s="3">
        <f>'d)Pers.Técnico'!AI57</f>
        <v>0</v>
      </c>
      <c r="AL76" s="3">
        <f>'d)Pers.Técnico'!AJ57</f>
        <v>0</v>
      </c>
      <c r="AM76" s="3">
        <f>'d)Pers.Técnico'!AK57</f>
        <v>0</v>
      </c>
      <c r="AN76" s="3">
        <f>'d)Pers.Técnico'!AL57</f>
        <v>0</v>
      </c>
      <c r="AO76" s="3">
        <f>'d)Pers.Técnico'!AM57</f>
        <v>0</v>
      </c>
      <c r="AP76" s="14">
        <f>'d)Pers.Técnico'!AN57</f>
        <v>0</v>
      </c>
      <c r="AQ76" s="20">
        <f>'d)Pers.Técnico'!AO57</f>
        <v>0</v>
      </c>
      <c r="AR76" s="3">
        <f>'d)Pers.Técnico'!AP57</f>
        <v>0</v>
      </c>
      <c r="AS76" s="3">
        <f>'d)Pers.Técnico'!AQ57</f>
        <v>0</v>
      </c>
      <c r="AT76" s="3">
        <f>'d)Pers.Técnico'!AR57</f>
        <v>0</v>
      </c>
      <c r="AU76" s="3">
        <f>'d)Pers.Técnico'!AS57</f>
        <v>0</v>
      </c>
      <c r="AV76" s="3">
        <f>'d)Pers.Técnico'!AT57</f>
        <v>0</v>
      </c>
      <c r="AW76" s="3">
        <f>'d)Pers.Técnico'!AU57</f>
        <v>0</v>
      </c>
      <c r="AX76" s="3">
        <f>'d)Pers.Técnico'!AV57</f>
        <v>0</v>
      </c>
      <c r="AY76" s="3">
        <f>'d)Pers.Técnico'!AW57</f>
        <v>0</v>
      </c>
      <c r="AZ76" s="3">
        <f>'d)Pers.Técnico'!AX57</f>
        <v>0</v>
      </c>
      <c r="BA76" s="1">
        <f>'d)Pers.Técnico'!AY57</f>
        <v>0</v>
      </c>
      <c r="BB76" s="60">
        <f>'d)Pers.Técnico'!AZ57</f>
        <v>0</v>
      </c>
      <c r="BC76" s="61">
        <f>'d)Pers.Técnico'!BA57</f>
        <v>0</v>
      </c>
      <c r="BD76" s="3">
        <f>'d)Pers.Técnico'!BB57</f>
        <v>0</v>
      </c>
      <c r="BE76" s="3">
        <f>'d)Pers.Técnico'!BC57</f>
        <v>0</v>
      </c>
      <c r="BF76" s="3">
        <f>'d)Pers.Técnico'!BD57</f>
        <v>0</v>
      </c>
      <c r="BG76" s="3">
        <f>'d)Pers.Técnico'!BE57</f>
        <v>0</v>
      </c>
      <c r="BH76" s="3">
        <f>'d)Pers.Técnico'!BF57</f>
        <v>0</v>
      </c>
      <c r="BI76" s="3">
        <f>'d)Pers.Técnico'!BG57</f>
        <v>0</v>
      </c>
      <c r="BJ76" s="3">
        <f>'d)Pers.Técnico'!BH57</f>
        <v>0</v>
      </c>
      <c r="BK76" s="3">
        <f>'d)Pers.Técnico'!BI57</f>
        <v>0</v>
      </c>
      <c r="BL76" s="3">
        <f>'d)Pers.Técnico'!BJ57</f>
        <v>0</v>
      </c>
      <c r="BM76" s="3">
        <f>'d)Pers.Técnico'!BK57</f>
        <v>0</v>
      </c>
      <c r="BN76" s="14">
        <f>'d)Pers.Técnico'!BL57</f>
        <v>0</v>
      </c>
    </row>
    <row r="77" spans="1:66">
      <c r="A77" s="67"/>
      <c r="B77" s="46" t="str">
        <f>+'d)Pers.Técnico'!B57</f>
        <v/>
      </c>
      <c r="C77" s="127" t="str">
        <f>'d)Pers.Técnico'!C57</f>
        <v/>
      </c>
      <c r="D77" s="52">
        <f>SUM(G76:BN76)</f>
        <v>0</v>
      </c>
      <c r="E77" s="7">
        <f>IF('a)Plantilla'!C25&gt;0,'a)Plantilla'!D25/30,0)</f>
        <v>0</v>
      </c>
      <c r="F77" s="7">
        <f>SUM(G77:BN77)</f>
        <v>0</v>
      </c>
      <c r="G77" s="2">
        <f>IF(TipoProgramaPersonalTecnico=1,$E77*'a)Plantilla'!$C25*Programa!D$13,IF(TipoProgramaPersonalTecnico=2,$E77*G76,$E77/Hjor*G76))</f>
        <v>0</v>
      </c>
      <c r="H77" s="2">
        <f>IF(TipoProgramaPersonalTecnico=1,$E77*'a)Plantilla'!$C25*Programa!D$14,IF(TipoProgramaPersonalTecnico=2,$E77*H76,$E77/Hjor*H76))</f>
        <v>0</v>
      </c>
      <c r="I77" s="2">
        <f>IF(TipoProgramaPersonalTecnico=1,$E77*'a)Plantilla'!$C25*Programa!D$15,IF(TipoProgramaPersonalTecnico=2,$E77*I76,$E77/Hjor*I76))</f>
        <v>0</v>
      </c>
      <c r="J77" s="2">
        <f>IF(TipoProgramaPersonalTecnico=1,$E77*'a)Plantilla'!$C25*Programa!D$16,IF(TipoProgramaPersonalTecnico=2,$E77*J76,$E77/Hjor*J76))</f>
        <v>0</v>
      </c>
      <c r="K77" s="2">
        <f>IF(TipoProgramaPersonalTecnico=1,$E77*'a)Plantilla'!$C25*Programa!D$17,IF(TipoProgramaPersonalTecnico=2,$E77*K76,$E77/Hjor*K76))</f>
        <v>0</v>
      </c>
      <c r="L77" s="2">
        <f>IF(TipoProgramaPersonalTecnico=1,$E77*'a)Plantilla'!$C25*Programa!D$18,IF(TipoProgramaPersonalTecnico=2,$E77*L76,$E77/Hjor*L76))</f>
        <v>0</v>
      </c>
      <c r="M77" s="2">
        <f>IF(TipoProgramaPersonalTecnico=1,$E77*'a)Plantilla'!$C25*Programa!D$19,IF(TipoProgramaPersonalTecnico=2,$E77*M76,$E77/Hjor*M76))</f>
        <v>0</v>
      </c>
      <c r="N77" s="2">
        <f>IF(TipoProgramaPersonalTecnico=1,$E77*'a)Plantilla'!$C25*Programa!D$20,IF(TipoProgramaPersonalTecnico=2,$E77*N76,$E77/Hjor*N76))</f>
        <v>0</v>
      </c>
      <c r="O77" s="2">
        <f>IF(TipoProgramaPersonalTecnico=1,$E77*'a)Plantilla'!$C25*Programa!D$21,IF(TipoProgramaPersonalTecnico=2,$E77*O76,$E77/Hjor*O76))</f>
        <v>0</v>
      </c>
      <c r="P77" s="2">
        <f>IF(TipoProgramaPersonalTecnico=1,$E77*'a)Plantilla'!$C25*Programa!D$22,IF(TipoProgramaPersonalTecnico=2,$E77*P76,$E77/Hjor*P76))</f>
        <v>0</v>
      </c>
      <c r="Q77" s="2">
        <f>IF(TipoProgramaPersonalTecnico=1,$E77*'a)Plantilla'!$C25*Programa!D$23,IF(TipoProgramaPersonalTecnico=2,$E77*Q76,$E77/Hjor*Q76))</f>
        <v>0</v>
      </c>
      <c r="R77" s="12">
        <f>IF(TipoProgramaPersonalTecnico=1,$E77*'a)Plantilla'!$C25*Programa!D$24,IF(TipoProgramaPersonalTecnico=2,$E77*R76,$E77/Hjor*R76))</f>
        <v>0</v>
      </c>
      <c r="S77" s="7">
        <f>IF(TipoProgramaPersonalTecnico=1,$E77*'a)Plantilla'!$C25*Programa!D$25,IF(TipoProgramaPersonalTecnico=2,$E77*S76,$E77/Hjor*S76))</f>
        <v>0</v>
      </c>
      <c r="T77" s="2">
        <f>IF(TipoProgramaPersonalTecnico=1,$E77*'a)Plantilla'!$C25*Programa!D$26,IF(TipoProgramaPersonalTecnico=2,$E77*T76,$E77/Hjor*T76))</f>
        <v>0</v>
      </c>
      <c r="U77" s="2">
        <f>IF(TipoProgramaPersonalTecnico=1,$E77*'a)Plantilla'!$C25*Programa!D$27,IF(TipoProgramaPersonalTecnico=2,$E77*U76,$E77/Hjor*U76))</f>
        <v>0</v>
      </c>
      <c r="V77" s="2">
        <f>IF(TipoProgramaPersonalTecnico=1,$E77*'a)Plantilla'!$C25*Programa!D$28,IF(TipoProgramaPersonalTecnico=2,$E77*V76,$E77/Hjor*V76))</f>
        <v>0</v>
      </c>
      <c r="W77" s="2">
        <f>IF(TipoProgramaPersonalTecnico=1,$E77*'a)Plantilla'!$C25*Programa!D$29,IF(TipoProgramaPersonalTecnico=2,$E77*W76,$E77/Hjor*W76))</f>
        <v>0</v>
      </c>
      <c r="X77" s="2">
        <f>IF(TipoProgramaPersonalTecnico=1,$E77*'a)Plantilla'!$C25*Programa!D$30,IF(TipoProgramaPersonalTecnico=2,$E77*X76,$E77/Hjor*X76))</f>
        <v>0</v>
      </c>
      <c r="Y77" s="2">
        <f>IF(TipoProgramaPersonalTecnico=1,$E77*'a)Plantilla'!$C25*Programa!D$31,IF(TipoProgramaPersonalTecnico=2,$E77*Y76,$E77/Hjor*Y76))</f>
        <v>0</v>
      </c>
      <c r="Z77" s="2">
        <f>IF(TipoProgramaPersonalTecnico=1,$E77*'a)Plantilla'!$C25*Programa!D$32,IF(TipoProgramaPersonalTecnico=2,$E77*Z76,$E77/Hjor*Z76))</f>
        <v>0</v>
      </c>
      <c r="AA77" s="2">
        <f>IF(TipoProgramaPersonalTecnico=1,$E77*'a)Plantilla'!$C25*Programa!D$33,IF(TipoProgramaPersonalTecnico=2,$E77*AA76,$E77/Hjor*AA76))</f>
        <v>0</v>
      </c>
      <c r="AB77" s="2">
        <f>IF(TipoProgramaPersonalTecnico=1,$E77*'a)Plantilla'!$C25*Programa!D$34,IF(TipoProgramaPersonalTecnico=2,$E77*AB76,$E77/Hjor*AB76))</f>
        <v>0</v>
      </c>
      <c r="AC77" s="2">
        <f>IF(TipoProgramaPersonalTecnico=1,$E77*'a)Plantilla'!$C25*Programa!D$35,IF(TipoProgramaPersonalTecnico=2,$E77*AC76,$E77/Hjor*AC76))</f>
        <v>0</v>
      </c>
      <c r="AD77" s="12">
        <f>IF(TipoProgramaPersonalTecnico=1,$E77*'a)Plantilla'!$C25*Programa!D$36,IF(TipoProgramaPersonalTecnico=2,$E77*AD76,$E77/Hjor*AD76))</f>
        <v>0</v>
      </c>
      <c r="AE77" s="7">
        <f>IF(TipoProgramaPersonalTecnico=1,$E77*'a)Plantilla'!$C25*Programa!D$37,IF(TipoProgramaPersonalTecnico=2,$E77*AE76,$E77/Hjor*AE76))</f>
        <v>0</v>
      </c>
      <c r="AF77" s="2">
        <f>IF(TipoProgramaPersonalTecnico=1,$E77*'a)Plantilla'!$C25*Programa!D$38,IF(TipoProgramaPersonalTecnico=2,$E77*AF76,$E77/Hjor*AF76))</f>
        <v>0</v>
      </c>
      <c r="AG77" s="2">
        <f>IF(TipoProgramaPersonalTecnico=1,$E77*'a)Plantilla'!$C25*Programa!D$39,IF(TipoProgramaPersonalTecnico=2,$E77*AG76,$E77/Hjor*AG76))</f>
        <v>0</v>
      </c>
      <c r="AH77" s="2">
        <f>IF(TipoProgramaPersonalTecnico=1,$E77*'a)Plantilla'!$C25*Programa!D$40,IF(TipoProgramaPersonalTecnico=2,$E77*AH76,$E77/Hjor*AH76))</f>
        <v>0</v>
      </c>
      <c r="AI77" s="2">
        <f>IF(TipoProgramaPersonalTecnico=1,$E77*'a)Plantilla'!$C25*Programa!D$41,IF(TipoProgramaPersonalTecnico=2,$E77*AI76,$E77/Hjor*AI76))</f>
        <v>0</v>
      </c>
      <c r="AJ77" s="2">
        <f>IF(TipoProgramaPersonalTecnico=1,$E77*'a)Plantilla'!$C25*Programa!D$42,IF(TipoProgramaPersonalTecnico=2,$E77*AJ76,$E77/Hjor*AJ76))</f>
        <v>0</v>
      </c>
      <c r="AK77" s="2">
        <f>IF(TipoProgramaPersonalTecnico=1,$E77*'a)Plantilla'!$C25*Programa!D$43,IF(TipoProgramaPersonalTecnico=2,$E77*AK76,$E77/Hjor*AK76))</f>
        <v>0</v>
      </c>
      <c r="AL77" s="2">
        <f>IF(TipoProgramaPersonalTecnico=1,$E77*'a)Plantilla'!$C25*Programa!D$44,IF(TipoProgramaPersonalTecnico=2,$E77*AL76,$E77/Hjor*AL76))</f>
        <v>0</v>
      </c>
      <c r="AM77" s="2">
        <f>IF(TipoProgramaPersonalTecnico=1,$E77*'a)Plantilla'!$C25*Programa!D$45,IF(TipoProgramaPersonalTecnico=2,$E77*AM76,$E77/Hjor*AM76))</f>
        <v>0</v>
      </c>
      <c r="AN77" s="2">
        <f>IF(TipoProgramaPersonalTecnico=1,$E77*'a)Plantilla'!$C25*Programa!D$46,IF(TipoProgramaPersonalTecnico=2,$E77*AN76,$E77/Hjor*AN76))</f>
        <v>0</v>
      </c>
      <c r="AO77" s="2">
        <f>IF(TipoProgramaPersonalTecnico=1,$E77*'a)Plantilla'!$C25*Programa!D$47,IF(TipoProgramaPersonalTecnico=2,$E77*AO76,$E77/Hjor*AO76))</f>
        <v>0</v>
      </c>
      <c r="AP77" s="12">
        <f>IF(TipoProgramaPersonalTecnico=1,$E77*'a)Plantilla'!$C25*Programa!D$48,IF(TipoProgramaPersonalTecnico=2,$E77*AP76,$E77/Hjor*AP76))</f>
        <v>0</v>
      </c>
      <c r="AQ77" s="7">
        <f>IF(TipoProgramaPersonalTecnico=1,$E77*'a)Plantilla'!$C25*Programa!D$49,IF(TipoProgramaPersonalTecnico=2,$E77*AQ76,$E77/Hjor*AQ76))</f>
        <v>0</v>
      </c>
      <c r="AR77" s="2">
        <f>IF(TipoProgramaPersonalTecnico=1,$E77*'a)Plantilla'!$C25*Programa!D$50,IF(TipoProgramaPersonalTecnico=2,$E77*AR76,$E77/Hjor*AR76))</f>
        <v>0</v>
      </c>
      <c r="AS77" s="2">
        <f>IF(TipoProgramaPersonalTecnico=1,$E77*'a)Plantilla'!$C25*Programa!D$51,IF(TipoProgramaPersonalTecnico=2,$E77*AS76,$E77/Hjor*AS76))</f>
        <v>0</v>
      </c>
      <c r="AT77" s="2">
        <f>IF(TipoProgramaPersonalTecnico=1,$E77*'a)Plantilla'!$C25*Programa!D$52,IF(TipoProgramaPersonalTecnico=2,$E77*AT76,$E77/Hjor*AT76))</f>
        <v>0</v>
      </c>
      <c r="AU77" s="2">
        <f>IF(TipoProgramaPersonalTecnico=1,$E77*'a)Plantilla'!$C25*Programa!D$53,IF(TipoProgramaPersonalTecnico=2,$E77*AU76,$E77/Hjor*AU76))</f>
        <v>0</v>
      </c>
      <c r="AV77" s="2">
        <f>IF(TipoProgramaPersonalTecnico=1,$E77*'a)Plantilla'!$C25*Programa!D$54,IF(TipoProgramaPersonalTecnico=2,$E77*AV76,$E77/Hjor*AV76))</f>
        <v>0</v>
      </c>
      <c r="AW77" s="2">
        <f>IF(TipoProgramaPersonalTecnico=1,$E77*'a)Plantilla'!$C25*Programa!D$55,IF(TipoProgramaPersonalTecnico=2,$E77*AW76,$E77/Hjor*AW76))</f>
        <v>0</v>
      </c>
      <c r="AX77" s="2">
        <f>IF(TipoProgramaPersonalTecnico=1,$E77*'a)Plantilla'!$C25*Programa!D$56,IF(TipoProgramaPersonalTecnico=2,$E77*AX76,$E77/Hjor*AX76))</f>
        <v>0</v>
      </c>
      <c r="AY77" s="2">
        <f>IF(TipoProgramaPersonalTecnico=1,$E77*'a)Plantilla'!$C25*Programa!D$57,IF(TipoProgramaPersonalTecnico=2,$E77*AY76,$E77/Hjor*AY76))</f>
        <v>0</v>
      </c>
      <c r="AZ77" s="2">
        <f>IF(TipoProgramaPersonalTecnico=1,$E77*'a)Plantilla'!$C25*Programa!D$58,IF(TipoProgramaPersonalTecnico=2,$E77*AZ76,$E77/Hjor*AZ76))</f>
        <v>0</v>
      </c>
      <c r="BA77" s="55">
        <f>IF(TipoProgramaPersonalTecnico=1,$E77*'a)Plantilla'!$C25*Programa!D$59,IF(TipoProgramaPersonalTecnico=2,$E77*BA76,$E77/Hjor*BA76))</f>
        <v>0</v>
      </c>
      <c r="BB77" s="56">
        <f>IF(TipoProgramaPersonalTecnico=1,$E77*'a)Plantilla'!$C25*Programa!D$60,IF(TipoProgramaPersonalTecnico=2,$E77*BB76,$E77/Hjor*BB76))</f>
        <v>0</v>
      </c>
      <c r="BC77" s="53">
        <f>IF(TipoProgramaPersonalTecnico=1,$E77*'a)Plantilla'!$C25*Programa!D$61,IF(TipoProgramaPersonalTecnico=2,$E77*BC76,$E77/Hjor*BC76))</f>
        <v>0</v>
      </c>
      <c r="BD77" s="2">
        <f>IF(TipoProgramaPersonalTecnico=1,$E77*'a)Plantilla'!$C25*Programa!D$62,IF(TipoProgramaPersonalTecnico=2,$E77*BD76,$E77/Hjor*BD76))</f>
        <v>0</v>
      </c>
      <c r="BE77" s="2">
        <f>IF(TipoProgramaPersonalTecnico=1,$E77*'a)Plantilla'!$C25*Programa!D$63,IF(TipoProgramaPersonalTecnico=2,$E77*BE76,$E77/Hjor*BE76))</f>
        <v>0</v>
      </c>
      <c r="BF77" s="2">
        <f>IF(TipoProgramaPersonalTecnico=1,$E77*'a)Plantilla'!$C25*Programa!D$64,IF(TipoProgramaPersonalTecnico=2,$E77*BF76,$E77/Hjor*BF76))</f>
        <v>0</v>
      </c>
      <c r="BG77" s="2">
        <f>IF(TipoProgramaPersonalTecnico=1,$E77*'a)Plantilla'!$C25*Programa!D$65,IF(TipoProgramaPersonalTecnico=2,$E77*BG76,$E77/Hjor*BG76))</f>
        <v>0</v>
      </c>
      <c r="BH77" s="2">
        <f>IF(TipoProgramaPersonalTecnico=1,$E77*'a)Plantilla'!$C25*Programa!D$66,IF(TipoProgramaPersonalTecnico=2,$E77*BH76,$E77/Hjor*BH76))</f>
        <v>0</v>
      </c>
      <c r="BI77" s="2">
        <f>IF(TipoProgramaPersonalTecnico=1,$E77*'a)Plantilla'!$C25*Programa!D$67,IF(TipoProgramaPersonalTecnico=2,$E77*BI76,$E77/Hjor*BI76))</f>
        <v>0</v>
      </c>
      <c r="BJ77" s="2">
        <f>IF(TipoProgramaPersonalTecnico=1,$E77*'a)Plantilla'!$C25*Programa!D$68,IF(TipoProgramaPersonalTecnico=2,$E77*BJ76,$E77/Hjor*BJ76))</f>
        <v>0</v>
      </c>
      <c r="BK77" s="2">
        <f>IF(TipoProgramaPersonalTecnico=1,$E77*'a)Plantilla'!$C25*Programa!D$69,IF(TipoProgramaPersonalTecnico=2,$E77*BK76,$E77/Hjor*BK76))</f>
        <v>0</v>
      </c>
      <c r="BL77" s="2">
        <f>IF(TipoProgramaPersonalTecnico=1,$E77*'a)Plantilla'!$C25*Programa!D$70,IF(TipoProgramaPersonalTecnico=2,$E77*BL76,$E77/Hjor*BL76))</f>
        <v>0</v>
      </c>
      <c r="BM77" s="2">
        <f>IF(TipoProgramaPersonalTecnico=1,$E77*'a)Plantilla'!$C25*Programa!D$71,IF(TipoProgramaPersonalTecnico=2,$E77*BM76,$E77/Hjor*BM76))</f>
        <v>0</v>
      </c>
      <c r="BN77" s="12">
        <f>IF(TipoProgramaPersonalTecnico=1,$E77*'a)Plantilla'!$C25*Programa!D$72,IF(TipoProgramaPersonalTecnico=2,$E77*BN76,$E77/Hjor*BN76))</f>
        <v>0</v>
      </c>
    </row>
    <row r="78" spans="1:66" ht="7.5" customHeight="1">
      <c r="A78" s="67"/>
      <c r="B78" s="19"/>
      <c r="C78" s="127"/>
      <c r="D78" s="54"/>
      <c r="E78" s="19"/>
      <c r="F78" s="19"/>
      <c r="G78" s="1" t="s">
        <v>168</v>
      </c>
      <c r="H78" s="1" t="s">
        <v>168</v>
      </c>
      <c r="I78" s="1" t="s">
        <v>168</v>
      </c>
      <c r="J78" s="1" t="s">
        <v>168</v>
      </c>
      <c r="K78" s="1" t="s">
        <v>168</v>
      </c>
      <c r="L78" s="1" t="s">
        <v>168</v>
      </c>
      <c r="M78" s="1" t="s">
        <v>168</v>
      </c>
      <c r="N78" s="1" t="s">
        <v>168</v>
      </c>
      <c r="O78" s="1" t="s">
        <v>168</v>
      </c>
      <c r="P78" s="1" t="s">
        <v>168</v>
      </c>
      <c r="Q78" s="1" t="s">
        <v>168</v>
      </c>
      <c r="R78" s="8" t="s">
        <v>168</v>
      </c>
      <c r="S78" s="13" t="s">
        <v>168</v>
      </c>
      <c r="T78" s="1" t="s">
        <v>168</v>
      </c>
      <c r="U78" s="1" t="s">
        <v>168</v>
      </c>
      <c r="V78" s="1" t="s">
        <v>168</v>
      </c>
      <c r="W78" s="1" t="s">
        <v>168</v>
      </c>
      <c r="X78" s="1" t="s">
        <v>168</v>
      </c>
      <c r="Y78" s="1" t="s">
        <v>168</v>
      </c>
      <c r="Z78" s="1" t="s">
        <v>168</v>
      </c>
      <c r="AA78" s="1" t="s">
        <v>168</v>
      </c>
      <c r="AB78" s="1" t="s">
        <v>168</v>
      </c>
      <c r="AC78" s="1" t="s">
        <v>168</v>
      </c>
      <c r="AD78" s="8" t="s">
        <v>168</v>
      </c>
      <c r="AE78" s="13" t="s">
        <v>168</v>
      </c>
      <c r="AF78" s="1" t="s">
        <v>168</v>
      </c>
      <c r="AG78" s="1" t="s">
        <v>168</v>
      </c>
      <c r="AH78" s="1" t="s">
        <v>168</v>
      </c>
      <c r="AI78" s="1" t="s">
        <v>168</v>
      </c>
      <c r="AJ78" s="1" t="s">
        <v>168</v>
      </c>
      <c r="AK78" s="1" t="s">
        <v>168</v>
      </c>
      <c r="AL78" s="1" t="s">
        <v>168</v>
      </c>
      <c r="AM78" s="1" t="s">
        <v>168</v>
      </c>
      <c r="AN78" s="1" t="s">
        <v>168</v>
      </c>
      <c r="AO78" s="1" t="s">
        <v>168</v>
      </c>
      <c r="AP78" s="8" t="s">
        <v>168</v>
      </c>
      <c r="AQ78" s="13" t="s">
        <v>168</v>
      </c>
      <c r="AR78" s="1" t="s">
        <v>168</v>
      </c>
      <c r="AS78" s="1" t="s">
        <v>168</v>
      </c>
      <c r="AT78" s="1" t="s">
        <v>168</v>
      </c>
      <c r="AU78" s="1" t="s">
        <v>168</v>
      </c>
      <c r="AV78" s="1" t="s">
        <v>168</v>
      </c>
      <c r="AW78" s="1" t="s">
        <v>168</v>
      </c>
      <c r="AX78" s="1" t="s">
        <v>168</v>
      </c>
      <c r="AY78" s="1" t="s">
        <v>168</v>
      </c>
      <c r="AZ78" s="1" t="s">
        <v>168</v>
      </c>
      <c r="BA78" s="1" t="s">
        <v>168</v>
      </c>
      <c r="BB78" s="8" t="s">
        <v>168</v>
      </c>
      <c r="BC78" s="13" t="s">
        <v>168</v>
      </c>
      <c r="BD78" s="1" t="s">
        <v>168</v>
      </c>
      <c r="BE78" s="1" t="s">
        <v>168</v>
      </c>
      <c r="BF78" s="1" t="s">
        <v>168</v>
      </c>
      <c r="BG78" s="1" t="s">
        <v>168</v>
      </c>
      <c r="BH78" s="1" t="s">
        <v>168</v>
      </c>
      <c r="BI78" s="1" t="s">
        <v>168</v>
      </c>
      <c r="BJ78" s="1" t="s">
        <v>168</v>
      </c>
      <c r="BK78" s="1" t="s">
        <v>168</v>
      </c>
      <c r="BL78" s="1" t="s">
        <v>168</v>
      </c>
      <c r="BM78" s="1" t="s">
        <v>168</v>
      </c>
      <c r="BN78" s="8" t="s">
        <v>168</v>
      </c>
    </row>
    <row r="79" spans="1:66">
      <c r="A79" s="67"/>
      <c r="B79" s="46"/>
      <c r="C79" s="127"/>
      <c r="D79" s="52"/>
      <c r="E79" s="59"/>
      <c r="F79" s="59"/>
      <c r="G79" s="3">
        <f>'d)Pers.Técnico'!E59</f>
        <v>0</v>
      </c>
      <c r="H79" s="3">
        <f>'d)Pers.Técnico'!F59</f>
        <v>0</v>
      </c>
      <c r="I79" s="3">
        <f>'d)Pers.Técnico'!G59</f>
        <v>0</v>
      </c>
      <c r="J79" s="3">
        <f>'d)Pers.Técnico'!H59</f>
        <v>0</v>
      </c>
      <c r="K79" s="3">
        <f>'d)Pers.Técnico'!I59</f>
        <v>0</v>
      </c>
      <c r="L79" s="3">
        <f>'d)Pers.Técnico'!J59</f>
        <v>0</v>
      </c>
      <c r="M79" s="3">
        <f>'d)Pers.Técnico'!K59</f>
        <v>0</v>
      </c>
      <c r="N79" s="3">
        <f>'d)Pers.Técnico'!L59</f>
        <v>0</v>
      </c>
      <c r="O79" s="3">
        <f>'d)Pers.Técnico'!M59</f>
        <v>0</v>
      </c>
      <c r="P79" s="3">
        <f>'d)Pers.Técnico'!N59</f>
        <v>0</v>
      </c>
      <c r="Q79" s="3">
        <f>'d)Pers.Técnico'!O59</f>
        <v>0</v>
      </c>
      <c r="R79" s="14">
        <f>'d)Pers.Técnico'!P59</f>
        <v>0</v>
      </c>
      <c r="S79" s="20">
        <f>'d)Pers.Técnico'!Q59</f>
        <v>0</v>
      </c>
      <c r="T79" s="3">
        <f>'d)Pers.Técnico'!R59</f>
        <v>0</v>
      </c>
      <c r="U79" s="3">
        <f>'d)Pers.Técnico'!S59</f>
        <v>0</v>
      </c>
      <c r="V79" s="3">
        <f>'d)Pers.Técnico'!T59</f>
        <v>0</v>
      </c>
      <c r="W79" s="3">
        <f>'d)Pers.Técnico'!U59</f>
        <v>0</v>
      </c>
      <c r="X79" s="3">
        <f>'d)Pers.Técnico'!V59</f>
        <v>0</v>
      </c>
      <c r="Y79" s="3">
        <f>'d)Pers.Técnico'!W59</f>
        <v>0</v>
      </c>
      <c r="Z79" s="3">
        <f>'d)Pers.Técnico'!X59</f>
        <v>0</v>
      </c>
      <c r="AA79" s="3">
        <f>'d)Pers.Técnico'!Y59</f>
        <v>0</v>
      </c>
      <c r="AB79" s="3">
        <f>'d)Pers.Técnico'!Z59</f>
        <v>0</v>
      </c>
      <c r="AC79" s="3">
        <f>'d)Pers.Técnico'!AA59</f>
        <v>0</v>
      </c>
      <c r="AD79" s="14">
        <f>'d)Pers.Técnico'!AB59</f>
        <v>0</v>
      </c>
      <c r="AE79" s="20">
        <f>'d)Pers.Técnico'!AC59</f>
        <v>0</v>
      </c>
      <c r="AF79" s="3">
        <f>'d)Pers.Técnico'!AD59</f>
        <v>0</v>
      </c>
      <c r="AG79" s="3">
        <f>'d)Pers.Técnico'!AE59</f>
        <v>0</v>
      </c>
      <c r="AH79" s="3">
        <f>'d)Pers.Técnico'!AF59</f>
        <v>0</v>
      </c>
      <c r="AI79" s="3">
        <f>'d)Pers.Técnico'!AG59</f>
        <v>0</v>
      </c>
      <c r="AJ79" s="3">
        <f>'d)Pers.Técnico'!AH59</f>
        <v>0</v>
      </c>
      <c r="AK79" s="3">
        <f>'d)Pers.Técnico'!AI59</f>
        <v>0</v>
      </c>
      <c r="AL79" s="3">
        <f>'d)Pers.Técnico'!AJ59</f>
        <v>0</v>
      </c>
      <c r="AM79" s="3">
        <f>'d)Pers.Técnico'!AK59</f>
        <v>0</v>
      </c>
      <c r="AN79" s="3">
        <f>'d)Pers.Técnico'!AL59</f>
        <v>0</v>
      </c>
      <c r="AO79" s="3">
        <f>'d)Pers.Técnico'!AM59</f>
        <v>0</v>
      </c>
      <c r="AP79" s="14">
        <f>'d)Pers.Técnico'!AN59</f>
        <v>0</v>
      </c>
      <c r="AQ79" s="20">
        <f>'d)Pers.Técnico'!AO59</f>
        <v>0</v>
      </c>
      <c r="AR79" s="3">
        <f>'d)Pers.Técnico'!AP59</f>
        <v>0</v>
      </c>
      <c r="AS79" s="3">
        <f>'d)Pers.Técnico'!AQ59</f>
        <v>0</v>
      </c>
      <c r="AT79" s="3">
        <f>'d)Pers.Técnico'!AR59</f>
        <v>0</v>
      </c>
      <c r="AU79" s="3">
        <f>'d)Pers.Técnico'!AS59</f>
        <v>0</v>
      </c>
      <c r="AV79" s="3">
        <f>'d)Pers.Técnico'!AT59</f>
        <v>0</v>
      </c>
      <c r="AW79" s="3">
        <f>'d)Pers.Técnico'!AU59</f>
        <v>0</v>
      </c>
      <c r="AX79" s="3">
        <f>'d)Pers.Técnico'!AV59</f>
        <v>0</v>
      </c>
      <c r="AY79" s="3">
        <f>'d)Pers.Técnico'!AW59</f>
        <v>0</v>
      </c>
      <c r="AZ79" s="3">
        <f>'d)Pers.Técnico'!AX59</f>
        <v>0</v>
      </c>
      <c r="BA79" s="1">
        <f>'d)Pers.Técnico'!AY59</f>
        <v>0</v>
      </c>
      <c r="BB79" s="60">
        <f>'d)Pers.Técnico'!AZ59</f>
        <v>0</v>
      </c>
      <c r="BC79" s="61">
        <f>'d)Pers.Técnico'!BA59</f>
        <v>0</v>
      </c>
      <c r="BD79" s="3">
        <f>'d)Pers.Técnico'!BB59</f>
        <v>0</v>
      </c>
      <c r="BE79" s="3">
        <f>'d)Pers.Técnico'!BC59</f>
        <v>0</v>
      </c>
      <c r="BF79" s="3">
        <f>'d)Pers.Técnico'!BD59</f>
        <v>0</v>
      </c>
      <c r="BG79" s="3">
        <f>'d)Pers.Técnico'!BE59</f>
        <v>0</v>
      </c>
      <c r="BH79" s="3">
        <f>'d)Pers.Técnico'!BF59</f>
        <v>0</v>
      </c>
      <c r="BI79" s="3">
        <f>'d)Pers.Técnico'!BG59</f>
        <v>0</v>
      </c>
      <c r="BJ79" s="3">
        <f>'d)Pers.Técnico'!BH59</f>
        <v>0</v>
      </c>
      <c r="BK79" s="3">
        <f>'d)Pers.Técnico'!BI59</f>
        <v>0</v>
      </c>
      <c r="BL79" s="3">
        <f>'d)Pers.Técnico'!BJ59</f>
        <v>0</v>
      </c>
      <c r="BM79" s="3">
        <f>'d)Pers.Técnico'!BK59</f>
        <v>0</v>
      </c>
      <c r="BN79" s="14">
        <f>'d)Pers.Técnico'!BL59</f>
        <v>0</v>
      </c>
    </row>
    <row r="80" spans="1:66">
      <c r="A80" s="67"/>
      <c r="B80" s="46" t="str">
        <f>+'d)Pers.Técnico'!B59</f>
        <v/>
      </c>
      <c r="C80" s="127" t="str">
        <f>'d)Pers.Técnico'!C59</f>
        <v/>
      </c>
      <c r="D80" s="52">
        <f>SUM(G79:BN79)</f>
        <v>0</v>
      </c>
      <c r="E80" s="7">
        <f>IF('a)Plantilla'!C26&gt;0,'a)Plantilla'!D26/30,0)</f>
        <v>0</v>
      </c>
      <c r="F80" s="7">
        <f>SUM(G80:BN80)</f>
        <v>0</v>
      </c>
      <c r="G80" s="2">
        <f>IF(TipoProgramaPersonalTecnico=1,$E80*'a)Plantilla'!$C26*Programa!D$13,IF(TipoProgramaPersonalTecnico=2,$E80*G79,$E80/Hjor*G79))</f>
        <v>0</v>
      </c>
      <c r="H80" s="2">
        <f>IF(TipoProgramaPersonalTecnico=1,$E80*'a)Plantilla'!$C26*Programa!D$14,IF(TipoProgramaPersonalTecnico=2,$E80*H79,$E80/Hjor*H79))</f>
        <v>0</v>
      </c>
      <c r="I80" s="2">
        <f>IF(TipoProgramaPersonalTecnico=1,$E80*'a)Plantilla'!$C26*Programa!D$15,IF(TipoProgramaPersonalTecnico=2,$E80*I79,$E80/Hjor*I79))</f>
        <v>0</v>
      </c>
      <c r="J80" s="2">
        <f>IF(TipoProgramaPersonalTecnico=1,$E80*'a)Plantilla'!$C26*Programa!D$16,IF(TipoProgramaPersonalTecnico=2,$E80*J79,$E80/Hjor*J79))</f>
        <v>0</v>
      </c>
      <c r="K80" s="2">
        <f>IF(TipoProgramaPersonalTecnico=1,$E80*'a)Plantilla'!$C26*Programa!D$17,IF(TipoProgramaPersonalTecnico=2,$E80*K79,$E80/Hjor*K79))</f>
        <v>0</v>
      </c>
      <c r="L80" s="2">
        <f>IF(TipoProgramaPersonalTecnico=1,$E80*'a)Plantilla'!$C26*Programa!D$18,IF(TipoProgramaPersonalTecnico=2,$E80*L79,$E80/Hjor*L79))</f>
        <v>0</v>
      </c>
      <c r="M80" s="2">
        <f>IF(TipoProgramaPersonalTecnico=1,$E80*'a)Plantilla'!$C26*Programa!D$19,IF(TipoProgramaPersonalTecnico=2,$E80*M79,$E80/Hjor*M79))</f>
        <v>0</v>
      </c>
      <c r="N80" s="2">
        <f>IF(TipoProgramaPersonalTecnico=1,$E80*'a)Plantilla'!$C26*Programa!D$20,IF(TipoProgramaPersonalTecnico=2,$E80*N79,$E80/Hjor*N79))</f>
        <v>0</v>
      </c>
      <c r="O80" s="2">
        <f>IF(TipoProgramaPersonalTecnico=1,$E80*'a)Plantilla'!$C26*Programa!D$21,IF(TipoProgramaPersonalTecnico=2,$E80*O79,$E80/Hjor*O79))</f>
        <v>0</v>
      </c>
      <c r="P80" s="2">
        <f>IF(TipoProgramaPersonalTecnico=1,$E80*'a)Plantilla'!$C26*Programa!D$22,IF(TipoProgramaPersonalTecnico=2,$E80*P79,$E80/Hjor*P79))</f>
        <v>0</v>
      </c>
      <c r="Q80" s="2">
        <f>IF(TipoProgramaPersonalTecnico=1,$E80*'a)Plantilla'!$C26*Programa!D$23,IF(TipoProgramaPersonalTecnico=2,$E80*Q79,$E80/Hjor*Q79))</f>
        <v>0</v>
      </c>
      <c r="R80" s="12">
        <f>IF(TipoProgramaPersonalTecnico=1,$E80*'a)Plantilla'!$C26*Programa!D$24,IF(TipoProgramaPersonalTecnico=2,$E80*R79,$E80/Hjor*R79))</f>
        <v>0</v>
      </c>
      <c r="S80" s="7">
        <f>IF(TipoProgramaPersonalTecnico=1,$E80*'a)Plantilla'!$C26*Programa!D$25,IF(TipoProgramaPersonalTecnico=2,$E80*S79,$E80/Hjor*S79))</f>
        <v>0</v>
      </c>
      <c r="T80" s="2">
        <f>IF(TipoProgramaPersonalTecnico=1,$E80*'a)Plantilla'!$C26*Programa!D$26,IF(TipoProgramaPersonalTecnico=2,$E80*T79,$E80/Hjor*T79))</f>
        <v>0</v>
      </c>
      <c r="U80" s="2">
        <f>IF(TipoProgramaPersonalTecnico=1,$E80*'a)Plantilla'!$C26*Programa!D$27,IF(TipoProgramaPersonalTecnico=2,$E80*U79,$E80/Hjor*U79))</f>
        <v>0</v>
      </c>
      <c r="V80" s="2">
        <f>IF(TipoProgramaPersonalTecnico=1,$E80*'a)Plantilla'!$C26*Programa!D$28,IF(TipoProgramaPersonalTecnico=2,$E80*V79,$E80/Hjor*V79))</f>
        <v>0</v>
      </c>
      <c r="W80" s="2">
        <f>IF(TipoProgramaPersonalTecnico=1,$E80*'a)Plantilla'!$C26*Programa!D$29,IF(TipoProgramaPersonalTecnico=2,$E80*W79,$E80/Hjor*W79))</f>
        <v>0</v>
      </c>
      <c r="X80" s="2">
        <f>IF(TipoProgramaPersonalTecnico=1,$E80*'a)Plantilla'!$C26*Programa!D$30,IF(TipoProgramaPersonalTecnico=2,$E80*X79,$E80/Hjor*X79))</f>
        <v>0</v>
      </c>
      <c r="Y80" s="2">
        <f>IF(TipoProgramaPersonalTecnico=1,$E80*'a)Plantilla'!$C26*Programa!D$31,IF(TipoProgramaPersonalTecnico=2,$E80*Y79,$E80/Hjor*Y79))</f>
        <v>0</v>
      </c>
      <c r="Z80" s="2">
        <f>IF(TipoProgramaPersonalTecnico=1,$E80*'a)Plantilla'!$C26*Programa!D$32,IF(TipoProgramaPersonalTecnico=2,$E80*Z79,$E80/Hjor*Z79))</f>
        <v>0</v>
      </c>
      <c r="AA80" s="2">
        <f>IF(TipoProgramaPersonalTecnico=1,$E80*'a)Plantilla'!$C26*Programa!D$33,IF(TipoProgramaPersonalTecnico=2,$E80*AA79,$E80/Hjor*AA79))</f>
        <v>0</v>
      </c>
      <c r="AB80" s="2">
        <f>IF(TipoProgramaPersonalTecnico=1,$E80*'a)Plantilla'!$C26*Programa!D$34,IF(TipoProgramaPersonalTecnico=2,$E80*AB79,$E80/Hjor*AB79))</f>
        <v>0</v>
      </c>
      <c r="AC80" s="2">
        <f>IF(TipoProgramaPersonalTecnico=1,$E80*'a)Plantilla'!$C26*Programa!D$35,IF(TipoProgramaPersonalTecnico=2,$E80*AC79,$E80/Hjor*AC79))</f>
        <v>0</v>
      </c>
      <c r="AD80" s="12">
        <f>IF(TipoProgramaPersonalTecnico=1,$E80*'a)Plantilla'!$C26*Programa!D$36,IF(TipoProgramaPersonalTecnico=2,$E80*AD79,$E80/Hjor*AD79))</f>
        <v>0</v>
      </c>
      <c r="AE80" s="7">
        <f>IF(TipoProgramaPersonalTecnico=1,$E80*'a)Plantilla'!$C26*Programa!D$37,IF(TipoProgramaPersonalTecnico=2,$E80*AE79,$E80/Hjor*AE79))</f>
        <v>0</v>
      </c>
      <c r="AF80" s="2">
        <f>IF(TipoProgramaPersonalTecnico=1,$E80*'a)Plantilla'!$C26*Programa!D$38,IF(TipoProgramaPersonalTecnico=2,$E80*AF79,$E80/Hjor*AF79))</f>
        <v>0</v>
      </c>
      <c r="AG80" s="2">
        <f>IF(TipoProgramaPersonalTecnico=1,$E80*'a)Plantilla'!$C26*Programa!D$39,IF(TipoProgramaPersonalTecnico=2,$E80*AG79,$E80/Hjor*AG79))</f>
        <v>0</v>
      </c>
      <c r="AH80" s="2">
        <f>IF(TipoProgramaPersonalTecnico=1,$E80*'a)Plantilla'!$C26*Programa!D$40,IF(TipoProgramaPersonalTecnico=2,$E80*AH79,$E80/Hjor*AH79))</f>
        <v>0</v>
      </c>
      <c r="AI80" s="2">
        <f>IF(TipoProgramaPersonalTecnico=1,$E80*'a)Plantilla'!$C26*Programa!D$41,IF(TipoProgramaPersonalTecnico=2,$E80*AI79,$E80/Hjor*AI79))</f>
        <v>0</v>
      </c>
      <c r="AJ80" s="2">
        <f>IF(TipoProgramaPersonalTecnico=1,$E80*'a)Plantilla'!$C26*Programa!D$42,IF(TipoProgramaPersonalTecnico=2,$E80*AJ79,$E80/Hjor*AJ79))</f>
        <v>0</v>
      </c>
      <c r="AK80" s="2">
        <f>IF(TipoProgramaPersonalTecnico=1,$E80*'a)Plantilla'!$C26*Programa!D$43,IF(TipoProgramaPersonalTecnico=2,$E80*AK79,$E80/Hjor*AK79))</f>
        <v>0</v>
      </c>
      <c r="AL80" s="2">
        <f>IF(TipoProgramaPersonalTecnico=1,$E80*'a)Plantilla'!$C26*Programa!D$44,IF(TipoProgramaPersonalTecnico=2,$E80*AL79,$E80/Hjor*AL79))</f>
        <v>0</v>
      </c>
      <c r="AM80" s="2">
        <f>IF(TipoProgramaPersonalTecnico=1,$E80*'a)Plantilla'!$C26*Programa!D$45,IF(TipoProgramaPersonalTecnico=2,$E80*AM79,$E80/Hjor*AM79))</f>
        <v>0</v>
      </c>
      <c r="AN80" s="2">
        <f>IF(TipoProgramaPersonalTecnico=1,$E80*'a)Plantilla'!$C26*Programa!D$46,IF(TipoProgramaPersonalTecnico=2,$E80*AN79,$E80/Hjor*AN79))</f>
        <v>0</v>
      </c>
      <c r="AO80" s="2">
        <f>IF(TipoProgramaPersonalTecnico=1,$E80*'a)Plantilla'!$C26*Programa!D$47,IF(TipoProgramaPersonalTecnico=2,$E80*AO79,$E80/Hjor*AO79))</f>
        <v>0</v>
      </c>
      <c r="AP80" s="12">
        <f>IF(TipoProgramaPersonalTecnico=1,$E80*'a)Plantilla'!$C26*Programa!D$48,IF(TipoProgramaPersonalTecnico=2,$E80*AP79,$E80/Hjor*AP79))</f>
        <v>0</v>
      </c>
      <c r="AQ80" s="7">
        <f>IF(TipoProgramaPersonalTecnico=1,$E80*'a)Plantilla'!$C26*Programa!D$49,IF(TipoProgramaPersonalTecnico=2,$E80*AQ79,$E80/Hjor*AQ79))</f>
        <v>0</v>
      </c>
      <c r="AR80" s="2">
        <f>IF(TipoProgramaPersonalTecnico=1,$E80*'a)Plantilla'!$C26*Programa!D$50,IF(TipoProgramaPersonalTecnico=2,$E80*AR79,$E80/Hjor*AR79))</f>
        <v>0</v>
      </c>
      <c r="AS80" s="2">
        <f>IF(TipoProgramaPersonalTecnico=1,$E80*'a)Plantilla'!$C26*Programa!D$51,IF(TipoProgramaPersonalTecnico=2,$E80*AS79,$E80/Hjor*AS79))</f>
        <v>0</v>
      </c>
      <c r="AT80" s="2">
        <f>IF(TipoProgramaPersonalTecnico=1,$E80*'a)Plantilla'!$C26*Programa!D$52,IF(TipoProgramaPersonalTecnico=2,$E80*AT79,$E80/Hjor*AT79))</f>
        <v>0</v>
      </c>
      <c r="AU80" s="2">
        <f>IF(TipoProgramaPersonalTecnico=1,$E80*'a)Plantilla'!$C26*Programa!D$53,IF(TipoProgramaPersonalTecnico=2,$E80*AU79,$E80/Hjor*AU79))</f>
        <v>0</v>
      </c>
      <c r="AV80" s="2">
        <f>IF(TipoProgramaPersonalTecnico=1,$E80*'a)Plantilla'!$C26*Programa!D$54,IF(TipoProgramaPersonalTecnico=2,$E80*AV79,$E80/Hjor*AV79))</f>
        <v>0</v>
      </c>
      <c r="AW80" s="2">
        <f>IF(TipoProgramaPersonalTecnico=1,$E80*'a)Plantilla'!$C26*Programa!D$55,IF(TipoProgramaPersonalTecnico=2,$E80*AW79,$E80/Hjor*AW79))</f>
        <v>0</v>
      </c>
      <c r="AX80" s="2">
        <f>IF(TipoProgramaPersonalTecnico=1,$E80*'a)Plantilla'!$C26*Programa!D$56,IF(TipoProgramaPersonalTecnico=2,$E80*AX79,$E80/Hjor*AX79))</f>
        <v>0</v>
      </c>
      <c r="AY80" s="2">
        <f>IF(TipoProgramaPersonalTecnico=1,$E80*'a)Plantilla'!$C26*Programa!D$57,IF(TipoProgramaPersonalTecnico=2,$E80*AY79,$E80/Hjor*AY79))</f>
        <v>0</v>
      </c>
      <c r="AZ80" s="2">
        <f>IF(TipoProgramaPersonalTecnico=1,$E80*'a)Plantilla'!$C26*Programa!D$58,IF(TipoProgramaPersonalTecnico=2,$E80*AZ79,$E80/Hjor*AZ79))</f>
        <v>0</v>
      </c>
      <c r="BA80" s="55">
        <f>IF(TipoProgramaPersonalTecnico=1,$E80*'a)Plantilla'!$C26*Programa!D$59,IF(TipoProgramaPersonalTecnico=2,$E80*BA79,$E80/Hjor*BA79))</f>
        <v>0</v>
      </c>
      <c r="BB80" s="56">
        <f>IF(TipoProgramaPersonalTecnico=1,$E80*'a)Plantilla'!$C26*Programa!D$60,IF(TipoProgramaPersonalTecnico=2,$E80*BB79,$E80/Hjor*BB79))</f>
        <v>0</v>
      </c>
      <c r="BC80" s="53">
        <f>IF(TipoProgramaPersonalTecnico=1,$E80*'a)Plantilla'!$C26*Programa!D$61,IF(TipoProgramaPersonalTecnico=2,$E80*BC79,$E80/Hjor*BC79))</f>
        <v>0</v>
      </c>
      <c r="BD80" s="2">
        <f>IF(TipoProgramaPersonalTecnico=1,$E80*'a)Plantilla'!$C26*Programa!D$62,IF(TipoProgramaPersonalTecnico=2,$E80*BD79,$E80/Hjor*BD79))</f>
        <v>0</v>
      </c>
      <c r="BE80" s="2">
        <f>IF(TipoProgramaPersonalTecnico=1,$E80*'a)Plantilla'!$C26*Programa!D$63,IF(TipoProgramaPersonalTecnico=2,$E80*BE79,$E80/Hjor*BE79))</f>
        <v>0</v>
      </c>
      <c r="BF80" s="2">
        <f>IF(TipoProgramaPersonalTecnico=1,$E80*'a)Plantilla'!$C26*Programa!D$64,IF(TipoProgramaPersonalTecnico=2,$E80*BF79,$E80/Hjor*BF79))</f>
        <v>0</v>
      </c>
      <c r="BG80" s="2">
        <f>IF(TipoProgramaPersonalTecnico=1,$E80*'a)Plantilla'!$C26*Programa!D$65,IF(TipoProgramaPersonalTecnico=2,$E80*BG79,$E80/Hjor*BG79))</f>
        <v>0</v>
      </c>
      <c r="BH80" s="2">
        <f>IF(TipoProgramaPersonalTecnico=1,$E80*'a)Plantilla'!$C26*Programa!D$66,IF(TipoProgramaPersonalTecnico=2,$E80*BH79,$E80/Hjor*BH79))</f>
        <v>0</v>
      </c>
      <c r="BI80" s="2">
        <f>IF(TipoProgramaPersonalTecnico=1,$E80*'a)Plantilla'!$C26*Programa!D$67,IF(TipoProgramaPersonalTecnico=2,$E80*BI79,$E80/Hjor*BI79))</f>
        <v>0</v>
      </c>
      <c r="BJ80" s="2">
        <f>IF(TipoProgramaPersonalTecnico=1,$E80*'a)Plantilla'!$C26*Programa!D$68,IF(TipoProgramaPersonalTecnico=2,$E80*BJ79,$E80/Hjor*BJ79))</f>
        <v>0</v>
      </c>
      <c r="BK80" s="2">
        <f>IF(TipoProgramaPersonalTecnico=1,$E80*'a)Plantilla'!$C26*Programa!D$69,IF(TipoProgramaPersonalTecnico=2,$E80*BK79,$E80/Hjor*BK79))</f>
        <v>0</v>
      </c>
      <c r="BL80" s="2">
        <f>IF(TipoProgramaPersonalTecnico=1,$E80*'a)Plantilla'!$C26*Programa!D$70,IF(TipoProgramaPersonalTecnico=2,$E80*BL79,$E80/Hjor*BL79))</f>
        <v>0</v>
      </c>
      <c r="BM80" s="2">
        <f>IF(TipoProgramaPersonalTecnico=1,$E80*'a)Plantilla'!$C26*Programa!D$71,IF(TipoProgramaPersonalTecnico=2,$E80*BM79,$E80/Hjor*BM79))</f>
        <v>0</v>
      </c>
      <c r="BN80" s="12">
        <f>IF(TipoProgramaPersonalTecnico=1,$E80*'a)Plantilla'!$C26*Programa!D$72,IF(TipoProgramaPersonalTecnico=2,$E80*BN79,$E80/Hjor*BN79))</f>
        <v>0</v>
      </c>
    </row>
    <row r="81" spans="1:66" ht="7.5" customHeight="1">
      <c r="A81" s="67"/>
      <c r="B81" s="19"/>
      <c r="C81" s="127"/>
      <c r="D81" s="54"/>
      <c r="E81" s="19"/>
      <c r="F81" s="19"/>
      <c r="G81" s="1" t="s">
        <v>168</v>
      </c>
      <c r="H81" s="1" t="s">
        <v>168</v>
      </c>
      <c r="I81" s="1" t="s">
        <v>168</v>
      </c>
      <c r="J81" s="1" t="s">
        <v>168</v>
      </c>
      <c r="K81" s="1" t="s">
        <v>168</v>
      </c>
      <c r="L81" s="1" t="s">
        <v>168</v>
      </c>
      <c r="M81" s="1" t="s">
        <v>168</v>
      </c>
      <c r="N81" s="1" t="s">
        <v>168</v>
      </c>
      <c r="O81" s="1" t="s">
        <v>168</v>
      </c>
      <c r="P81" s="1" t="s">
        <v>168</v>
      </c>
      <c r="Q81" s="1" t="s">
        <v>168</v>
      </c>
      <c r="R81" s="8" t="s">
        <v>168</v>
      </c>
      <c r="S81" s="13" t="s">
        <v>168</v>
      </c>
      <c r="T81" s="1" t="s">
        <v>168</v>
      </c>
      <c r="U81" s="1" t="s">
        <v>168</v>
      </c>
      <c r="V81" s="1" t="s">
        <v>168</v>
      </c>
      <c r="W81" s="1" t="s">
        <v>168</v>
      </c>
      <c r="X81" s="1" t="s">
        <v>168</v>
      </c>
      <c r="Y81" s="1" t="s">
        <v>168</v>
      </c>
      <c r="Z81" s="1" t="s">
        <v>168</v>
      </c>
      <c r="AA81" s="1" t="s">
        <v>168</v>
      </c>
      <c r="AB81" s="1" t="s">
        <v>168</v>
      </c>
      <c r="AC81" s="1" t="s">
        <v>168</v>
      </c>
      <c r="AD81" s="8" t="s">
        <v>168</v>
      </c>
      <c r="AE81" s="13" t="s">
        <v>168</v>
      </c>
      <c r="AF81" s="1" t="s">
        <v>168</v>
      </c>
      <c r="AG81" s="1" t="s">
        <v>168</v>
      </c>
      <c r="AH81" s="1" t="s">
        <v>168</v>
      </c>
      <c r="AI81" s="1" t="s">
        <v>168</v>
      </c>
      <c r="AJ81" s="1" t="s">
        <v>168</v>
      </c>
      <c r="AK81" s="1" t="s">
        <v>168</v>
      </c>
      <c r="AL81" s="1" t="s">
        <v>168</v>
      </c>
      <c r="AM81" s="1" t="s">
        <v>168</v>
      </c>
      <c r="AN81" s="1" t="s">
        <v>168</v>
      </c>
      <c r="AO81" s="1" t="s">
        <v>168</v>
      </c>
      <c r="AP81" s="8" t="s">
        <v>168</v>
      </c>
      <c r="AQ81" s="13" t="s">
        <v>168</v>
      </c>
      <c r="AR81" s="1" t="s">
        <v>168</v>
      </c>
      <c r="AS81" s="1" t="s">
        <v>168</v>
      </c>
      <c r="AT81" s="1" t="s">
        <v>168</v>
      </c>
      <c r="AU81" s="1" t="s">
        <v>168</v>
      </c>
      <c r="AV81" s="1" t="s">
        <v>168</v>
      </c>
      <c r="AW81" s="1" t="s">
        <v>168</v>
      </c>
      <c r="AX81" s="1" t="s">
        <v>168</v>
      </c>
      <c r="AY81" s="1" t="s">
        <v>168</v>
      </c>
      <c r="AZ81" s="1" t="s">
        <v>168</v>
      </c>
      <c r="BA81" s="1" t="s">
        <v>168</v>
      </c>
      <c r="BB81" s="8" t="s">
        <v>168</v>
      </c>
      <c r="BC81" s="13" t="s">
        <v>168</v>
      </c>
      <c r="BD81" s="1" t="s">
        <v>168</v>
      </c>
      <c r="BE81" s="1" t="s">
        <v>168</v>
      </c>
      <c r="BF81" s="1" t="s">
        <v>168</v>
      </c>
      <c r="BG81" s="1" t="s">
        <v>168</v>
      </c>
      <c r="BH81" s="1" t="s">
        <v>168</v>
      </c>
      <c r="BI81" s="1" t="s">
        <v>168</v>
      </c>
      <c r="BJ81" s="1" t="s">
        <v>168</v>
      </c>
      <c r="BK81" s="1" t="s">
        <v>168</v>
      </c>
      <c r="BL81" s="1" t="s">
        <v>168</v>
      </c>
      <c r="BM81" s="1" t="s">
        <v>168</v>
      </c>
      <c r="BN81" s="8" t="s">
        <v>168</v>
      </c>
    </row>
    <row r="82" spans="1:66">
      <c r="A82" s="194"/>
      <c r="B82" s="136" t="s">
        <v>168</v>
      </c>
      <c r="C82" s="296"/>
      <c r="D82" s="287"/>
      <c r="E82" s="267" t="s">
        <v>152</v>
      </c>
      <c r="F82" s="80">
        <f>F80+F77+F74+F71+F68+F65+F62+F59+F56+F53+F50</f>
        <v>0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77"/>
      <c r="S82" s="8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77"/>
      <c r="AE82" s="8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77"/>
      <c r="AQ82" s="80"/>
      <c r="AR82" s="10"/>
      <c r="AS82" s="10"/>
      <c r="AT82" s="10"/>
      <c r="AU82" s="10"/>
      <c r="AV82" s="10"/>
      <c r="AW82" s="10"/>
      <c r="AX82" s="10"/>
      <c r="AY82" s="10"/>
      <c r="AZ82" s="10"/>
      <c r="BA82" s="241"/>
      <c r="BB82" s="51"/>
      <c r="BC82" s="199"/>
      <c r="BD82" s="10"/>
      <c r="BE82" s="51"/>
      <c r="BF82" s="51"/>
      <c r="BG82" s="51"/>
      <c r="BH82" s="51"/>
      <c r="BI82" s="51"/>
      <c r="BJ82" s="51"/>
      <c r="BK82" s="51"/>
      <c r="BL82" s="51"/>
      <c r="BM82" s="51"/>
      <c r="BN82" s="77"/>
    </row>
    <row r="83" spans="1:66">
      <c r="A83" s="249" t="str">
        <f>'d)Pers.Técnico'!A60</f>
        <v>PERSONAL DE OFICINA CENTRAL</v>
      </c>
      <c r="B83" s="31"/>
      <c r="C83" s="17"/>
      <c r="D83" s="266"/>
      <c r="E83" s="434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152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152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152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1023"/>
      <c r="BB83" s="47"/>
      <c r="BC83" s="688"/>
      <c r="BD83" s="119"/>
      <c r="BE83" s="47"/>
      <c r="BF83" s="47"/>
      <c r="BG83" s="47"/>
      <c r="BH83" s="47"/>
      <c r="BI83" s="47"/>
      <c r="BJ83" s="47"/>
      <c r="BK83" s="47"/>
      <c r="BL83" s="47"/>
      <c r="BM83" s="47"/>
      <c r="BN83" s="152"/>
    </row>
    <row r="84" spans="1:66">
      <c r="A84" s="378" t="str">
        <f>'d)Pers.Técnico'!A61</f>
        <v>Personal directivo incluye: Prestaciones</v>
      </c>
      <c r="B84" s="232"/>
      <c r="C84" s="281"/>
      <c r="D84" s="734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257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257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257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726"/>
      <c r="BB84" s="42"/>
      <c r="BC84" s="199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257"/>
    </row>
    <row r="85" spans="1:66">
      <c r="A85" s="178"/>
      <c r="B85" s="4"/>
      <c r="C85" s="228"/>
      <c r="D85" s="244"/>
      <c r="E85" s="162"/>
      <c r="F85" s="162"/>
      <c r="G85" s="18">
        <f>'d)Pers.Técnico'!E63</f>
        <v>0</v>
      </c>
      <c r="H85" s="18">
        <f>'d)Pers.Técnico'!F63</f>
        <v>0</v>
      </c>
      <c r="I85" s="18">
        <f>'d)Pers.Técnico'!G63</f>
        <v>0</v>
      </c>
      <c r="J85" s="18">
        <f>'d)Pers.Técnico'!H63</f>
        <v>0</v>
      </c>
      <c r="K85" s="18">
        <f>'d)Pers.Técnico'!I63</f>
        <v>0</v>
      </c>
      <c r="L85" s="18">
        <f>'d)Pers.Técnico'!J63</f>
        <v>0</v>
      </c>
      <c r="M85" s="18">
        <f>'d)Pers.Técnico'!K63</f>
        <v>0</v>
      </c>
      <c r="N85" s="18">
        <f>'d)Pers.Técnico'!L63</f>
        <v>0</v>
      </c>
      <c r="O85" s="18">
        <f>'d)Pers.Técnico'!M63</f>
        <v>0</v>
      </c>
      <c r="P85" s="18">
        <f>'d)Pers.Técnico'!N63</f>
        <v>0</v>
      </c>
      <c r="Q85" s="18">
        <f>'d)Pers.Técnico'!O63</f>
        <v>0</v>
      </c>
      <c r="R85" s="115">
        <f>'d)Pers.Técnico'!P63</f>
        <v>0</v>
      </c>
      <c r="S85" s="149">
        <f>'d)Pers.Técnico'!Q63</f>
        <v>0</v>
      </c>
      <c r="T85" s="18">
        <f>'d)Pers.Técnico'!R63</f>
        <v>0</v>
      </c>
      <c r="U85" s="18">
        <f>'d)Pers.Técnico'!S63</f>
        <v>0</v>
      </c>
      <c r="V85" s="18">
        <f>'d)Pers.Técnico'!T63</f>
        <v>0</v>
      </c>
      <c r="W85" s="18">
        <f>'d)Pers.Técnico'!U63</f>
        <v>0</v>
      </c>
      <c r="X85" s="18">
        <f>'d)Pers.Técnico'!V63</f>
        <v>0</v>
      </c>
      <c r="Y85" s="18">
        <f>'d)Pers.Técnico'!W63</f>
        <v>0</v>
      </c>
      <c r="Z85" s="18">
        <f>'d)Pers.Técnico'!X63</f>
        <v>0</v>
      </c>
      <c r="AA85" s="18">
        <f>'d)Pers.Técnico'!Y63</f>
        <v>0</v>
      </c>
      <c r="AB85" s="18">
        <f>'d)Pers.Técnico'!Z63</f>
        <v>0</v>
      </c>
      <c r="AC85" s="18">
        <f>'d)Pers.Técnico'!AA63</f>
        <v>0</v>
      </c>
      <c r="AD85" s="115">
        <f>'d)Pers.Técnico'!AB63</f>
        <v>0</v>
      </c>
      <c r="AE85" s="149">
        <f>'d)Pers.Técnico'!AC63</f>
        <v>0</v>
      </c>
      <c r="AF85" s="18">
        <f>'d)Pers.Técnico'!AD63</f>
        <v>0</v>
      </c>
      <c r="AG85" s="18">
        <f>'d)Pers.Técnico'!AE63</f>
        <v>0</v>
      </c>
      <c r="AH85" s="18">
        <f>'d)Pers.Técnico'!AF63</f>
        <v>0</v>
      </c>
      <c r="AI85" s="18">
        <f>'d)Pers.Técnico'!AG63</f>
        <v>0</v>
      </c>
      <c r="AJ85" s="18">
        <f>'d)Pers.Técnico'!AH63</f>
        <v>0</v>
      </c>
      <c r="AK85" s="18">
        <f>'d)Pers.Técnico'!AI63</f>
        <v>0</v>
      </c>
      <c r="AL85" s="18">
        <f>'d)Pers.Técnico'!AJ63</f>
        <v>0</v>
      </c>
      <c r="AM85" s="18">
        <f>'d)Pers.Técnico'!AK63</f>
        <v>0</v>
      </c>
      <c r="AN85" s="18">
        <f>'d)Pers.Técnico'!AL63</f>
        <v>0</v>
      </c>
      <c r="AO85" s="18">
        <f>'d)Pers.Técnico'!AM63</f>
        <v>0</v>
      </c>
      <c r="AP85" s="115">
        <f>'d)Pers.Técnico'!AN63</f>
        <v>0</v>
      </c>
      <c r="AQ85" s="149">
        <f>'d)Pers.Técnico'!AO63</f>
        <v>0</v>
      </c>
      <c r="AR85" s="18">
        <f>'d)Pers.Técnico'!AP63</f>
        <v>0</v>
      </c>
      <c r="AS85" s="18">
        <f>'d)Pers.Técnico'!AQ63</f>
        <v>0</v>
      </c>
      <c r="AT85" s="18">
        <f>'d)Pers.Técnico'!AR63</f>
        <v>0</v>
      </c>
      <c r="AU85" s="18">
        <f>'d)Pers.Técnico'!AS63</f>
        <v>0</v>
      </c>
      <c r="AV85" s="18">
        <f>'d)Pers.Técnico'!AT63</f>
        <v>0</v>
      </c>
      <c r="AW85" s="18">
        <f>'d)Pers.Técnico'!AU63</f>
        <v>0</v>
      </c>
      <c r="AX85" s="18">
        <f>'d)Pers.Técnico'!AV63</f>
        <v>0</v>
      </c>
      <c r="AY85" s="18">
        <f>'d)Pers.Técnico'!AW63</f>
        <v>0</v>
      </c>
      <c r="AZ85" s="18">
        <f>'d)Pers.Técnico'!AX63</f>
        <v>0</v>
      </c>
      <c r="BA85" s="45">
        <f>'d)Pers.Técnico'!AY63</f>
        <v>0</v>
      </c>
      <c r="BB85" s="360">
        <f>'d)Pers.Técnico'!AZ63</f>
        <v>0</v>
      </c>
      <c r="BC85" s="391">
        <f>'d)Pers.Técnico'!BA63</f>
        <v>0</v>
      </c>
      <c r="BD85" s="18">
        <f>'d)Pers.Técnico'!BB63</f>
        <v>0</v>
      </c>
      <c r="BE85" s="18">
        <f>'d)Pers.Técnico'!BC63</f>
        <v>0</v>
      </c>
      <c r="BF85" s="18">
        <f>'d)Pers.Técnico'!BD63</f>
        <v>0</v>
      </c>
      <c r="BG85" s="18">
        <f>'d)Pers.Técnico'!BE63</f>
        <v>0</v>
      </c>
      <c r="BH85" s="18">
        <f>'d)Pers.Técnico'!BF63</f>
        <v>0</v>
      </c>
      <c r="BI85" s="18">
        <f>'d)Pers.Técnico'!BG63</f>
        <v>0</v>
      </c>
      <c r="BJ85" s="18">
        <f>'d)Pers.Técnico'!BH63</f>
        <v>0</v>
      </c>
      <c r="BK85" s="18">
        <f>'d)Pers.Técnico'!BI63</f>
        <v>0</v>
      </c>
      <c r="BL85" s="18">
        <f>'d)Pers.Técnico'!BJ63</f>
        <v>0</v>
      </c>
      <c r="BM85" s="18">
        <f>'d)Pers.Técnico'!BK63</f>
        <v>0</v>
      </c>
      <c r="BN85" s="115">
        <f>'d)Pers.Técnico'!BL63</f>
        <v>0</v>
      </c>
    </row>
    <row r="86" spans="1:66" s="23" customFormat="1">
      <c r="A86" s="458" t="s">
        <v>168</v>
      </c>
      <c r="B86" s="474" t="str">
        <f>+'d)Pers.Técnico'!B63</f>
        <v/>
      </c>
      <c r="C86" s="197" t="str">
        <f>'d)Pers.Técnico'!C63</f>
        <v/>
      </c>
      <c r="D86" s="52">
        <f>SUM(G85:BN85)</f>
        <v>0</v>
      </c>
      <c r="E86" s="7">
        <f>IF('a)Plantilla'!C32&gt;0,'a)Plantilla'!D32/30,0)</f>
        <v>0</v>
      </c>
      <c r="F86" s="7">
        <f>SUM(G86:BN86)</f>
        <v>0</v>
      </c>
      <c r="G86" s="2">
        <f>IF(TipoProgramaPersonalTecnico=1,$E86*'a)Plantilla'!$C32*Programa!D$13,IF(TipoProgramaPersonalTecnico=2,$E86*G85,$E86/Hjor*G85))</f>
        <v>0</v>
      </c>
      <c r="H86" s="2">
        <f>IF(TipoProgramaPersonalTecnico=1,$E86*'a)Plantilla'!$C32*Programa!D$14,IF(TipoProgramaPersonalTecnico=2,$E86*H85,$E86/Hjor*H85))</f>
        <v>0</v>
      </c>
      <c r="I86" s="2">
        <f>IF(TipoProgramaPersonalTecnico=1,$E86*'a)Plantilla'!$C32*Programa!D$15,IF(TipoProgramaPersonalTecnico=2,$E86*I85,$E86/Hjor*I85))</f>
        <v>0</v>
      </c>
      <c r="J86" s="2">
        <f>IF(TipoProgramaPersonalTecnico=1,$E86*'a)Plantilla'!$C32*Programa!D$16,IF(TipoProgramaPersonalTecnico=2,$E86*J85,$E86/Hjor*J85))</f>
        <v>0</v>
      </c>
      <c r="K86" s="2">
        <f>IF(TipoProgramaPersonalTecnico=1,$E86*'a)Plantilla'!$C32*Programa!D$17,IF(TipoProgramaPersonalTecnico=2,$E86*K85,$E86/Hjor*K85))</f>
        <v>0</v>
      </c>
      <c r="L86" s="2">
        <f>IF(TipoProgramaPersonalTecnico=1,$E86*'a)Plantilla'!$C32*Programa!D$18,IF(TipoProgramaPersonalTecnico=2,$E86*L85,$E86/Hjor*L85))</f>
        <v>0</v>
      </c>
      <c r="M86" s="2">
        <f>IF(TipoProgramaPersonalTecnico=1,$E86*'a)Plantilla'!$C32*Programa!D$19,IF(TipoProgramaPersonalTecnico=2,$E86*M85,$E86/Hjor*M85))</f>
        <v>0</v>
      </c>
      <c r="N86" s="2">
        <f>IF(TipoProgramaPersonalTecnico=1,$E86*'a)Plantilla'!$C32*Programa!D$20,IF(TipoProgramaPersonalTecnico=2,$E86*N85,$E86/Hjor*N85))</f>
        <v>0</v>
      </c>
      <c r="O86" s="2">
        <f>IF(TipoProgramaPersonalTecnico=1,$E86*'a)Plantilla'!$C32*Programa!D$21,IF(TipoProgramaPersonalTecnico=2,$E86*O85,$E86/Hjor*O85))</f>
        <v>0</v>
      </c>
      <c r="P86" s="2">
        <f>IF(TipoProgramaPersonalTecnico=1,$E86*'a)Plantilla'!$C32*Programa!D$22,IF(TipoProgramaPersonalTecnico=2,$E86*P85,$E86/Hjor*P85))</f>
        <v>0</v>
      </c>
      <c r="Q86" s="2">
        <f>IF(TipoProgramaPersonalTecnico=1,$E86*'a)Plantilla'!$C32*Programa!D$23,IF(TipoProgramaPersonalTecnico=2,$E86*Q85,$E86/Hjor*Q85))</f>
        <v>0</v>
      </c>
      <c r="R86" s="12">
        <f>IF(TipoProgramaPersonalTecnico=1,$E86*'a)Plantilla'!$C32*Programa!D$24,IF(TipoProgramaPersonalTecnico=2,$E86*R85,$E86/Hjor*R85))</f>
        <v>0</v>
      </c>
      <c r="S86" s="7">
        <f>IF(TipoProgramaPersonalTecnico=1,$E86*'a)Plantilla'!$C32*Programa!D$25,IF(TipoProgramaPersonalTecnico=2,$E86*S85,$E86/Hjor*S85))</f>
        <v>0</v>
      </c>
      <c r="T86" s="2">
        <f>IF(TipoProgramaPersonalTecnico=1,$E86*'a)Plantilla'!$C32*Programa!D$26,IF(TipoProgramaPersonalTecnico=2,$E86*T85,$E86/Hjor*T85))</f>
        <v>0</v>
      </c>
      <c r="U86" s="2">
        <f>IF(TipoProgramaPersonalTecnico=1,$E86*'a)Plantilla'!$C32*Programa!D$27,IF(TipoProgramaPersonalTecnico=2,$E86*U85,$E86/Hjor*U85))</f>
        <v>0</v>
      </c>
      <c r="V86" s="2">
        <f>IF(TipoProgramaPersonalTecnico=1,$E86*'a)Plantilla'!$C32*Programa!D$28,IF(TipoProgramaPersonalTecnico=2,$E86*V85,$E86/Hjor*V85))</f>
        <v>0</v>
      </c>
      <c r="W86" s="2">
        <f>IF(TipoProgramaPersonalTecnico=1,$E86*'a)Plantilla'!$C32*Programa!D$29,IF(TipoProgramaPersonalTecnico=2,$E86*W85,$E86/Hjor*W85))</f>
        <v>0</v>
      </c>
      <c r="X86" s="2">
        <f>IF(TipoProgramaPersonalTecnico=1,$E86*'a)Plantilla'!$C32*Programa!D$30,IF(TipoProgramaPersonalTecnico=2,$E86*X85,$E86/Hjor*X85))</f>
        <v>0</v>
      </c>
      <c r="Y86" s="2">
        <f>IF(TipoProgramaPersonalTecnico=1,$E86*'a)Plantilla'!$C32*Programa!D$31,IF(TipoProgramaPersonalTecnico=2,$E86*Y85,$E86/Hjor*Y85))</f>
        <v>0</v>
      </c>
      <c r="Z86" s="2">
        <f>IF(TipoProgramaPersonalTecnico=1,$E86*'a)Plantilla'!$C32*Programa!D$32,IF(TipoProgramaPersonalTecnico=2,$E86*Z85,$E86/Hjor*Z85))</f>
        <v>0</v>
      </c>
      <c r="AA86" s="2">
        <f>IF(TipoProgramaPersonalTecnico=1,$E86*'a)Plantilla'!$C32*Programa!D$33,IF(TipoProgramaPersonalTecnico=2,$E86*AA85,$E86/Hjor*AA85))</f>
        <v>0</v>
      </c>
      <c r="AB86" s="2">
        <f>IF(TipoProgramaPersonalTecnico=1,$E86*'a)Plantilla'!$C32*Programa!D$34,IF(TipoProgramaPersonalTecnico=2,$E86*AB85,$E86/Hjor*AB85))</f>
        <v>0</v>
      </c>
      <c r="AC86" s="2">
        <f>IF(TipoProgramaPersonalTecnico=1,$E86*'a)Plantilla'!$C32*Programa!D$35,IF(TipoProgramaPersonalTecnico=2,$E86*AC85,$E86/Hjor*AC85))</f>
        <v>0</v>
      </c>
      <c r="AD86" s="12">
        <f>IF(TipoProgramaPersonalTecnico=1,$E86*'a)Plantilla'!$C32*Programa!D$36,IF(TipoProgramaPersonalTecnico=2,$E86*AD85,$E86/Hjor*AD85))</f>
        <v>0</v>
      </c>
      <c r="AE86" s="7">
        <f>IF(TipoProgramaPersonalTecnico=1,$E86*'a)Plantilla'!$C32*Programa!D$37,IF(TipoProgramaPersonalTecnico=2,$E86*AE85,$E86/Hjor*AE85))</f>
        <v>0</v>
      </c>
      <c r="AF86" s="2">
        <f>IF(TipoProgramaPersonalTecnico=1,$E86*'a)Plantilla'!$C32*Programa!D$38,IF(TipoProgramaPersonalTecnico=2,$E86*AF85,$E86/Hjor*AF85))</f>
        <v>0</v>
      </c>
      <c r="AG86" s="2">
        <f>IF(TipoProgramaPersonalTecnico=1,$E86*'a)Plantilla'!$C32*Programa!D$39,IF(TipoProgramaPersonalTecnico=2,$E86*AG85,$E86/Hjor*AG85))</f>
        <v>0</v>
      </c>
      <c r="AH86" s="2">
        <f>IF(TipoProgramaPersonalTecnico=1,$E86*'a)Plantilla'!$C32*Programa!D$40,IF(TipoProgramaPersonalTecnico=2,$E86*AH85,$E86/Hjor*AH85))</f>
        <v>0</v>
      </c>
      <c r="AI86" s="2">
        <f>IF(TipoProgramaPersonalTecnico=1,$E86*'a)Plantilla'!$C32*Programa!D$41,IF(TipoProgramaPersonalTecnico=2,$E86*AI85,$E86/Hjor*AI85))</f>
        <v>0</v>
      </c>
      <c r="AJ86" s="2">
        <f>IF(TipoProgramaPersonalTecnico=1,$E86*'a)Plantilla'!$C32*Programa!D$42,IF(TipoProgramaPersonalTecnico=2,$E86*AJ85,$E86/Hjor*AJ85))</f>
        <v>0</v>
      </c>
      <c r="AK86" s="2">
        <f>IF(TipoProgramaPersonalTecnico=1,$E86*'a)Plantilla'!$C32*Programa!D$43,IF(TipoProgramaPersonalTecnico=2,$E86*AK85,$E86/Hjor*AK85))</f>
        <v>0</v>
      </c>
      <c r="AL86" s="2">
        <f>IF(TipoProgramaPersonalTecnico=1,$E86*'a)Plantilla'!$C32*Programa!D$44,IF(TipoProgramaPersonalTecnico=2,$E86*AL85,$E86/Hjor*AL85))</f>
        <v>0</v>
      </c>
      <c r="AM86" s="2">
        <f>IF(TipoProgramaPersonalTecnico=1,$E86*'a)Plantilla'!$C32*Programa!D$45,IF(TipoProgramaPersonalTecnico=2,$E86*AM85,$E86/Hjor*AM85))</f>
        <v>0</v>
      </c>
      <c r="AN86" s="2">
        <f>IF(TipoProgramaPersonalTecnico=1,$E86*'a)Plantilla'!$C32*Programa!D$46,IF(TipoProgramaPersonalTecnico=2,$E86*AN85,$E86/Hjor*AN85))</f>
        <v>0</v>
      </c>
      <c r="AO86" s="2">
        <f>IF(TipoProgramaPersonalTecnico=1,$E86*'a)Plantilla'!$C32*Programa!D$47,IF(TipoProgramaPersonalTecnico=2,$E86*AO85,$E86/Hjor*AO85))</f>
        <v>0</v>
      </c>
      <c r="AP86" s="12">
        <f>IF(TipoProgramaPersonalTecnico=1,$E86*'a)Plantilla'!$C32*Programa!D$48,IF(TipoProgramaPersonalTecnico=2,$E86*AP85,$E86/Hjor*AP85))</f>
        <v>0</v>
      </c>
      <c r="AQ86" s="7">
        <f>IF(TipoProgramaPersonalTecnico=1,$E86*'a)Plantilla'!$C32*Programa!D$49,IF(TipoProgramaPersonalTecnico=2,$E86*AQ85,$E86/Hjor*AQ85))</f>
        <v>0</v>
      </c>
      <c r="AR86" s="2">
        <f>IF(TipoProgramaPersonalTecnico=1,$E86*'a)Plantilla'!$C32*Programa!D$50,IF(TipoProgramaPersonalTecnico=2,$E86*AR85,$E86/Hjor*AR85))</f>
        <v>0</v>
      </c>
      <c r="AS86" s="2">
        <f>IF(TipoProgramaPersonalTecnico=1,$E86*'a)Plantilla'!$C32*Programa!D$51,IF(TipoProgramaPersonalTecnico=2,$E86*AS85,$E86/Hjor*AS85))</f>
        <v>0</v>
      </c>
      <c r="AT86" s="2">
        <f>IF(TipoProgramaPersonalTecnico=1,$E86*'a)Plantilla'!$C32*Programa!D$52,IF(TipoProgramaPersonalTecnico=2,$E86*AT85,$E86/Hjor*AT85))</f>
        <v>0</v>
      </c>
      <c r="AU86" s="2">
        <f>IF(TipoProgramaPersonalTecnico=1,$E86*'a)Plantilla'!$C32*Programa!D$53,IF(TipoProgramaPersonalTecnico=2,$E86*AU85,$E86/Hjor*AU85))</f>
        <v>0</v>
      </c>
      <c r="AV86" s="2">
        <f>IF(TipoProgramaPersonalTecnico=1,$E86*'a)Plantilla'!$C32*Programa!D$54,IF(TipoProgramaPersonalTecnico=2,$E86*AV85,$E86/Hjor*AV85))</f>
        <v>0</v>
      </c>
      <c r="AW86" s="2">
        <f>IF(TipoProgramaPersonalTecnico=1,$E86*'a)Plantilla'!$C32*Programa!D$55,IF(TipoProgramaPersonalTecnico=2,$E86*AW85,$E86/Hjor*AW85))</f>
        <v>0</v>
      </c>
      <c r="AX86" s="2">
        <f>IF(TipoProgramaPersonalTecnico=1,$E86*'a)Plantilla'!$C32*Programa!D$56,IF(TipoProgramaPersonalTecnico=2,$E86*AX85,$E86/Hjor*AX85))</f>
        <v>0</v>
      </c>
      <c r="AY86" s="2">
        <f>IF(TipoProgramaPersonalTecnico=1,$E86*'a)Plantilla'!$C32*Programa!D$57,IF(TipoProgramaPersonalTecnico=2,$E86*AY85,$E86/Hjor*AY85))</f>
        <v>0</v>
      </c>
      <c r="AZ86" s="2">
        <f>IF(TipoProgramaPersonalTecnico=1,$E86*'a)Plantilla'!$C32*Programa!D$58,IF(TipoProgramaPersonalTecnico=2,$E86*AZ85,$E86/Hjor*AZ85))</f>
        <v>0</v>
      </c>
      <c r="BA86" s="55">
        <f>IF(TipoProgramaPersonalTecnico=1,$E86*'a)Plantilla'!$C32*Programa!D$59,IF(TipoProgramaPersonalTecnico=2,$E86*BA85,$E86/Hjor*BA85))</f>
        <v>0</v>
      </c>
      <c r="BB86" s="56">
        <f>IF(TipoProgramaPersonalTecnico=1,$E86*'a)Plantilla'!$C32*Programa!D$60,IF(TipoProgramaPersonalTecnico=2,$E86*BB85,$E86/Hjor*BB85))</f>
        <v>0</v>
      </c>
      <c r="BC86" s="53">
        <f>IF(TipoProgramaPersonalTecnico=1,$E86*'a)Plantilla'!$C32*Programa!D$61,IF(TipoProgramaPersonalTecnico=2,$E86*BC85,$E86/Hjor*BC85))</f>
        <v>0</v>
      </c>
      <c r="BD86" s="2">
        <f>IF(TipoProgramaPersonalTecnico=1,$E86*'a)Plantilla'!$C32*Programa!D$62,IF(TipoProgramaPersonalTecnico=2,$E86*BD85,$E86/Hjor*BD85))</f>
        <v>0</v>
      </c>
      <c r="BE86" s="2">
        <f>IF(TipoProgramaPersonalTecnico=1,$E86*'a)Plantilla'!$C32*Programa!D$63,IF(TipoProgramaPersonalTecnico=2,$E86*BE85,$E86/Hjor*BE85))</f>
        <v>0</v>
      </c>
      <c r="BF86" s="2">
        <f>IF(TipoProgramaPersonalTecnico=1,$E86*'a)Plantilla'!$C32*Programa!D$64,IF(TipoProgramaPersonalTecnico=2,$E86*BF85,$E86/Hjor*BF85))</f>
        <v>0</v>
      </c>
      <c r="BG86" s="2">
        <f>IF(TipoProgramaPersonalTecnico=1,$E86*'a)Plantilla'!$C32*Programa!D$65,IF(TipoProgramaPersonalTecnico=2,$E86*BG85,$E86/Hjor*BG85))</f>
        <v>0</v>
      </c>
      <c r="BH86" s="2">
        <f>IF(TipoProgramaPersonalTecnico=1,$E86*'a)Plantilla'!$C32*Programa!D$66,IF(TipoProgramaPersonalTecnico=2,$E86*BH85,$E86/Hjor*BH85))</f>
        <v>0</v>
      </c>
      <c r="BI86" s="2">
        <f>IF(TipoProgramaPersonalTecnico=1,$E86*'a)Plantilla'!$C32*Programa!D$67,IF(TipoProgramaPersonalTecnico=2,$E86*BI85,$E86/Hjor*BI85))</f>
        <v>0</v>
      </c>
      <c r="BJ86" s="2">
        <f>IF(TipoProgramaPersonalTecnico=1,$E86*'a)Plantilla'!$C32*Programa!D$68,IF(TipoProgramaPersonalTecnico=2,$E86*BJ85,$E86/Hjor*BJ85))</f>
        <v>0</v>
      </c>
      <c r="BK86" s="2">
        <f>IF(TipoProgramaPersonalTecnico=1,$E86*'a)Plantilla'!$C32*Programa!D$69,IF(TipoProgramaPersonalTecnico=2,$E86*BK85,$E86/Hjor*BK85))</f>
        <v>0</v>
      </c>
      <c r="BL86" s="2">
        <f>IF(TipoProgramaPersonalTecnico=1,$E86*'a)Plantilla'!$C32*Programa!D$70,IF(TipoProgramaPersonalTecnico=2,$E86*BL85,$E86/Hjor*BL85))</f>
        <v>0</v>
      </c>
      <c r="BM86" s="2">
        <f>IF(TipoProgramaPersonalTecnico=1,$E86*'a)Plantilla'!$C32*Programa!D$71,IF(TipoProgramaPersonalTecnico=2,$E86*BM85,$E86/Hjor*BM85))</f>
        <v>0</v>
      </c>
      <c r="BN86" s="12">
        <f>IF(TipoProgramaPersonalTecnico=1,$E86*'a)Plantilla'!$C32*Programa!D$72,IF(TipoProgramaPersonalTecnico=2,$E86*BN85,$E86/Hjor*BN85))</f>
        <v>0</v>
      </c>
    </row>
    <row r="87" spans="1:66" s="23" customFormat="1" ht="7.5" customHeight="1">
      <c r="A87" s="67"/>
      <c r="B87" s="19"/>
      <c r="C87" s="127"/>
      <c r="D87" s="54"/>
      <c r="E87" s="19"/>
      <c r="F87" s="19"/>
      <c r="G87" s="1" t="s">
        <v>168</v>
      </c>
      <c r="H87" s="1" t="s">
        <v>168</v>
      </c>
      <c r="I87" s="1" t="s">
        <v>168</v>
      </c>
      <c r="J87" s="1" t="s">
        <v>168</v>
      </c>
      <c r="K87" s="1" t="s">
        <v>168</v>
      </c>
      <c r="L87" s="1" t="s">
        <v>168</v>
      </c>
      <c r="M87" s="1" t="s">
        <v>168</v>
      </c>
      <c r="N87" s="1" t="s">
        <v>168</v>
      </c>
      <c r="O87" s="1" t="s">
        <v>168</v>
      </c>
      <c r="P87" s="1" t="s">
        <v>168</v>
      </c>
      <c r="Q87" s="1" t="s">
        <v>168</v>
      </c>
      <c r="R87" s="8" t="s">
        <v>168</v>
      </c>
      <c r="S87" s="13" t="s">
        <v>168</v>
      </c>
      <c r="T87" s="1" t="s">
        <v>168</v>
      </c>
      <c r="U87" s="1" t="s">
        <v>168</v>
      </c>
      <c r="V87" s="1" t="s">
        <v>168</v>
      </c>
      <c r="W87" s="1" t="s">
        <v>168</v>
      </c>
      <c r="X87" s="1" t="s">
        <v>168</v>
      </c>
      <c r="Y87" s="1" t="s">
        <v>168</v>
      </c>
      <c r="Z87" s="1" t="s">
        <v>168</v>
      </c>
      <c r="AA87" s="1" t="s">
        <v>168</v>
      </c>
      <c r="AB87" s="1" t="s">
        <v>168</v>
      </c>
      <c r="AC87" s="1" t="s">
        <v>168</v>
      </c>
      <c r="AD87" s="8" t="s">
        <v>168</v>
      </c>
      <c r="AE87" s="13" t="s">
        <v>168</v>
      </c>
      <c r="AF87" s="1" t="s">
        <v>168</v>
      </c>
      <c r="AG87" s="1" t="s">
        <v>168</v>
      </c>
      <c r="AH87" s="1" t="s">
        <v>168</v>
      </c>
      <c r="AI87" s="1" t="s">
        <v>168</v>
      </c>
      <c r="AJ87" s="1" t="s">
        <v>168</v>
      </c>
      <c r="AK87" s="1" t="s">
        <v>168</v>
      </c>
      <c r="AL87" s="1" t="s">
        <v>168</v>
      </c>
      <c r="AM87" s="1" t="s">
        <v>168</v>
      </c>
      <c r="AN87" s="1" t="s">
        <v>168</v>
      </c>
      <c r="AO87" s="1" t="s">
        <v>168</v>
      </c>
      <c r="AP87" s="8" t="s">
        <v>168</v>
      </c>
      <c r="AQ87" s="13" t="s">
        <v>168</v>
      </c>
      <c r="AR87" s="1" t="s">
        <v>168</v>
      </c>
      <c r="AS87" s="1" t="s">
        <v>168</v>
      </c>
      <c r="AT87" s="1" t="s">
        <v>168</v>
      </c>
      <c r="AU87" s="1" t="s">
        <v>168</v>
      </c>
      <c r="AV87" s="1" t="s">
        <v>168</v>
      </c>
      <c r="AW87" s="1" t="s">
        <v>168</v>
      </c>
      <c r="AX87" s="1" t="s">
        <v>168</v>
      </c>
      <c r="AY87" s="1" t="s">
        <v>168</v>
      </c>
      <c r="AZ87" s="1" t="s">
        <v>168</v>
      </c>
      <c r="BA87" s="1" t="s">
        <v>168</v>
      </c>
      <c r="BB87" s="8" t="s">
        <v>168</v>
      </c>
      <c r="BC87" s="13" t="s">
        <v>168</v>
      </c>
      <c r="BD87" s="1" t="s">
        <v>168</v>
      </c>
      <c r="BE87" s="1" t="s">
        <v>168</v>
      </c>
      <c r="BF87" s="1" t="s">
        <v>168</v>
      </c>
      <c r="BG87" s="1" t="s">
        <v>168</v>
      </c>
      <c r="BH87" s="1" t="s">
        <v>168</v>
      </c>
      <c r="BI87" s="1" t="s">
        <v>168</v>
      </c>
      <c r="BJ87" s="1" t="s">
        <v>168</v>
      </c>
      <c r="BK87" s="1" t="s">
        <v>168</v>
      </c>
      <c r="BL87" s="1" t="s">
        <v>168</v>
      </c>
      <c r="BM87" s="1" t="s">
        <v>168</v>
      </c>
      <c r="BN87" s="8" t="s">
        <v>168</v>
      </c>
    </row>
    <row r="88" spans="1:66" s="23" customFormat="1">
      <c r="A88" s="458"/>
      <c r="B88" s="474"/>
      <c r="C88" s="197"/>
      <c r="D88" s="1060"/>
      <c r="E88" s="503"/>
      <c r="F88" s="503"/>
      <c r="G88" s="3">
        <f>'d)Pers.Técnico'!E65</f>
        <v>0</v>
      </c>
      <c r="H88" s="3">
        <f>'d)Pers.Técnico'!F65</f>
        <v>0</v>
      </c>
      <c r="I88" s="3">
        <f>'d)Pers.Técnico'!G65</f>
        <v>0</v>
      </c>
      <c r="J88" s="3">
        <f>'d)Pers.Técnico'!H65</f>
        <v>0</v>
      </c>
      <c r="K88" s="3">
        <f>'d)Pers.Técnico'!I65</f>
        <v>0</v>
      </c>
      <c r="L88" s="3">
        <f>'d)Pers.Técnico'!J65</f>
        <v>0</v>
      </c>
      <c r="M88" s="3">
        <f>'d)Pers.Técnico'!K65</f>
        <v>0</v>
      </c>
      <c r="N88" s="3">
        <f>'d)Pers.Técnico'!L65</f>
        <v>0</v>
      </c>
      <c r="O88" s="3">
        <f>'d)Pers.Técnico'!M65</f>
        <v>0</v>
      </c>
      <c r="P88" s="3">
        <f>'d)Pers.Técnico'!N65</f>
        <v>0</v>
      </c>
      <c r="Q88" s="3">
        <f>'d)Pers.Técnico'!O65</f>
        <v>0</v>
      </c>
      <c r="R88" s="14">
        <f>'d)Pers.Técnico'!P65</f>
        <v>0</v>
      </c>
      <c r="S88" s="20">
        <f>'d)Pers.Técnico'!Q65</f>
        <v>0</v>
      </c>
      <c r="T88" s="3">
        <f>'d)Pers.Técnico'!R65</f>
        <v>0</v>
      </c>
      <c r="U88" s="3">
        <f>'d)Pers.Técnico'!S65</f>
        <v>0</v>
      </c>
      <c r="V88" s="3">
        <f>'d)Pers.Técnico'!T65</f>
        <v>0</v>
      </c>
      <c r="W88" s="3">
        <f>'d)Pers.Técnico'!U65</f>
        <v>0</v>
      </c>
      <c r="X88" s="3">
        <f>'d)Pers.Técnico'!V65</f>
        <v>0</v>
      </c>
      <c r="Y88" s="3">
        <f>'d)Pers.Técnico'!W65</f>
        <v>0</v>
      </c>
      <c r="Z88" s="3">
        <f>'d)Pers.Técnico'!X65</f>
        <v>0</v>
      </c>
      <c r="AA88" s="3">
        <f>'d)Pers.Técnico'!Y65</f>
        <v>0</v>
      </c>
      <c r="AB88" s="3">
        <f>'d)Pers.Técnico'!Z65</f>
        <v>0</v>
      </c>
      <c r="AC88" s="3">
        <f>'d)Pers.Técnico'!AA65</f>
        <v>0</v>
      </c>
      <c r="AD88" s="14">
        <f>'d)Pers.Técnico'!AB65</f>
        <v>0</v>
      </c>
      <c r="AE88" s="20">
        <f>'d)Pers.Técnico'!AC65</f>
        <v>0</v>
      </c>
      <c r="AF88" s="3">
        <f>'d)Pers.Técnico'!AD65</f>
        <v>0</v>
      </c>
      <c r="AG88" s="3">
        <f>'d)Pers.Técnico'!AE65</f>
        <v>0</v>
      </c>
      <c r="AH88" s="3">
        <f>'d)Pers.Técnico'!AF65</f>
        <v>0</v>
      </c>
      <c r="AI88" s="3">
        <f>'d)Pers.Técnico'!AG65</f>
        <v>0</v>
      </c>
      <c r="AJ88" s="3">
        <f>'d)Pers.Técnico'!AH65</f>
        <v>0</v>
      </c>
      <c r="AK88" s="3">
        <f>'d)Pers.Técnico'!AI65</f>
        <v>0</v>
      </c>
      <c r="AL88" s="3">
        <f>'d)Pers.Técnico'!AJ65</f>
        <v>0</v>
      </c>
      <c r="AM88" s="3">
        <f>'d)Pers.Técnico'!AK65</f>
        <v>0</v>
      </c>
      <c r="AN88" s="3">
        <f>'d)Pers.Técnico'!AL65</f>
        <v>0</v>
      </c>
      <c r="AO88" s="3">
        <f>'d)Pers.Técnico'!AM65</f>
        <v>0</v>
      </c>
      <c r="AP88" s="14">
        <f>'d)Pers.Técnico'!AN65</f>
        <v>0</v>
      </c>
      <c r="AQ88" s="20">
        <f>'d)Pers.Técnico'!AO65</f>
        <v>0</v>
      </c>
      <c r="AR88" s="3">
        <f>'d)Pers.Técnico'!AP65</f>
        <v>0</v>
      </c>
      <c r="AS88" s="3">
        <f>'d)Pers.Técnico'!AQ65</f>
        <v>0</v>
      </c>
      <c r="AT88" s="3">
        <f>'d)Pers.Técnico'!AR65</f>
        <v>0</v>
      </c>
      <c r="AU88" s="3">
        <f>'d)Pers.Técnico'!AS65</f>
        <v>0</v>
      </c>
      <c r="AV88" s="3">
        <f>'d)Pers.Técnico'!AT65</f>
        <v>0</v>
      </c>
      <c r="AW88" s="3">
        <f>'d)Pers.Técnico'!AU65</f>
        <v>0</v>
      </c>
      <c r="AX88" s="3">
        <f>'d)Pers.Técnico'!AV65</f>
        <v>0</v>
      </c>
      <c r="AY88" s="3">
        <f>'d)Pers.Técnico'!AW65</f>
        <v>0</v>
      </c>
      <c r="AZ88" s="3">
        <f>'d)Pers.Técnico'!AX65</f>
        <v>0</v>
      </c>
      <c r="BA88" s="1">
        <f>'d)Pers.Técnico'!AY65</f>
        <v>0</v>
      </c>
      <c r="BB88" s="60">
        <f>'d)Pers.Técnico'!AZ65</f>
        <v>0</v>
      </c>
      <c r="BC88" s="61">
        <f>'d)Pers.Técnico'!BA65</f>
        <v>0</v>
      </c>
      <c r="BD88" s="3">
        <f>'d)Pers.Técnico'!BB65</f>
        <v>0</v>
      </c>
      <c r="BE88" s="3">
        <f>'d)Pers.Técnico'!BC65</f>
        <v>0</v>
      </c>
      <c r="BF88" s="3">
        <f>'d)Pers.Técnico'!BD65</f>
        <v>0</v>
      </c>
      <c r="BG88" s="3">
        <f>'d)Pers.Técnico'!BE65</f>
        <v>0</v>
      </c>
      <c r="BH88" s="3">
        <f>'d)Pers.Técnico'!BF65</f>
        <v>0</v>
      </c>
      <c r="BI88" s="3">
        <f>'d)Pers.Técnico'!BG65</f>
        <v>0</v>
      </c>
      <c r="BJ88" s="3">
        <f>'d)Pers.Técnico'!BH65</f>
        <v>0</v>
      </c>
      <c r="BK88" s="3">
        <f>'d)Pers.Técnico'!BI65</f>
        <v>0</v>
      </c>
      <c r="BL88" s="3">
        <f>'d)Pers.Técnico'!BJ65</f>
        <v>0</v>
      </c>
      <c r="BM88" s="3">
        <f>'d)Pers.Técnico'!BK65</f>
        <v>0</v>
      </c>
      <c r="BN88" s="14">
        <f>'d)Pers.Técnico'!BL65</f>
        <v>0</v>
      </c>
    </row>
    <row r="89" spans="1:66">
      <c r="A89" s="67"/>
      <c r="B89" s="46" t="str">
        <f>+'d)Pers.Técnico'!B65</f>
        <v/>
      </c>
      <c r="C89" s="197" t="str">
        <f>'d)Pers.Técnico'!C65</f>
        <v/>
      </c>
      <c r="D89" s="52">
        <f>SUM(G88:BN88)</f>
        <v>0</v>
      </c>
      <c r="E89" s="7">
        <f>IF('a)Plantilla'!C33&gt;0,'a)Plantilla'!D33/30,0)</f>
        <v>0</v>
      </c>
      <c r="F89" s="7">
        <f>SUM(G89:BN89)</f>
        <v>0</v>
      </c>
      <c r="G89" s="2">
        <f>IF(TipoProgramaPersonalTecnico=1,$E89*'a)Plantilla'!$C33*Programa!D$13,IF(TipoProgramaPersonalTecnico=2,$E89*G88,$E89/Hjor*G88))</f>
        <v>0</v>
      </c>
      <c r="H89" s="2">
        <f>IF(TipoProgramaPersonalTecnico=1,$E89*'a)Plantilla'!$C33*Programa!D$14,IF(TipoProgramaPersonalTecnico=2,$E89*H88,$E89/Hjor*H88))</f>
        <v>0</v>
      </c>
      <c r="I89" s="2">
        <f>IF(TipoProgramaPersonalTecnico=1,$E89*'a)Plantilla'!$C33*Programa!D$15,IF(TipoProgramaPersonalTecnico=2,$E89*I88,$E89/Hjor*I88))</f>
        <v>0</v>
      </c>
      <c r="J89" s="2">
        <f>IF(TipoProgramaPersonalTecnico=1,$E89*'a)Plantilla'!$C33*Programa!D$16,IF(TipoProgramaPersonalTecnico=2,$E89*J88,$E89/Hjor*J88))</f>
        <v>0</v>
      </c>
      <c r="K89" s="2">
        <f>IF(TipoProgramaPersonalTecnico=1,$E89*'a)Plantilla'!$C33*Programa!D$17,IF(TipoProgramaPersonalTecnico=2,$E89*K88,$E89/Hjor*K88))</f>
        <v>0</v>
      </c>
      <c r="L89" s="2">
        <f>IF(TipoProgramaPersonalTecnico=1,$E89*'a)Plantilla'!$C33*Programa!D$18,IF(TipoProgramaPersonalTecnico=2,$E89*L88,$E89/Hjor*L88))</f>
        <v>0</v>
      </c>
      <c r="M89" s="2">
        <f>IF(TipoProgramaPersonalTecnico=1,$E89*'a)Plantilla'!$C33*Programa!D$19,IF(TipoProgramaPersonalTecnico=2,$E89*M88,$E89/Hjor*M88))</f>
        <v>0</v>
      </c>
      <c r="N89" s="2">
        <f>IF(TipoProgramaPersonalTecnico=1,$E89*'a)Plantilla'!$C33*Programa!D$20,IF(TipoProgramaPersonalTecnico=2,$E89*N88,$E89/Hjor*N88))</f>
        <v>0</v>
      </c>
      <c r="O89" s="2">
        <f>IF(TipoProgramaPersonalTecnico=1,$E89*'a)Plantilla'!$C33*Programa!D$21,IF(TipoProgramaPersonalTecnico=2,$E89*O88,$E89/Hjor*O88))</f>
        <v>0</v>
      </c>
      <c r="P89" s="2">
        <f>IF(TipoProgramaPersonalTecnico=1,$E89*'a)Plantilla'!$C33*Programa!D$22,IF(TipoProgramaPersonalTecnico=2,$E89*P88,$E89/Hjor*P88))</f>
        <v>0</v>
      </c>
      <c r="Q89" s="2">
        <f>IF(TipoProgramaPersonalTecnico=1,$E89*'a)Plantilla'!$C33*Programa!D$23,IF(TipoProgramaPersonalTecnico=2,$E89*Q88,$E89/Hjor*Q88))</f>
        <v>0</v>
      </c>
      <c r="R89" s="12">
        <f>IF(TipoProgramaPersonalTecnico=1,$E89*'a)Plantilla'!$C33*Programa!D$24,IF(TipoProgramaPersonalTecnico=2,$E89*R88,$E89/Hjor*R88))</f>
        <v>0</v>
      </c>
      <c r="S89" s="7">
        <f>IF(TipoProgramaPersonalTecnico=1,$E89*'a)Plantilla'!$C33*Programa!D$25,IF(TipoProgramaPersonalTecnico=2,$E89*S88,$E89/Hjor*S88))</f>
        <v>0</v>
      </c>
      <c r="T89" s="2">
        <f>IF(TipoProgramaPersonalTecnico=1,$E89*'a)Plantilla'!$C33*Programa!D$26,IF(TipoProgramaPersonalTecnico=2,$E89*T88,$E89/Hjor*T88))</f>
        <v>0</v>
      </c>
      <c r="U89" s="2">
        <f>IF(TipoProgramaPersonalTecnico=1,$E89*'a)Plantilla'!$C33*Programa!D$27,IF(TipoProgramaPersonalTecnico=2,$E89*U88,$E89/Hjor*U88))</f>
        <v>0</v>
      </c>
      <c r="V89" s="2">
        <f>IF(TipoProgramaPersonalTecnico=1,$E89*'a)Plantilla'!$C33*Programa!D$28,IF(TipoProgramaPersonalTecnico=2,$E89*V88,$E89/Hjor*V88))</f>
        <v>0</v>
      </c>
      <c r="W89" s="2">
        <f>IF(TipoProgramaPersonalTecnico=1,$E89*'a)Plantilla'!$C33*Programa!D$29,IF(TipoProgramaPersonalTecnico=2,$E89*W88,$E89/Hjor*W88))</f>
        <v>0</v>
      </c>
      <c r="X89" s="2">
        <f>IF(TipoProgramaPersonalTecnico=1,$E89*'a)Plantilla'!$C33*Programa!D$30,IF(TipoProgramaPersonalTecnico=2,$E89*X88,$E89/Hjor*X88))</f>
        <v>0</v>
      </c>
      <c r="Y89" s="2">
        <f>IF(TipoProgramaPersonalTecnico=1,$E89*'a)Plantilla'!$C33*Programa!D$31,IF(TipoProgramaPersonalTecnico=2,$E89*Y88,$E89/Hjor*Y88))</f>
        <v>0</v>
      </c>
      <c r="Z89" s="2">
        <f>IF(TipoProgramaPersonalTecnico=1,$E89*'a)Plantilla'!$C33*Programa!D$32,IF(TipoProgramaPersonalTecnico=2,$E89*Z88,$E89/Hjor*Z88))</f>
        <v>0</v>
      </c>
      <c r="AA89" s="2">
        <f>IF(TipoProgramaPersonalTecnico=1,$E89*'a)Plantilla'!$C33*Programa!D$33,IF(TipoProgramaPersonalTecnico=2,$E89*AA88,$E89/Hjor*AA88))</f>
        <v>0</v>
      </c>
      <c r="AB89" s="2">
        <f>IF(TipoProgramaPersonalTecnico=1,$E89*'a)Plantilla'!$C33*Programa!D$34,IF(TipoProgramaPersonalTecnico=2,$E89*AB88,$E89/Hjor*AB88))</f>
        <v>0</v>
      </c>
      <c r="AC89" s="2">
        <f>IF(TipoProgramaPersonalTecnico=1,$E89*'a)Plantilla'!$C33*Programa!D$35,IF(TipoProgramaPersonalTecnico=2,$E89*AC88,$E89/Hjor*AC88))</f>
        <v>0</v>
      </c>
      <c r="AD89" s="12">
        <f>IF(TipoProgramaPersonalTecnico=1,$E89*'a)Plantilla'!$C33*Programa!D$36,IF(TipoProgramaPersonalTecnico=2,$E89*AD88,$E89/Hjor*AD88))</f>
        <v>0</v>
      </c>
      <c r="AE89" s="7">
        <f>IF(TipoProgramaPersonalTecnico=1,$E89*'a)Plantilla'!$C33*Programa!D$37,IF(TipoProgramaPersonalTecnico=2,$E89*AE88,$E89/Hjor*AE88))</f>
        <v>0</v>
      </c>
      <c r="AF89" s="2">
        <f>IF(TipoProgramaPersonalTecnico=1,$E89*'a)Plantilla'!$C33*Programa!D$38,IF(TipoProgramaPersonalTecnico=2,$E89*AF88,$E89/Hjor*AF88))</f>
        <v>0</v>
      </c>
      <c r="AG89" s="2">
        <f>IF(TipoProgramaPersonalTecnico=1,$E89*'a)Plantilla'!$C33*Programa!D$39,IF(TipoProgramaPersonalTecnico=2,$E89*AG88,$E89/Hjor*AG88))</f>
        <v>0</v>
      </c>
      <c r="AH89" s="2">
        <f>IF(TipoProgramaPersonalTecnico=1,$E89*'a)Plantilla'!$C33*Programa!D$40,IF(TipoProgramaPersonalTecnico=2,$E89*AH88,$E89/Hjor*AH88))</f>
        <v>0</v>
      </c>
      <c r="AI89" s="2">
        <f>IF(TipoProgramaPersonalTecnico=1,$E89*'a)Plantilla'!$C33*Programa!D$41,IF(TipoProgramaPersonalTecnico=2,$E89*AI88,$E89/Hjor*AI88))</f>
        <v>0</v>
      </c>
      <c r="AJ89" s="2">
        <f>IF(TipoProgramaPersonalTecnico=1,$E89*'a)Plantilla'!$C33*Programa!D$42,IF(TipoProgramaPersonalTecnico=2,$E89*AJ88,$E89/Hjor*AJ88))</f>
        <v>0</v>
      </c>
      <c r="AK89" s="2">
        <f>IF(TipoProgramaPersonalTecnico=1,$E89*'a)Plantilla'!$C33*Programa!D$43,IF(TipoProgramaPersonalTecnico=2,$E89*AK88,$E89/Hjor*AK88))</f>
        <v>0</v>
      </c>
      <c r="AL89" s="2">
        <f>IF(TipoProgramaPersonalTecnico=1,$E89*'a)Plantilla'!$C33*Programa!D$44,IF(TipoProgramaPersonalTecnico=2,$E89*AL88,$E89/Hjor*AL88))</f>
        <v>0</v>
      </c>
      <c r="AM89" s="2">
        <f>IF(TipoProgramaPersonalTecnico=1,$E89*'a)Plantilla'!$C33*Programa!D$45,IF(TipoProgramaPersonalTecnico=2,$E89*AM88,$E89/Hjor*AM88))</f>
        <v>0</v>
      </c>
      <c r="AN89" s="2">
        <f>IF(TipoProgramaPersonalTecnico=1,$E89*'a)Plantilla'!$C33*Programa!D$46,IF(TipoProgramaPersonalTecnico=2,$E89*AN88,$E89/Hjor*AN88))</f>
        <v>0</v>
      </c>
      <c r="AO89" s="2">
        <f>IF(TipoProgramaPersonalTecnico=1,$E89*'a)Plantilla'!$C33*Programa!D$47,IF(TipoProgramaPersonalTecnico=2,$E89*AO88,$E89/Hjor*AO88))</f>
        <v>0</v>
      </c>
      <c r="AP89" s="12">
        <f>IF(TipoProgramaPersonalTecnico=1,$E89*'a)Plantilla'!$C33*Programa!D$48,IF(TipoProgramaPersonalTecnico=2,$E89*AP88,$E89/Hjor*AP88))</f>
        <v>0</v>
      </c>
      <c r="AQ89" s="7">
        <f>IF(TipoProgramaPersonalTecnico=1,$E89*'a)Plantilla'!$C33*Programa!D$49,IF(TipoProgramaPersonalTecnico=2,$E89*AQ88,$E89/Hjor*AQ88))</f>
        <v>0</v>
      </c>
      <c r="AR89" s="2">
        <f>IF(TipoProgramaPersonalTecnico=1,$E89*'a)Plantilla'!$C33*Programa!D$50,IF(TipoProgramaPersonalTecnico=2,$E89*AR88,$E89/Hjor*AR88))</f>
        <v>0</v>
      </c>
      <c r="AS89" s="2">
        <f>IF(TipoProgramaPersonalTecnico=1,$E89*'a)Plantilla'!$C33*Programa!D$51,IF(TipoProgramaPersonalTecnico=2,$E89*AS88,$E89/Hjor*AS88))</f>
        <v>0</v>
      </c>
      <c r="AT89" s="2">
        <f>IF(TipoProgramaPersonalTecnico=1,$E89*'a)Plantilla'!$C33*Programa!D$52,IF(TipoProgramaPersonalTecnico=2,$E89*AT88,$E89/Hjor*AT88))</f>
        <v>0</v>
      </c>
      <c r="AU89" s="2">
        <f>IF(TipoProgramaPersonalTecnico=1,$E89*'a)Plantilla'!$C33*Programa!D$53,IF(TipoProgramaPersonalTecnico=2,$E89*AU88,$E89/Hjor*AU88))</f>
        <v>0</v>
      </c>
      <c r="AV89" s="2">
        <f>IF(TipoProgramaPersonalTecnico=1,$E89*'a)Plantilla'!$C33*Programa!D$54,IF(TipoProgramaPersonalTecnico=2,$E89*AV88,$E89/Hjor*AV88))</f>
        <v>0</v>
      </c>
      <c r="AW89" s="2">
        <f>IF(TipoProgramaPersonalTecnico=1,$E89*'a)Plantilla'!$C33*Programa!D$55,IF(TipoProgramaPersonalTecnico=2,$E89*AW88,$E89/Hjor*AW88))</f>
        <v>0</v>
      </c>
      <c r="AX89" s="2">
        <f>IF(TipoProgramaPersonalTecnico=1,$E89*'a)Plantilla'!$C33*Programa!D$56,IF(TipoProgramaPersonalTecnico=2,$E89*AX88,$E89/Hjor*AX88))</f>
        <v>0</v>
      </c>
      <c r="AY89" s="2">
        <f>IF(TipoProgramaPersonalTecnico=1,$E89*'a)Plantilla'!$C33*Programa!D$57,IF(TipoProgramaPersonalTecnico=2,$E89*AY88,$E89/Hjor*AY88))</f>
        <v>0</v>
      </c>
      <c r="AZ89" s="2">
        <f>IF(TipoProgramaPersonalTecnico=1,$E89*'a)Plantilla'!$C33*Programa!D$58,IF(TipoProgramaPersonalTecnico=2,$E89*AZ88,$E89/Hjor*AZ88))</f>
        <v>0</v>
      </c>
      <c r="BA89" s="55">
        <f>IF(TipoProgramaPersonalTecnico=1,$E89*'a)Plantilla'!$C33*Programa!D$59,IF(TipoProgramaPersonalTecnico=2,$E89*BA88,$E89/Hjor*BA88))</f>
        <v>0</v>
      </c>
      <c r="BB89" s="56">
        <f>IF(TipoProgramaPersonalTecnico=1,$E89*'a)Plantilla'!$C33*Programa!D$60,IF(TipoProgramaPersonalTecnico=2,$E89*BB88,$E89/Hjor*BB88))</f>
        <v>0</v>
      </c>
      <c r="BC89" s="53">
        <f>IF(TipoProgramaPersonalTecnico=1,$E89*'a)Plantilla'!$C33*Programa!D$61,IF(TipoProgramaPersonalTecnico=2,$E89*BC88,$E89/Hjor*BC88))</f>
        <v>0</v>
      </c>
      <c r="BD89" s="2">
        <f>IF(TipoProgramaPersonalTecnico=1,$E89*'a)Plantilla'!$C33*Programa!D$62,IF(TipoProgramaPersonalTecnico=2,$E89*BD88,$E89/Hjor*BD88))</f>
        <v>0</v>
      </c>
      <c r="BE89" s="2">
        <f>IF(TipoProgramaPersonalTecnico=1,$E89*'a)Plantilla'!$C33*Programa!D$63,IF(TipoProgramaPersonalTecnico=2,$E89*BE88,$E89/Hjor*BE88))</f>
        <v>0</v>
      </c>
      <c r="BF89" s="2">
        <f>IF(TipoProgramaPersonalTecnico=1,$E89*'a)Plantilla'!$C33*Programa!D$64,IF(TipoProgramaPersonalTecnico=2,$E89*BF88,$E89/Hjor*BF88))</f>
        <v>0</v>
      </c>
      <c r="BG89" s="2">
        <f>IF(TipoProgramaPersonalTecnico=1,$E89*'a)Plantilla'!$C33*Programa!D$65,IF(TipoProgramaPersonalTecnico=2,$E89*BG88,$E89/Hjor*BG88))</f>
        <v>0</v>
      </c>
      <c r="BH89" s="2">
        <f>IF(TipoProgramaPersonalTecnico=1,$E89*'a)Plantilla'!$C33*Programa!D$66,IF(TipoProgramaPersonalTecnico=2,$E89*BH88,$E89/Hjor*BH88))</f>
        <v>0</v>
      </c>
      <c r="BI89" s="2">
        <f>IF(TipoProgramaPersonalTecnico=1,$E89*'a)Plantilla'!$C33*Programa!D$67,IF(TipoProgramaPersonalTecnico=2,$E89*BI88,$E89/Hjor*BI88))</f>
        <v>0</v>
      </c>
      <c r="BJ89" s="2">
        <f>IF(TipoProgramaPersonalTecnico=1,$E89*'a)Plantilla'!$C33*Programa!D$68,IF(TipoProgramaPersonalTecnico=2,$E89*BJ88,$E89/Hjor*BJ88))</f>
        <v>0</v>
      </c>
      <c r="BK89" s="2">
        <f>IF(TipoProgramaPersonalTecnico=1,$E89*'a)Plantilla'!$C33*Programa!D$69,IF(TipoProgramaPersonalTecnico=2,$E89*BK88,$E89/Hjor*BK88))</f>
        <v>0</v>
      </c>
      <c r="BL89" s="2">
        <f>IF(TipoProgramaPersonalTecnico=1,$E89*'a)Plantilla'!$C33*Programa!D$70,IF(TipoProgramaPersonalTecnico=2,$E89*BL88,$E89/Hjor*BL88))</f>
        <v>0</v>
      </c>
      <c r="BM89" s="2">
        <f>IF(TipoProgramaPersonalTecnico=1,$E89*'a)Plantilla'!$C33*Programa!D$71,IF(TipoProgramaPersonalTecnico=2,$E89*BM88,$E89/Hjor*BM88))</f>
        <v>0</v>
      </c>
      <c r="BN89" s="12">
        <f>IF(TipoProgramaPersonalTecnico=1,$E89*'a)Plantilla'!$C33*Programa!D$72,IF(TipoProgramaPersonalTecnico=2,$E89*BN88,$E89/Hjor*BN88))</f>
        <v>0</v>
      </c>
    </row>
    <row r="90" spans="1:66" ht="7.5" customHeight="1">
      <c r="A90" s="67"/>
      <c r="B90" s="19"/>
      <c r="C90" s="127"/>
      <c r="D90" s="54"/>
      <c r="E90" s="19"/>
      <c r="F90" s="19"/>
      <c r="G90" s="1" t="s">
        <v>168</v>
      </c>
      <c r="H90" s="1" t="s">
        <v>168</v>
      </c>
      <c r="I90" s="1" t="s">
        <v>168</v>
      </c>
      <c r="J90" s="1" t="s">
        <v>168</v>
      </c>
      <c r="K90" s="1" t="s">
        <v>168</v>
      </c>
      <c r="L90" s="1" t="s">
        <v>168</v>
      </c>
      <c r="M90" s="1" t="s">
        <v>168</v>
      </c>
      <c r="N90" s="1" t="s">
        <v>168</v>
      </c>
      <c r="O90" s="1" t="s">
        <v>168</v>
      </c>
      <c r="P90" s="1" t="s">
        <v>168</v>
      </c>
      <c r="Q90" s="1" t="s">
        <v>168</v>
      </c>
      <c r="R90" s="8" t="s">
        <v>168</v>
      </c>
      <c r="S90" s="13" t="s">
        <v>168</v>
      </c>
      <c r="T90" s="1" t="s">
        <v>168</v>
      </c>
      <c r="U90" s="1" t="s">
        <v>168</v>
      </c>
      <c r="V90" s="1" t="s">
        <v>168</v>
      </c>
      <c r="W90" s="1" t="s">
        <v>168</v>
      </c>
      <c r="X90" s="1" t="s">
        <v>168</v>
      </c>
      <c r="Y90" s="1" t="s">
        <v>168</v>
      </c>
      <c r="Z90" s="1" t="s">
        <v>168</v>
      </c>
      <c r="AA90" s="1" t="s">
        <v>168</v>
      </c>
      <c r="AB90" s="1" t="s">
        <v>168</v>
      </c>
      <c r="AC90" s="1" t="s">
        <v>168</v>
      </c>
      <c r="AD90" s="8" t="s">
        <v>168</v>
      </c>
      <c r="AE90" s="13" t="s">
        <v>168</v>
      </c>
      <c r="AF90" s="1" t="s">
        <v>168</v>
      </c>
      <c r="AG90" s="1" t="s">
        <v>168</v>
      </c>
      <c r="AH90" s="1" t="s">
        <v>168</v>
      </c>
      <c r="AI90" s="1" t="s">
        <v>168</v>
      </c>
      <c r="AJ90" s="1" t="s">
        <v>168</v>
      </c>
      <c r="AK90" s="1" t="s">
        <v>168</v>
      </c>
      <c r="AL90" s="1" t="s">
        <v>168</v>
      </c>
      <c r="AM90" s="1" t="s">
        <v>168</v>
      </c>
      <c r="AN90" s="1" t="s">
        <v>168</v>
      </c>
      <c r="AO90" s="1" t="s">
        <v>168</v>
      </c>
      <c r="AP90" s="8" t="s">
        <v>168</v>
      </c>
      <c r="AQ90" s="13" t="s">
        <v>168</v>
      </c>
      <c r="AR90" s="1" t="s">
        <v>168</v>
      </c>
      <c r="AS90" s="1" t="s">
        <v>168</v>
      </c>
      <c r="AT90" s="1" t="s">
        <v>168</v>
      </c>
      <c r="AU90" s="1" t="s">
        <v>168</v>
      </c>
      <c r="AV90" s="1" t="s">
        <v>168</v>
      </c>
      <c r="AW90" s="1" t="s">
        <v>168</v>
      </c>
      <c r="AX90" s="1" t="s">
        <v>168</v>
      </c>
      <c r="AY90" s="1" t="s">
        <v>168</v>
      </c>
      <c r="AZ90" s="1" t="s">
        <v>168</v>
      </c>
      <c r="BA90" s="1" t="s">
        <v>168</v>
      </c>
      <c r="BB90" s="8" t="s">
        <v>168</v>
      </c>
      <c r="BC90" s="13" t="s">
        <v>168</v>
      </c>
      <c r="BD90" s="1" t="s">
        <v>168</v>
      </c>
      <c r="BE90" s="1" t="s">
        <v>168</v>
      </c>
      <c r="BF90" s="1" t="s">
        <v>168</v>
      </c>
      <c r="BG90" s="1" t="s">
        <v>168</v>
      </c>
      <c r="BH90" s="1" t="s">
        <v>168</v>
      </c>
      <c r="BI90" s="1" t="s">
        <v>168</v>
      </c>
      <c r="BJ90" s="1" t="s">
        <v>168</v>
      </c>
      <c r="BK90" s="1" t="s">
        <v>168</v>
      </c>
      <c r="BL90" s="1" t="s">
        <v>168</v>
      </c>
      <c r="BM90" s="1" t="s">
        <v>168</v>
      </c>
      <c r="BN90" s="8" t="s">
        <v>168</v>
      </c>
    </row>
    <row r="91" spans="1:66">
      <c r="A91" s="67"/>
      <c r="B91" s="46"/>
      <c r="C91" s="127"/>
      <c r="D91" s="52"/>
      <c r="E91" s="59"/>
      <c r="F91" s="59"/>
      <c r="G91" s="3">
        <f>'d)Pers.Técnico'!E67</f>
        <v>6.4</v>
      </c>
      <c r="H91" s="3">
        <f>'d)Pers.Técnico'!F67</f>
        <v>12</v>
      </c>
      <c r="I91" s="3">
        <f>'d)Pers.Técnico'!G67</f>
        <v>11.6</v>
      </c>
      <c r="J91" s="3">
        <f>'d)Pers.Técnico'!H67</f>
        <v>0</v>
      </c>
      <c r="K91" s="3">
        <f>'d)Pers.Técnico'!I67</f>
        <v>0</v>
      </c>
      <c r="L91" s="3">
        <f>'d)Pers.Técnico'!J67</f>
        <v>0</v>
      </c>
      <c r="M91" s="3">
        <f>'d)Pers.Técnico'!K67</f>
        <v>0</v>
      </c>
      <c r="N91" s="3">
        <f>'d)Pers.Técnico'!L67</f>
        <v>0</v>
      </c>
      <c r="O91" s="3">
        <f>'d)Pers.Técnico'!M67</f>
        <v>0</v>
      </c>
      <c r="P91" s="3">
        <f>'d)Pers.Técnico'!N67</f>
        <v>0</v>
      </c>
      <c r="Q91" s="3">
        <f>'d)Pers.Técnico'!O67</f>
        <v>0</v>
      </c>
      <c r="R91" s="14">
        <f>'d)Pers.Técnico'!P67</f>
        <v>0</v>
      </c>
      <c r="S91" s="20">
        <f>'d)Pers.Técnico'!Q67</f>
        <v>0</v>
      </c>
      <c r="T91" s="3">
        <f>'d)Pers.Técnico'!R67</f>
        <v>0</v>
      </c>
      <c r="U91" s="3">
        <f>'d)Pers.Técnico'!S67</f>
        <v>0</v>
      </c>
      <c r="V91" s="3">
        <f>'d)Pers.Técnico'!T67</f>
        <v>0</v>
      </c>
      <c r="W91" s="3">
        <f>'d)Pers.Técnico'!U67</f>
        <v>0</v>
      </c>
      <c r="X91" s="3">
        <f>'d)Pers.Técnico'!V67</f>
        <v>0</v>
      </c>
      <c r="Y91" s="3">
        <f>'d)Pers.Técnico'!W67</f>
        <v>0</v>
      </c>
      <c r="Z91" s="3">
        <f>'d)Pers.Técnico'!X67</f>
        <v>0</v>
      </c>
      <c r="AA91" s="3">
        <f>'d)Pers.Técnico'!Y67</f>
        <v>0</v>
      </c>
      <c r="AB91" s="3">
        <f>'d)Pers.Técnico'!Z67</f>
        <v>0</v>
      </c>
      <c r="AC91" s="3">
        <f>'d)Pers.Técnico'!AA67</f>
        <v>0</v>
      </c>
      <c r="AD91" s="14">
        <f>'d)Pers.Técnico'!AB67</f>
        <v>0</v>
      </c>
      <c r="AE91" s="20">
        <f>'d)Pers.Técnico'!AC67</f>
        <v>0</v>
      </c>
      <c r="AF91" s="3">
        <f>'d)Pers.Técnico'!AD67</f>
        <v>0</v>
      </c>
      <c r="AG91" s="3">
        <f>'d)Pers.Técnico'!AE67</f>
        <v>0</v>
      </c>
      <c r="AH91" s="3">
        <f>'d)Pers.Técnico'!AF67</f>
        <v>0</v>
      </c>
      <c r="AI91" s="3">
        <f>'d)Pers.Técnico'!AG67</f>
        <v>0</v>
      </c>
      <c r="AJ91" s="3">
        <f>'d)Pers.Técnico'!AH67</f>
        <v>0</v>
      </c>
      <c r="AK91" s="3">
        <f>'d)Pers.Técnico'!AI67</f>
        <v>0</v>
      </c>
      <c r="AL91" s="3">
        <f>'d)Pers.Técnico'!AJ67</f>
        <v>0</v>
      </c>
      <c r="AM91" s="3">
        <f>'d)Pers.Técnico'!AK67</f>
        <v>0</v>
      </c>
      <c r="AN91" s="3">
        <f>'d)Pers.Técnico'!AL67</f>
        <v>0</v>
      </c>
      <c r="AO91" s="3">
        <f>'d)Pers.Técnico'!AM67</f>
        <v>0</v>
      </c>
      <c r="AP91" s="14">
        <f>'d)Pers.Técnico'!AN67</f>
        <v>0</v>
      </c>
      <c r="AQ91" s="20">
        <f>'d)Pers.Técnico'!AO67</f>
        <v>0</v>
      </c>
      <c r="AR91" s="3">
        <f>'d)Pers.Técnico'!AP67</f>
        <v>0</v>
      </c>
      <c r="AS91" s="3">
        <f>'d)Pers.Técnico'!AQ67</f>
        <v>0</v>
      </c>
      <c r="AT91" s="3">
        <f>'d)Pers.Técnico'!AR67</f>
        <v>0</v>
      </c>
      <c r="AU91" s="3">
        <f>'d)Pers.Técnico'!AS67</f>
        <v>0</v>
      </c>
      <c r="AV91" s="3">
        <f>'d)Pers.Técnico'!AT67</f>
        <v>0</v>
      </c>
      <c r="AW91" s="3">
        <f>'d)Pers.Técnico'!AU67</f>
        <v>0</v>
      </c>
      <c r="AX91" s="3">
        <f>'d)Pers.Técnico'!AV67</f>
        <v>0</v>
      </c>
      <c r="AY91" s="3">
        <f>'d)Pers.Técnico'!AW67</f>
        <v>0</v>
      </c>
      <c r="AZ91" s="3">
        <f>'d)Pers.Técnico'!AX67</f>
        <v>0</v>
      </c>
      <c r="BA91" s="1">
        <f>'d)Pers.Técnico'!AY67</f>
        <v>0</v>
      </c>
      <c r="BB91" s="60">
        <f>'d)Pers.Técnico'!AZ67</f>
        <v>0</v>
      </c>
      <c r="BC91" s="61">
        <f>'d)Pers.Técnico'!BA67</f>
        <v>0</v>
      </c>
      <c r="BD91" s="3">
        <f>'d)Pers.Técnico'!BB67</f>
        <v>0</v>
      </c>
      <c r="BE91" s="3">
        <f>'d)Pers.Técnico'!BC67</f>
        <v>0</v>
      </c>
      <c r="BF91" s="3">
        <f>'d)Pers.Técnico'!BD67</f>
        <v>0</v>
      </c>
      <c r="BG91" s="3">
        <f>'d)Pers.Técnico'!BE67</f>
        <v>0</v>
      </c>
      <c r="BH91" s="3">
        <f>'d)Pers.Técnico'!BF67</f>
        <v>0</v>
      </c>
      <c r="BI91" s="3">
        <f>'d)Pers.Técnico'!BG67</f>
        <v>0</v>
      </c>
      <c r="BJ91" s="3">
        <f>'d)Pers.Técnico'!BH67</f>
        <v>0</v>
      </c>
      <c r="BK91" s="3">
        <f>'d)Pers.Técnico'!BI67</f>
        <v>0</v>
      </c>
      <c r="BL91" s="3">
        <f>'d)Pers.Técnico'!BJ67</f>
        <v>0</v>
      </c>
      <c r="BM91" s="3">
        <f>'d)Pers.Técnico'!BK67</f>
        <v>0</v>
      </c>
      <c r="BN91" s="14">
        <f>'d)Pers.Técnico'!BL67</f>
        <v>0</v>
      </c>
    </row>
    <row r="92" spans="1:66">
      <c r="A92" s="67"/>
      <c r="B92" s="46" t="str">
        <f>+'d)Pers.Técnico'!B67</f>
        <v>GERENTE DE CONSTRUCCION</v>
      </c>
      <c r="C92" s="197" t="str">
        <f>'d)Pers.Técnico'!C67</f>
        <v>horas-Hombre</v>
      </c>
      <c r="D92" s="52">
        <f>SUM(G91:BN91)</f>
        <v>30</v>
      </c>
      <c r="E92" s="7">
        <f>IF('a)Plantilla'!C34&gt;0,'a)Plantilla'!D34/30,0)</f>
        <v>1000</v>
      </c>
      <c r="F92" s="7">
        <f>SUM(G92:BN92)</f>
        <v>3750</v>
      </c>
      <c r="G92" s="2">
        <f>IF(TipoProgramaPersonalTecnico=1,$E92*'a)Plantilla'!$C34*Programa!D$13,IF(TipoProgramaPersonalTecnico=2,$E92*G91,$E92/Hjor*G91))</f>
        <v>800</v>
      </c>
      <c r="H92" s="2">
        <f>IF(TipoProgramaPersonalTecnico=1,$E92*'a)Plantilla'!$C34*Programa!D$14,IF(TipoProgramaPersonalTecnico=2,$E92*H91,$E92/Hjor*H91))</f>
        <v>1500</v>
      </c>
      <c r="I92" s="2">
        <f>IF(TipoProgramaPersonalTecnico=1,$E92*'a)Plantilla'!$C34*Programa!D$15,IF(TipoProgramaPersonalTecnico=2,$E92*I91,$E92/Hjor*I91))</f>
        <v>1450</v>
      </c>
      <c r="J92" s="2">
        <f>IF(TipoProgramaPersonalTecnico=1,$E92*'a)Plantilla'!$C34*Programa!D$16,IF(TipoProgramaPersonalTecnico=2,$E92*J91,$E92/Hjor*J91))</f>
        <v>0</v>
      </c>
      <c r="K92" s="2">
        <f>IF(TipoProgramaPersonalTecnico=1,$E92*'a)Plantilla'!$C34*Programa!D$17,IF(TipoProgramaPersonalTecnico=2,$E92*K91,$E92/Hjor*K91))</f>
        <v>0</v>
      </c>
      <c r="L92" s="2">
        <f>IF(TipoProgramaPersonalTecnico=1,$E92*'a)Plantilla'!$C34*Programa!D$18,IF(TipoProgramaPersonalTecnico=2,$E92*L91,$E92/Hjor*L91))</f>
        <v>0</v>
      </c>
      <c r="M92" s="2">
        <f>IF(TipoProgramaPersonalTecnico=1,$E92*'a)Plantilla'!$C34*Programa!D$19,IF(TipoProgramaPersonalTecnico=2,$E92*M91,$E92/Hjor*M91))</f>
        <v>0</v>
      </c>
      <c r="N92" s="2">
        <f>IF(TipoProgramaPersonalTecnico=1,$E92*'a)Plantilla'!$C34*Programa!D$20,IF(TipoProgramaPersonalTecnico=2,$E92*N91,$E92/Hjor*N91))</f>
        <v>0</v>
      </c>
      <c r="O92" s="2">
        <f>IF(TipoProgramaPersonalTecnico=1,$E92*'a)Plantilla'!$C34*Programa!D$21,IF(TipoProgramaPersonalTecnico=2,$E92*O91,$E92/Hjor*O91))</f>
        <v>0</v>
      </c>
      <c r="P92" s="2">
        <f>IF(TipoProgramaPersonalTecnico=1,$E92*'a)Plantilla'!$C34*Programa!D$22,IF(TipoProgramaPersonalTecnico=2,$E92*P91,$E92/Hjor*P91))</f>
        <v>0</v>
      </c>
      <c r="Q92" s="2">
        <f>IF(TipoProgramaPersonalTecnico=1,$E92*'a)Plantilla'!$C34*Programa!D$23,IF(TipoProgramaPersonalTecnico=2,$E92*Q91,$E92/Hjor*Q91))</f>
        <v>0</v>
      </c>
      <c r="R92" s="12">
        <f>IF(TipoProgramaPersonalTecnico=1,$E92*'a)Plantilla'!$C34*Programa!D$24,IF(TipoProgramaPersonalTecnico=2,$E92*R91,$E92/Hjor*R91))</f>
        <v>0</v>
      </c>
      <c r="S92" s="7">
        <f>IF(TipoProgramaPersonalTecnico=1,$E92*'a)Plantilla'!$C34*Programa!D$25,IF(TipoProgramaPersonalTecnico=2,$E92*S91,$E92/Hjor*S91))</f>
        <v>0</v>
      </c>
      <c r="T92" s="2">
        <f>IF(TipoProgramaPersonalTecnico=1,$E92*'a)Plantilla'!$C34*Programa!D$26,IF(TipoProgramaPersonalTecnico=2,$E92*T91,$E92/Hjor*T91))</f>
        <v>0</v>
      </c>
      <c r="U92" s="2">
        <f>IF(TipoProgramaPersonalTecnico=1,$E92*'a)Plantilla'!$C34*Programa!D$27,IF(TipoProgramaPersonalTecnico=2,$E92*U91,$E92/Hjor*U91))</f>
        <v>0</v>
      </c>
      <c r="V92" s="2">
        <f>IF(TipoProgramaPersonalTecnico=1,$E92*'a)Plantilla'!$C34*Programa!D$28,IF(TipoProgramaPersonalTecnico=2,$E92*V91,$E92/Hjor*V91))</f>
        <v>0</v>
      </c>
      <c r="W92" s="2">
        <f>IF(TipoProgramaPersonalTecnico=1,$E92*'a)Plantilla'!$C34*Programa!D$29,IF(TipoProgramaPersonalTecnico=2,$E92*W91,$E92/Hjor*W91))</f>
        <v>0</v>
      </c>
      <c r="X92" s="2">
        <f>IF(TipoProgramaPersonalTecnico=1,$E92*'a)Plantilla'!$C34*Programa!D$30,IF(TipoProgramaPersonalTecnico=2,$E92*X91,$E92/Hjor*X91))</f>
        <v>0</v>
      </c>
      <c r="Y92" s="2">
        <f>IF(TipoProgramaPersonalTecnico=1,$E92*'a)Plantilla'!$C34*Programa!D$31,IF(TipoProgramaPersonalTecnico=2,$E92*Y91,$E92/Hjor*Y91))</f>
        <v>0</v>
      </c>
      <c r="Z92" s="2">
        <f>IF(TipoProgramaPersonalTecnico=1,$E92*'a)Plantilla'!$C34*Programa!D$32,IF(TipoProgramaPersonalTecnico=2,$E92*Z91,$E92/Hjor*Z91))</f>
        <v>0</v>
      </c>
      <c r="AA92" s="2">
        <f>IF(TipoProgramaPersonalTecnico=1,$E92*'a)Plantilla'!$C34*Programa!D$33,IF(TipoProgramaPersonalTecnico=2,$E92*AA91,$E92/Hjor*AA91))</f>
        <v>0</v>
      </c>
      <c r="AB92" s="2">
        <f>IF(TipoProgramaPersonalTecnico=1,$E92*'a)Plantilla'!$C34*Programa!D$34,IF(TipoProgramaPersonalTecnico=2,$E92*AB91,$E92/Hjor*AB91))</f>
        <v>0</v>
      </c>
      <c r="AC92" s="2">
        <f>IF(TipoProgramaPersonalTecnico=1,$E92*'a)Plantilla'!$C34*Programa!D$35,IF(TipoProgramaPersonalTecnico=2,$E92*AC91,$E92/Hjor*AC91))</f>
        <v>0</v>
      </c>
      <c r="AD92" s="12">
        <f>IF(TipoProgramaPersonalTecnico=1,$E92*'a)Plantilla'!$C34*Programa!D$36,IF(TipoProgramaPersonalTecnico=2,$E92*AD91,$E92/Hjor*AD91))</f>
        <v>0</v>
      </c>
      <c r="AE92" s="7">
        <f>IF(TipoProgramaPersonalTecnico=1,$E92*'a)Plantilla'!$C34*Programa!D$37,IF(TipoProgramaPersonalTecnico=2,$E92*AE91,$E92/Hjor*AE91))</f>
        <v>0</v>
      </c>
      <c r="AF92" s="2">
        <f>IF(TipoProgramaPersonalTecnico=1,$E92*'a)Plantilla'!$C34*Programa!D$38,IF(TipoProgramaPersonalTecnico=2,$E92*AF91,$E92/Hjor*AF91))</f>
        <v>0</v>
      </c>
      <c r="AG92" s="2">
        <f>IF(TipoProgramaPersonalTecnico=1,$E92*'a)Plantilla'!$C34*Programa!D$39,IF(TipoProgramaPersonalTecnico=2,$E92*AG91,$E92/Hjor*AG91))</f>
        <v>0</v>
      </c>
      <c r="AH92" s="2">
        <f>IF(TipoProgramaPersonalTecnico=1,$E92*'a)Plantilla'!$C34*Programa!D$40,IF(TipoProgramaPersonalTecnico=2,$E92*AH91,$E92/Hjor*AH91))</f>
        <v>0</v>
      </c>
      <c r="AI92" s="2">
        <f>IF(TipoProgramaPersonalTecnico=1,$E92*'a)Plantilla'!$C34*Programa!D$41,IF(TipoProgramaPersonalTecnico=2,$E92*AI91,$E92/Hjor*AI91))</f>
        <v>0</v>
      </c>
      <c r="AJ92" s="2">
        <f>IF(TipoProgramaPersonalTecnico=1,$E92*'a)Plantilla'!$C34*Programa!D$42,IF(TipoProgramaPersonalTecnico=2,$E92*AJ91,$E92/Hjor*AJ91))</f>
        <v>0</v>
      </c>
      <c r="AK92" s="2">
        <f>IF(TipoProgramaPersonalTecnico=1,$E92*'a)Plantilla'!$C34*Programa!D$43,IF(TipoProgramaPersonalTecnico=2,$E92*AK91,$E92/Hjor*AK91))</f>
        <v>0</v>
      </c>
      <c r="AL92" s="2">
        <f>IF(TipoProgramaPersonalTecnico=1,$E92*'a)Plantilla'!$C34*Programa!D$44,IF(TipoProgramaPersonalTecnico=2,$E92*AL91,$E92/Hjor*AL91))</f>
        <v>0</v>
      </c>
      <c r="AM92" s="2">
        <f>IF(TipoProgramaPersonalTecnico=1,$E92*'a)Plantilla'!$C34*Programa!D$45,IF(TipoProgramaPersonalTecnico=2,$E92*AM91,$E92/Hjor*AM91))</f>
        <v>0</v>
      </c>
      <c r="AN92" s="2">
        <f>IF(TipoProgramaPersonalTecnico=1,$E92*'a)Plantilla'!$C34*Programa!D$46,IF(TipoProgramaPersonalTecnico=2,$E92*AN91,$E92/Hjor*AN91))</f>
        <v>0</v>
      </c>
      <c r="AO92" s="2">
        <f>IF(TipoProgramaPersonalTecnico=1,$E92*'a)Plantilla'!$C34*Programa!D$47,IF(TipoProgramaPersonalTecnico=2,$E92*AO91,$E92/Hjor*AO91))</f>
        <v>0</v>
      </c>
      <c r="AP92" s="12">
        <f>IF(TipoProgramaPersonalTecnico=1,$E92*'a)Plantilla'!$C34*Programa!D$48,IF(TipoProgramaPersonalTecnico=2,$E92*AP91,$E92/Hjor*AP91))</f>
        <v>0</v>
      </c>
      <c r="AQ92" s="7">
        <f>IF(TipoProgramaPersonalTecnico=1,$E92*'a)Plantilla'!$C34*Programa!D$49,IF(TipoProgramaPersonalTecnico=2,$E92*AQ91,$E92/Hjor*AQ91))</f>
        <v>0</v>
      </c>
      <c r="AR92" s="2">
        <f>IF(TipoProgramaPersonalTecnico=1,$E92*'a)Plantilla'!$C34*Programa!D$50,IF(TipoProgramaPersonalTecnico=2,$E92*AR91,$E92/Hjor*AR91))</f>
        <v>0</v>
      </c>
      <c r="AS92" s="2">
        <f>IF(TipoProgramaPersonalTecnico=1,$E92*'a)Plantilla'!$C34*Programa!D$51,IF(TipoProgramaPersonalTecnico=2,$E92*AS91,$E92/Hjor*AS91))</f>
        <v>0</v>
      </c>
      <c r="AT92" s="2">
        <f>IF(TipoProgramaPersonalTecnico=1,$E92*'a)Plantilla'!$C34*Programa!D$52,IF(TipoProgramaPersonalTecnico=2,$E92*AT91,$E92/Hjor*AT91))</f>
        <v>0</v>
      </c>
      <c r="AU92" s="2">
        <f>IF(TipoProgramaPersonalTecnico=1,$E92*'a)Plantilla'!$C34*Programa!D$53,IF(TipoProgramaPersonalTecnico=2,$E92*AU91,$E92/Hjor*AU91))</f>
        <v>0</v>
      </c>
      <c r="AV92" s="2">
        <f>IF(TipoProgramaPersonalTecnico=1,$E92*'a)Plantilla'!$C34*Programa!D$54,IF(TipoProgramaPersonalTecnico=2,$E92*AV91,$E92/Hjor*AV91))</f>
        <v>0</v>
      </c>
      <c r="AW92" s="2">
        <f>IF(TipoProgramaPersonalTecnico=1,$E92*'a)Plantilla'!$C34*Programa!D$55,IF(TipoProgramaPersonalTecnico=2,$E92*AW91,$E92/Hjor*AW91))</f>
        <v>0</v>
      </c>
      <c r="AX92" s="2">
        <f>IF(TipoProgramaPersonalTecnico=1,$E92*'a)Plantilla'!$C34*Programa!D$56,IF(TipoProgramaPersonalTecnico=2,$E92*AX91,$E92/Hjor*AX91))</f>
        <v>0</v>
      </c>
      <c r="AY92" s="2">
        <f>IF(TipoProgramaPersonalTecnico=1,$E92*'a)Plantilla'!$C34*Programa!D$57,IF(TipoProgramaPersonalTecnico=2,$E92*AY91,$E92/Hjor*AY91))</f>
        <v>0</v>
      </c>
      <c r="AZ92" s="2">
        <f>IF(TipoProgramaPersonalTecnico=1,$E92*'a)Plantilla'!$C34*Programa!D$58,IF(TipoProgramaPersonalTecnico=2,$E92*AZ91,$E92/Hjor*AZ91))</f>
        <v>0</v>
      </c>
      <c r="BA92" s="55">
        <f>IF(TipoProgramaPersonalTecnico=1,$E92*'a)Plantilla'!$C34*Programa!D$59,IF(TipoProgramaPersonalTecnico=2,$E92*BA91,$E92/Hjor*BA91))</f>
        <v>0</v>
      </c>
      <c r="BB92" s="56">
        <f>IF(TipoProgramaPersonalTecnico=1,$E92*'a)Plantilla'!$C34*Programa!D$60,IF(TipoProgramaPersonalTecnico=2,$E92*BB91,$E92/Hjor*BB91))</f>
        <v>0</v>
      </c>
      <c r="BC92" s="53">
        <f>IF(TipoProgramaPersonalTecnico=1,$E92*'a)Plantilla'!$C34*Programa!D$61,IF(TipoProgramaPersonalTecnico=2,$E92*BC91,$E92/Hjor*BC91))</f>
        <v>0</v>
      </c>
      <c r="BD92" s="2">
        <f>IF(TipoProgramaPersonalTecnico=1,$E92*'a)Plantilla'!$C34*Programa!D$62,IF(TipoProgramaPersonalTecnico=2,$E92*BD91,$E92/Hjor*BD91))</f>
        <v>0</v>
      </c>
      <c r="BE92" s="2">
        <f>IF(TipoProgramaPersonalTecnico=1,$E92*'a)Plantilla'!$C34*Programa!D$63,IF(TipoProgramaPersonalTecnico=2,$E92*BE91,$E92/Hjor*BE91))</f>
        <v>0</v>
      </c>
      <c r="BF92" s="2">
        <f>IF(TipoProgramaPersonalTecnico=1,$E92*'a)Plantilla'!$C34*Programa!D$64,IF(TipoProgramaPersonalTecnico=2,$E92*BF91,$E92/Hjor*BF91))</f>
        <v>0</v>
      </c>
      <c r="BG92" s="2">
        <f>IF(TipoProgramaPersonalTecnico=1,$E92*'a)Plantilla'!$C34*Programa!D$65,IF(TipoProgramaPersonalTecnico=2,$E92*BG91,$E92/Hjor*BG91))</f>
        <v>0</v>
      </c>
      <c r="BH92" s="2">
        <f>IF(TipoProgramaPersonalTecnico=1,$E92*'a)Plantilla'!$C34*Programa!D$66,IF(TipoProgramaPersonalTecnico=2,$E92*BH91,$E92/Hjor*BH91))</f>
        <v>0</v>
      </c>
      <c r="BI92" s="2">
        <f>IF(TipoProgramaPersonalTecnico=1,$E92*'a)Plantilla'!$C34*Programa!D$67,IF(TipoProgramaPersonalTecnico=2,$E92*BI91,$E92/Hjor*BI91))</f>
        <v>0</v>
      </c>
      <c r="BJ92" s="2">
        <f>IF(TipoProgramaPersonalTecnico=1,$E92*'a)Plantilla'!$C34*Programa!D$68,IF(TipoProgramaPersonalTecnico=2,$E92*BJ91,$E92/Hjor*BJ91))</f>
        <v>0</v>
      </c>
      <c r="BK92" s="2">
        <f>IF(TipoProgramaPersonalTecnico=1,$E92*'a)Plantilla'!$C34*Programa!D$69,IF(TipoProgramaPersonalTecnico=2,$E92*BK91,$E92/Hjor*BK91))</f>
        <v>0</v>
      </c>
      <c r="BL92" s="2">
        <f>IF(TipoProgramaPersonalTecnico=1,$E92*'a)Plantilla'!$C34*Programa!D$70,IF(TipoProgramaPersonalTecnico=2,$E92*BL91,$E92/Hjor*BL91))</f>
        <v>0</v>
      </c>
      <c r="BM92" s="2">
        <f>IF(TipoProgramaPersonalTecnico=1,$E92*'a)Plantilla'!$C34*Programa!D$71,IF(TipoProgramaPersonalTecnico=2,$E92*BM91,$E92/Hjor*BM91))</f>
        <v>0</v>
      </c>
      <c r="BN92" s="12">
        <f>IF(TipoProgramaPersonalTecnico=1,$E92*'a)Plantilla'!$C34*Programa!D$72,IF(TipoProgramaPersonalTecnico=2,$E92*BN91,$E92/Hjor*BN91))</f>
        <v>0</v>
      </c>
    </row>
    <row r="93" spans="1:66" ht="7.5" customHeight="1">
      <c r="A93" s="67"/>
      <c r="B93" s="19"/>
      <c r="C93" s="127"/>
      <c r="D93" s="54"/>
      <c r="E93" s="19"/>
      <c r="F93" s="19"/>
      <c r="G93" s="1" t="s">
        <v>168</v>
      </c>
      <c r="H93" s="1" t="s">
        <v>168</v>
      </c>
      <c r="I93" s="1" t="s">
        <v>168</v>
      </c>
      <c r="J93" s="1" t="s">
        <v>168</v>
      </c>
      <c r="K93" s="1" t="s">
        <v>168</v>
      </c>
      <c r="L93" s="1" t="s">
        <v>168</v>
      </c>
      <c r="M93" s="1" t="s">
        <v>168</v>
      </c>
      <c r="N93" s="1" t="s">
        <v>168</v>
      </c>
      <c r="O93" s="1" t="s">
        <v>168</v>
      </c>
      <c r="P93" s="1" t="s">
        <v>168</v>
      </c>
      <c r="Q93" s="1" t="s">
        <v>168</v>
      </c>
      <c r="R93" s="8" t="s">
        <v>168</v>
      </c>
      <c r="S93" s="13" t="s">
        <v>168</v>
      </c>
      <c r="T93" s="1" t="s">
        <v>168</v>
      </c>
      <c r="U93" s="1" t="s">
        <v>168</v>
      </c>
      <c r="V93" s="1" t="s">
        <v>168</v>
      </c>
      <c r="W93" s="1" t="s">
        <v>168</v>
      </c>
      <c r="X93" s="1" t="s">
        <v>168</v>
      </c>
      <c r="Y93" s="1" t="s">
        <v>168</v>
      </c>
      <c r="Z93" s="1" t="s">
        <v>168</v>
      </c>
      <c r="AA93" s="1" t="s">
        <v>168</v>
      </c>
      <c r="AB93" s="1" t="s">
        <v>168</v>
      </c>
      <c r="AC93" s="1" t="s">
        <v>168</v>
      </c>
      <c r="AD93" s="8" t="s">
        <v>168</v>
      </c>
      <c r="AE93" s="13" t="s">
        <v>168</v>
      </c>
      <c r="AF93" s="1" t="s">
        <v>168</v>
      </c>
      <c r="AG93" s="1" t="s">
        <v>168</v>
      </c>
      <c r="AH93" s="1" t="s">
        <v>168</v>
      </c>
      <c r="AI93" s="1" t="s">
        <v>168</v>
      </c>
      <c r="AJ93" s="1" t="s">
        <v>168</v>
      </c>
      <c r="AK93" s="1" t="s">
        <v>168</v>
      </c>
      <c r="AL93" s="1" t="s">
        <v>168</v>
      </c>
      <c r="AM93" s="1" t="s">
        <v>168</v>
      </c>
      <c r="AN93" s="1" t="s">
        <v>168</v>
      </c>
      <c r="AO93" s="1" t="s">
        <v>168</v>
      </c>
      <c r="AP93" s="8" t="s">
        <v>168</v>
      </c>
      <c r="AQ93" s="13" t="s">
        <v>168</v>
      </c>
      <c r="AR93" s="1" t="s">
        <v>168</v>
      </c>
      <c r="AS93" s="1" t="s">
        <v>168</v>
      </c>
      <c r="AT93" s="1" t="s">
        <v>168</v>
      </c>
      <c r="AU93" s="1" t="s">
        <v>168</v>
      </c>
      <c r="AV93" s="1" t="s">
        <v>168</v>
      </c>
      <c r="AW93" s="1" t="s">
        <v>168</v>
      </c>
      <c r="AX93" s="1" t="s">
        <v>168</v>
      </c>
      <c r="AY93" s="1" t="s">
        <v>168</v>
      </c>
      <c r="AZ93" s="1" t="s">
        <v>168</v>
      </c>
      <c r="BA93" s="1" t="s">
        <v>168</v>
      </c>
      <c r="BB93" s="8" t="s">
        <v>168</v>
      </c>
      <c r="BC93" s="13" t="s">
        <v>168</v>
      </c>
      <c r="BD93" s="1" t="s">
        <v>168</v>
      </c>
      <c r="BE93" s="1" t="s">
        <v>168</v>
      </c>
      <c r="BF93" s="1" t="s">
        <v>168</v>
      </c>
      <c r="BG93" s="1" t="s">
        <v>168</v>
      </c>
      <c r="BH93" s="1" t="s">
        <v>168</v>
      </c>
      <c r="BI93" s="1" t="s">
        <v>168</v>
      </c>
      <c r="BJ93" s="1" t="s">
        <v>168</v>
      </c>
      <c r="BK93" s="1" t="s">
        <v>168</v>
      </c>
      <c r="BL93" s="1" t="s">
        <v>168</v>
      </c>
      <c r="BM93" s="1" t="s">
        <v>168</v>
      </c>
      <c r="BN93" s="8" t="s">
        <v>168</v>
      </c>
    </row>
    <row r="94" spans="1:66">
      <c r="A94" s="67"/>
      <c r="B94" s="46"/>
      <c r="C94" s="127"/>
      <c r="D94" s="52"/>
      <c r="E94" s="59"/>
      <c r="F94" s="59"/>
      <c r="G94" s="3">
        <f>'d)Pers.Técnico'!E69</f>
        <v>0</v>
      </c>
      <c r="H94" s="3">
        <f>'d)Pers.Técnico'!F69</f>
        <v>0</v>
      </c>
      <c r="I94" s="3">
        <f>'d)Pers.Técnico'!G69</f>
        <v>0</v>
      </c>
      <c r="J94" s="3">
        <f>'d)Pers.Técnico'!H69</f>
        <v>0</v>
      </c>
      <c r="K94" s="3">
        <f>'d)Pers.Técnico'!I69</f>
        <v>0</v>
      </c>
      <c r="L94" s="3">
        <f>'d)Pers.Técnico'!J69</f>
        <v>0</v>
      </c>
      <c r="M94" s="3">
        <f>'d)Pers.Técnico'!K69</f>
        <v>0</v>
      </c>
      <c r="N94" s="3">
        <f>'d)Pers.Técnico'!L69</f>
        <v>0</v>
      </c>
      <c r="O94" s="3">
        <f>'d)Pers.Técnico'!M69</f>
        <v>0</v>
      </c>
      <c r="P94" s="3">
        <f>'d)Pers.Técnico'!N69</f>
        <v>0</v>
      </c>
      <c r="Q94" s="3">
        <f>'d)Pers.Técnico'!O69</f>
        <v>0</v>
      </c>
      <c r="R94" s="14">
        <f>'d)Pers.Técnico'!P69</f>
        <v>0</v>
      </c>
      <c r="S94" s="20">
        <f>'d)Pers.Técnico'!Q69</f>
        <v>0</v>
      </c>
      <c r="T94" s="3">
        <f>'d)Pers.Técnico'!R69</f>
        <v>0</v>
      </c>
      <c r="U94" s="3">
        <f>'d)Pers.Técnico'!S69</f>
        <v>0</v>
      </c>
      <c r="V94" s="3">
        <f>'d)Pers.Técnico'!T69</f>
        <v>0</v>
      </c>
      <c r="W94" s="3">
        <f>'d)Pers.Técnico'!U69</f>
        <v>0</v>
      </c>
      <c r="X94" s="3">
        <f>'d)Pers.Técnico'!V69</f>
        <v>0</v>
      </c>
      <c r="Y94" s="3">
        <f>'d)Pers.Técnico'!W69</f>
        <v>0</v>
      </c>
      <c r="Z94" s="3">
        <f>'d)Pers.Técnico'!X69</f>
        <v>0</v>
      </c>
      <c r="AA94" s="3">
        <f>'d)Pers.Técnico'!Y69</f>
        <v>0</v>
      </c>
      <c r="AB94" s="3">
        <f>'d)Pers.Técnico'!Z69</f>
        <v>0</v>
      </c>
      <c r="AC94" s="3">
        <f>'d)Pers.Técnico'!AA69</f>
        <v>0</v>
      </c>
      <c r="AD94" s="14">
        <f>'d)Pers.Técnico'!AB69</f>
        <v>0</v>
      </c>
      <c r="AE94" s="20">
        <f>'d)Pers.Técnico'!AC69</f>
        <v>0</v>
      </c>
      <c r="AF94" s="3">
        <f>'d)Pers.Técnico'!AD69</f>
        <v>0</v>
      </c>
      <c r="AG94" s="3">
        <f>'d)Pers.Técnico'!AE69</f>
        <v>0</v>
      </c>
      <c r="AH94" s="3">
        <f>'d)Pers.Técnico'!AF69</f>
        <v>0</v>
      </c>
      <c r="AI94" s="3">
        <f>'d)Pers.Técnico'!AG69</f>
        <v>0</v>
      </c>
      <c r="AJ94" s="3">
        <f>'d)Pers.Técnico'!AH69</f>
        <v>0</v>
      </c>
      <c r="AK94" s="3">
        <f>'d)Pers.Técnico'!AI69</f>
        <v>0</v>
      </c>
      <c r="AL94" s="3">
        <f>'d)Pers.Técnico'!AJ69</f>
        <v>0</v>
      </c>
      <c r="AM94" s="3">
        <f>'d)Pers.Técnico'!AK69</f>
        <v>0</v>
      </c>
      <c r="AN94" s="3">
        <f>'d)Pers.Técnico'!AL69</f>
        <v>0</v>
      </c>
      <c r="AO94" s="3">
        <f>'d)Pers.Técnico'!AM69</f>
        <v>0</v>
      </c>
      <c r="AP94" s="14">
        <f>'d)Pers.Técnico'!AN69</f>
        <v>0</v>
      </c>
      <c r="AQ94" s="20">
        <f>'d)Pers.Técnico'!AO69</f>
        <v>0</v>
      </c>
      <c r="AR94" s="3">
        <f>'d)Pers.Técnico'!AP69</f>
        <v>0</v>
      </c>
      <c r="AS94" s="3">
        <f>'d)Pers.Técnico'!AQ69</f>
        <v>0</v>
      </c>
      <c r="AT94" s="3">
        <f>'d)Pers.Técnico'!AR69</f>
        <v>0</v>
      </c>
      <c r="AU94" s="3">
        <f>'d)Pers.Técnico'!AS69</f>
        <v>0</v>
      </c>
      <c r="AV94" s="3">
        <f>'d)Pers.Técnico'!AT69</f>
        <v>0</v>
      </c>
      <c r="AW94" s="3">
        <f>'d)Pers.Técnico'!AU69</f>
        <v>0</v>
      </c>
      <c r="AX94" s="3">
        <f>'d)Pers.Técnico'!AV69</f>
        <v>0</v>
      </c>
      <c r="AY94" s="3">
        <f>'d)Pers.Técnico'!AW69</f>
        <v>0</v>
      </c>
      <c r="AZ94" s="3">
        <f>'d)Pers.Técnico'!AX69</f>
        <v>0</v>
      </c>
      <c r="BA94" s="1">
        <f>'d)Pers.Técnico'!AY69</f>
        <v>0</v>
      </c>
      <c r="BB94" s="60">
        <f>'d)Pers.Técnico'!AZ69</f>
        <v>0</v>
      </c>
      <c r="BC94" s="61">
        <f>'d)Pers.Técnico'!BA69</f>
        <v>0</v>
      </c>
      <c r="BD94" s="3">
        <f>'d)Pers.Técnico'!BB69</f>
        <v>0</v>
      </c>
      <c r="BE94" s="3">
        <f>'d)Pers.Técnico'!BC69</f>
        <v>0</v>
      </c>
      <c r="BF94" s="3">
        <f>'d)Pers.Técnico'!BD69</f>
        <v>0</v>
      </c>
      <c r="BG94" s="3">
        <f>'d)Pers.Técnico'!BE69</f>
        <v>0</v>
      </c>
      <c r="BH94" s="3">
        <f>'d)Pers.Técnico'!BF69</f>
        <v>0</v>
      </c>
      <c r="BI94" s="3">
        <f>'d)Pers.Técnico'!BG69</f>
        <v>0</v>
      </c>
      <c r="BJ94" s="3">
        <f>'d)Pers.Técnico'!BH69</f>
        <v>0</v>
      </c>
      <c r="BK94" s="3">
        <f>'d)Pers.Técnico'!BI69</f>
        <v>0</v>
      </c>
      <c r="BL94" s="3">
        <f>'d)Pers.Técnico'!BJ69</f>
        <v>0</v>
      </c>
      <c r="BM94" s="3">
        <f>'d)Pers.Técnico'!BK69</f>
        <v>0</v>
      </c>
      <c r="BN94" s="14">
        <f>'d)Pers.Técnico'!BL69</f>
        <v>0</v>
      </c>
    </row>
    <row r="95" spans="1:66">
      <c r="A95" s="67"/>
      <c r="B95" s="46" t="str">
        <f>+'d)Pers.Técnico'!B69</f>
        <v/>
      </c>
      <c r="C95" s="197" t="str">
        <f>'d)Pers.Técnico'!C69</f>
        <v/>
      </c>
      <c r="D95" s="52">
        <f>SUM(G94:BN94)</f>
        <v>0</v>
      </c>
      <c r="E95" s="7">
        <f>IF('a)Plantilla'!C35&gt;0,'a)Plantilla'!D35/30,0)</f>
        <v>0</v>
      </c>
      <c r="F95" s="7">
        <f>SUM(G95:BN95)</f>
        <v>0</v>
      </c>
      <c r="G95" s="2">
        <f>IF(TipoProgramaPersonalTecnico=1,$E95*'a)Plantilla'!$C35*Programa!D$13,IF(TipoProgramaPersonalTecnico=2,$E95*G94,$E95/Hjor*G94))</f>
        <v>0</v>
      </c>
      <c r="H95" s="2">
        <f>IF(TipoProgramaPersonalTecnico=1,$E95*'a)Plantilla'!$C35*Programa!D$14,IF(TipoProgramaPersonalTecnico=2,$E95*H94,$E95/Hjor*H94))</f>
        <v>0</v>
      </c>
      <c r="I95" s="2">
        <f>IF(TipoProgramaPersonalTecnico=1,$E95*'a)Plantilla'!$C35*Programa!D$15,IF(TipoProgramaPersonalTecnico=2,$E95*I94,$E95/Hjor*I94))</f>
        <v>0</v>
      </c>
      <c r="J95" s="2">
        <f>IF(TipoProgramaPersonalTecnico=1,$E95*'a)Plantilla'!$C35*Programa!D$16,IF(TipoProgramaPersonalTecnico=2,$E95*J94,$E95/Hjor*J94))</f>
        <v>0</v>
      </c>
      <c r="K95" s="2">
        <f>IF(TipoProgramaPersonalTecnico=1,$E95*'a)Plantilla'!$C35*Programa!D$17,IF(TipoProgramaPersonalTecnico=2,$E95*K94,$E95/Hjor*K94))</f>
        <v>0</v>
      </c>
      <c r="L95" s="2">
        <f>IF(TipoProgramaPersonalTecnico=1,$E95*'a)Plantilla'!$C35*Programa!D$18,IF(TipoProgramaPersonalTecnico=2,$E95*L94,$E95/Hjor*L94))</f>
        <v>0</v>
      </c>
      <c r="M95" s="2">
        <f>IF(TipoProgramaPersonalTecnico=1,$E95*'a)Plantilla'!$C35*Programa!D$19,IF(TipoProgramaPersonalTecnico=2,$E95*M94,$E95/Hjor*M94))</f>
        <v>0</v>
      </c>
      <c r="N95" s="2">
        <f>IF(TipoProgramaPersonalTecnico=1,$E95*'a)Plantilla'!$C35*Programa!D$20,IF(TipoProgramaPersonalTecnico=2,$E95*N94,$E95/Hjor*N94))</f>
        <v>0</v>
      </c>
      <c r="O95" s="2">
        <f>IF(TipoProgramaPersonalTecnico=1,$E95*'a)Plantilla'!$C35*Programa!D$21,IF(TipoProgramaPersonalTecnico=2,$E95*O94,$E95/Hjor*O94))</f>
        <v>0</v>
      </c>
      <c r="P95" s="2">
        <f>IF(TipoProgramaPersonalTecnico=1,$E95*'a)Plantilla'!$C35*Programa!D$22,IF(TipoProgramaPersonalTecnico=2,$E95*P94,$E95/Hjor*P94))</f>
        <v>0</v>
      </c>
      <c r="Q95" s="2">
        <f>IF(TipoProgramaPersonalTecnico=1,$E95*'a)Plantilla'!$C35*Programa!D$23,IF(TipoProgramaPersonalTecnico=2,$E95*Q94,$E95/Hjor*Q94))</f>
        <v>0</v>
      </c>
      <c r="R95" s="12">
        <f>IF(TipoProgramaPersonalTecnico=1,$E95*'a)Plantilla'!$C35*Programa!D$24,IF(TipoProgramaPersonalTecnico=2,$E95*R94,$E95/Hjor*R94))</f>
        <v>0</v>
      </c>
      <c r="S95" s="7">
        <f>IF(TipoProgramaPersonalTecnico=1,$E95*'a)Plantilla'!$C35*Programa!D$25,IF(TipoProgramaPersonalTecnico=2,$E95*S94,$E95/Hjor*S94))</f>
        <v>0</v>
      </c>
      <c r="T95" s="2">
        <f>IF(TipoProgramaPersonalTecnico=1,$E95*'a)Plantilla'!$C35*Programa!D$26,IF(TipoProgramaPersonalTecnico=2,$E95*T94,$E95/Hjor*T94))</f>
        <v>0</v>
      </c>
      <c r="U95" s="2">
        <f>IF(TipoProgramaPersonalTecnico=1,$E95*'a)Plantilla'!$C35*Programa!D$27,IF(TipoProgramaPersonalTecnico=2,$E95*U94,$E95/Hjor*U94))</f>
        <v>0</v>
      </c>
      <c r="V95" s="2">
        <f>IF(TipoProgramaPersonalTecnico=1,$E95*'a)Plantilla'!$C35*Programa!D$28,IF(TipoProgramaPersonalTecnico=2,$E95*V94,$E95/Hjor*V94))</f>
        <v>0</v>
      </c>
      <c r="W95" s="2">
        <f>IF(TipoProgramaPersonalTecnico=1,$E95*'a)Plantilla'!$C35*Programa!D$29,IF(TipoProgramaPersonalTecnico=2,$E95*W94,$E95/Hjor*W94))</f>
        <v>0</v>
      </c>
      <c r="X95" s="2">
        <f>IF(TipoProgramaPersonalTecnico=1,$E95*'a)Plantilla'!$C35*Programa!D$30,IF(TipoProgramaPersonalTecnico=2,$E95*X94,$E95/Hjor*X94))</f>
        <v>0</v>
      </c>
      <c r="Y95" s="2">
        <f>IF(TipoProgramaPersonalTecnico=1,$E95*'a)Plantilla'!$C35*Programa!D$31,IF(TipoProgramaPersonalTecnico=2,$E95*Y94,$E95/Hjor*Y94))</f>
        <v>0</v>
      </c>
      <c r="Z95" s="2">
        <f>IF(TipoProgramaPersonalTecnico=1,$E95*'a)Plantilla'!$C35*Programa!D$32,IF(TipoProgramaPersonalTecnico=2,$E95*Z94,$E95/Hjor*Z94))</f>
        <v>0</v>
      </c>
      <c r="AA95" s="2">
        <f>IF(TipoProgramaPersonalTecnico=1,$E95*'a)Plantilla'!$C35*Programa!D$33,IF(TipoProgramaPersonalTecnico=2,$E95*AA94,$E95/Hjor*AA94))</f>
        <v>0</v>
      </c>
      <c r="AB95" s="2">
        <f>IF(TipoProgramaPersonalTecnico=1,$E95*'a)Plantilla'!$C35*Programa!D$34,IF(TipoProgramaPersonalTecnico=2,$E95*AB94,$E95/Hjor*AB94))</f>
        <v>0</v>
      </c>
      <c r="AC95" s="2">
        <f>IF(TipoProgramaPersonalTecnico=1,$E95*'a)Plantilla'!$C35*Programa!D$35,IF(TipoProgramaPersonalTecnico=2,$E95*AC94,$E95/Hjor*AC94))</f>
        <v>0</v>
      </c>
      <c r="AD95" s="12">
        <f>IF(TipoProgramaPersonalTecnico=1,$E95*'a)Plantilla'!$C35*Programa!D$36,IF(TipoProgramaPersonalTecnico=2,$E95*AD94,$E95/Hjor*AD94))</f>
        <v>0</v>
      </c>
      <c r="AE95" s="7">
        <f>IF(TipoProgramaPersonalTecnico=1,$E95*'a)Plantilla'!$C35*Programa!D$37,IF(TipoProgramaPersonalTecnico=2,$E95*AE94,$E95/Hjor*AE94))</f>
        <v>0</v>
      </c>
      <c r="AF95" s="2">
        <f>IF(TipoProgramaPersonalTecnico=1,$E95*'a)Plantilla'!$C35*Programa!D$38,IF(TipoProgramaPersonalTecnico=2,$E95*AF94,$E95/Hjor*AF94))</f>
        <v>0</v>
      </c>
      <c r="AG95" s="2">
        <f>IF(TipoProgramaPersonalTecnico=1,$E95*'a)Plantilla'!$C35*Programa!D$39,IF(TipoProgramaPersonalTecnico=2,$E95*AG94,$E95/Hjor*AG94))</f>
        <v>0</v>
      </c>
      <c r="AH95" s="2">
        <f>IF(TipoProgramaPersonalTecnico=1,$E95*'a)Plantilla'!$C35*Programa!D$40,IF(TipoProgramaPersonalTecnico=2,$E95*AH94,$E95/Hjor*AH94))</f>
        <v>0</v>
      </c>
      <c r="AI95" s="2">
        <f>IF(TipoProgramaPersonalTecnico=1,$E95*'a)Plantilla'!$C35*Programa!D$41,IF(TipoProgramaPersonalTecnico=2,$E95*AI94,$E95/Hjor*AI94))</f>
        <v>0</v>
      </c>
      <c r="AJ95" s="2">
        <f>IF(TipoProgramaPersonalTecnico=1,$E95*'a)Plantilla'!$C35*Programa!D$42,IF(TipoProgramaPersonalTecnico=2,$E95*AJ94,$E95/Hjor*AJ94))</f>
        <v>0</v>
      </c>
      <c r="AK95" s="2">
        <f>IF(TipoProgramaPersonalTecnico=1,$E95*'a)Plantilla'!$C35*Programa!D$43,IF(TipoProgramaPersonalTecnico=2,$E95*AK94,$E95/Hjor*AK94))</f>
        <v>0</v>
      </c>
      <c r="AL95" s="2">
        <f>IF(TipoProgramaPersonalTecnico=1,$E95*'a)Plantilla'!$C35*Programa!D$44,IF(TipoProgramaPersonalTecnico=2,$E95*AL94,$E95/Hjor*AL94))</f>
        <v>0</v>
      </c>
      <c r="AM95" s="2">
        <f>IF(TipoProgramaPersonalTecnico=1,$E95*'a)Plantilla'!$C35*Programa!D$45,IF(TipoProgramaPersonalTecnico=2,$E95*AM94,$E95/Hjor*AM94))</f>
        <v>0</v>
      </c>
      <c r="AN95" s="2">
        <f>IF(TipoProgramaPersonalTecnico=1,$E95*'a)Plantilla'!$C35*Programa!D$46,IF(TipoProgramaPersonalTecnico=2,$E95*AN94,$E95/Hjor*AN94))</f>
        <v>0</v>
      </c>
      <c r="AO95" s="2">
        <f>IF(TipoProgramaPersonalTecnico=1,$E95*'a)Plantilla'!$C35*Programa!D$47,IF(TipoProgramaPersonalTecnico=2,$E95*AO94,$E95/Hjor*AO94))</f>
        <v>0</v>
      </c>
      <c r="AP95" s="12">
        <f>IF(TipoProgramaPersonalTecnico=1,$E95*'a)Plantilla'!$C35*Programa!D$48,IF(TipoProgramaPersonalTecnico=2,$E95*AP94,$E95/Hjor*AP94))</f>
        <v>0</v>
      </c>
      <c r="AQ95" s="7">
        <f>IF(TipoProgramaPersonalTecnico=1,$E95*'a)Plantilla'!$C35*Programa!D$49,IF(TipoProgramaPersonalTecnico=2,$E95*AQ94,$E95/Hjor*AQ94))</f>
        <v>0</v>
      </c>
      <c r="AR95" s="2">
        <f>IF(TipoProgramaPersonalTecnico=1,$E95*'a)Plantilla'!$C35*Programa!D$50,IF(TipoProgramaPersonalTecnico=2,$E95*AR94,$E95/Hjor*AR94))</f>
        <v>0</v>
      </c>
      <c r="AS95" s="2">
        <f>IF(TipoProgramaPersonalTecnico=1,$E95*'a)Plantilla'!$C35*Programa!D$51,IF(TipoProgramaPersonalTecnico=2,$E95*AS94,$E95/Hjor*AS94))</f>
        <v>0</v>
      </c>
      <c r="AT95" s="2">
        <f>IF(TipoProgramaPersonalTecnico=1,$E95*'a)Plantilla'!$C35*Programa!D$52,IF(TipoProgramaPersonalTecnico=2,$E95*AT94,$E95/Hjor*AT94))</f>
        <v>0</v>
      </c>
      <c r="AU95" s="2">
        <f>IF(TipoProgramaPersonalTecnico=1,$E95*'a)Plantilla'!$C35*Programa!D$53,IF(TipoProgramaPersonalTecnico=2,$E95*AU94,$E95/Hjor*AU94))</f>
        <v>0</v>
      </c>
      <c r="AV95" s="2">
        <f>IF(TipoProgramaPersonalTecnico=1,$E95*'a)Plantilla'!$C35*Programa!D$54,IF(TipoProgramaPersonalTecnico=2,$E95*AV94,$E95/Hjor*AV94))</f>
        <v>0</v>
      </c>
      <c r="AW95" s="2">
        <f>IF(TipoProgramaPersonalTecnico=1,$E95*'a)Plantilla'!$C35*Programa!D$55,IF(TipoProgramaPersonalTecnico=2,$E95*AW94,$E95/Hjor*AW94))</f>
        <v>0</v>
      </c>
      <c r="AX95" s="2">
        <f>IF(TipoProgramaPersonalTecnico=1,$E95*'a)Plantilla'!$C35*Programa!D$56,IF(TipoProgramaPersonalTecnico=2,$E95*AX94,$E95/Hjor*AX94))</f>
        <v>0</v>
      </c>
      <c r="AY95" s="2">
        <f>IF(TipoProgramaPersonalTecnico=1,$E95*'a)Plantilla'!$C35*Programa!D$57,IF(TipoProgramaPersonalTecnico=2,$E95*AY94,$E95/Hjor*AY94))</f>
        <v>0</v>
      </c>
      <c r="AZ95" s="2">
        <f>IF(TipoProgramaPersonalTecnico=1,$E95*'a)Plantilla'!$C35*Programa!D$58,IF(TipoProgramaPersonalTecnico=2,$E95*AZ94,$E95/Hjor*AZ94))</f>
        <v>0</v>
      </c>
      <c r="BA95" s="55">
        <f>IF(TipoProgramaPersonalTecnico=1,$E95*'a)Plantilla'!$C35*Programa!D$59,IF(TipoProgramaPersonalTecnico=2,$E95*BA94,$E95/Hjor*BA94))</f>
        <v>0</v>
      </c>
      <c r="BB95" s="56">
        <f>IF(TipoProgramaPersonalTecnico=1,$E95*'a)Plantilla'!$C35*Programa!D$60,IF(TipoProgramaPersonalTecnico=2,$E95*BB94,$E95/Hjor*BB94))</f>
        <v>0</v>
      </c>
      <c r="BC95" s="53">
        <f>IF(TipoProgramaPersonalTecnico=1,$E95*'a)Plantilla'!$C35*Programa!D$61,IF(TipoProgramaPersonalTecnico=2,$E95*BC94,$E95/Hjor*BC94))</f>
        <v>0</v>
      </c>
      <c r="BD95" s="2">
        <f>IF(TipoProgramaPersonalTecnico=1,$E95*'a)Plantilla'!$C35*Programa!D$62,IF(TipoProgramaPersonalTecnico=2,$E95*BD94,$E95/Hjor*BD94))</f>
        <v>0</v>
      </c>
      <c r="BE95" s="2">
        <f>IF(TipoProgramaPersonalTecnico=1,$E95*'a)Plantilla'!$C35*Programa!D$63,IF(TipoProgramaPersonalTecnico=2,$E95*BE94,$E95/Hjor*BE94))</f>
        <v>0</v>
      </c>
      <c r="BF95" s="2">
        <f>IF(TipoProgramaPersonalTecnico=1,$E95*'a)Plantilla'!$C35*Programa!D$64,IF(TipoProgramaPersonalTecnico=2,$E95*BF94,$E95/Hjor*BF94))</f>
        <v>0</v>
      </c>
      <c r="BG95" s="2">
        <f>IF(TipoProgramaPersonalTecnico=1,$E95*'a)Plantilla'!$C35*Programa!D$65,IF(TipoProgramaPersonalTecnico=2,$E95*BG94,$E95/Hjor*BG94))</f>
        <v>0</v>
      </c>
      <c r="BH95" s="2">
        <f>IF(TipoProgramaPersonalTecnico=1,$E95*'a)Plantilla'!$C35*Programa!D$66,IF(TipoProgramaPersonalTecnico=2,$E95*BH94,$E95/Hjor*BH94))</f>
        <v>0</v>
      </c>
      <c r="BI95" s="2">
        <f>IF(TipoProgramaPersonalTecnico=1,$E95*'a)Plantilla'!$C35*Programa!D$67,IF(TipoProgramaPersonalTecnico=2,$E95*BI94,$E95/Hjor*BI94))</f>
        <v>0</v>
      </c>
      <c r="BJ95" s="2">
        <f>IF(TipoProgramaPersonalTecnico=1,$E95*'a)Plantilla'!$C35*Programa!D$68,IF(TipoProgramaPersonalTecnico=2,$E95*BJ94,$E95/Hjor*BJ94))</f>
        <v>0</v>
      </c>
      <c r="BK95" s="2">
        <f>IF(TipoProgramaPersonalTecnico=1,$E95*'a)Plantilla'!$C35*Programa!D$69,IF(TipoProgramaPersonalTecnico=2,$E95*BK94,$E95/Hjor*BK94))</f>
        <v>0</v>
      </c>
      <c r="BL95" s="2">
        <f>IF(TipoProgramaPersonalTecnico=1,$E95*'a)Plantilla'!$C35*Programa!D$70,IF(TipoProgramaPersonalTecnico=2,$E95*BL94,$E95/Hjor*BL94))</f>
        <v>0</v>
      </c>
      <c r="BM95" s="2">
        <f>IF(TipoProgramaPersonalTecnico=1,$E95*'a)Plantilla'!$C35*Programa!D$71,IF(TipoProgramaPersonalTecnico=2,$E95*BM94,$E95/Hjor*BM94))</f>
        <v>0</v>
      </c>
      <c r="BN95" s="12">
        <f>IF(TipoProgramaPersonalTecnico=1,$E95*'a)Plantilla'!$C35*Programa!D$72,IF(TipoProgramaPersonalTecnico=2,$E95*BN94,$E95/Hjor*BN94))</f>
        <v>0</v>
      </c>
    </row>
    <row r="96" spans="1:66" ht="7.5" customHeight="1">
      <c r="A96" s="67"/>
      <c r="B96" s="19"/>
      <c r="C96" s="127"/>
      <c r="D96" s="54"/>
      <c r="E96" s="19"/>
      <c r="F96" s="19"/>
      <c r="G96" s="1" t="s">
        <v>168</v>
      </c>
      <c r="H96" s="1" t="s">
        <v>168</v>
      </c>
      <c r="I96" s="1" t="s">
        <v>168</v>
      </c>
      <c r="J96" s="1" t="s">
        <v>168</v>
      </c>
      <c r="K96" s="1" t="s">
        <v>168</v>
      </c>
      <c r="L96" s="1" t="s">
        <v>168</v>
      </c>
      <c r="M96" s="1" t="s">
        <v>168</v>
      </c>
      <c r="N96" s="1" t="s">
        <v>168</v>
      </c>
      <c r="O96" s="1" t="s">
        <v>168</v>
      </c>
      <c r="P96" s="1" t="s">
        <v>168</v>
      </c>
      <c r="Q96" s="1" t="s">
        <v>168</v>
      </c>
      <c r="R96" s="8" t="s">
        <v>168</v>
      </c>
      <c r="S96" s="13" t="s">
        <v>168</v>
      </c>
      <c r="T96" s="1" t="s">
        <v>168</v>
      </c>
      <c r="U96" s="1" t="s">
        <v>168</v>
      </c>
      <c r="V96" s="1" t="s">
        <v>168</v>
      </c>
      <c r="W96" s="1" t="s">
        <v>168</v>
      </c>
      <c r="X96" s="1" t="s">
        <v>168</v>
      </c>
      <c r="Y96" s="1" t="s">
        <v>168</v>
      </c>
      <c r="Z96" s="1" t="s">
        <v>168</v>
      </c>
      <c r="AA96" s="1" t="s">
        <v>168</v>
      </c>
      <c r="AB96" s="1" t="s">
        <v>168</v>
      </c>
      <c r="AC96" s="1" t="s">
        <v>168</v>
      </c>
      <c r="AD96" s="8" t="s">
        <v>168</v>
      </c>
      <c r="AE96" s="13" t="s">
        <v>168</v>
      </c>
      <c r="AF96" s="1" t="s">
        <v>168</v>
      </c>
      <c r="AG96" s="1" t="s">
        <v>168</v>
      </c>
      <c r="AH96" s="1" t="s">
        <v>168</v>
      </c>
      <c r="AI96" s="1" t="s">
        <v>168</v>
      </c>
      <c r="AJ96" s="1" t="s">
        <v>168</v>
      </c>
      <c r="AK96" s="1" t="s">
        <v>168</v>
      </c>
      <c r="AL96" s="1" t="s">
        <v>168</v>
      </c>
      <c r="AM96" s="1" t="s">
        <v>168</v>
      </c>
      <c r="AN96" s="1" t="s">
        <v>168</v>
      </c>
      <c r="AO96" s="1" t="s">
        <v>168</v>
      </c>
      <c r="AP96" s="8" t="s">
        <v>168</v>
      </c>
      <c r="AQ96" s="13" t="s">
        <v>168</v>
      </c>
      <c r="AR96" s="1" t="s">
        <v>168</v>
      </c>
      <c r="AS96" s="1" t="s">
        <v>168</v>
      </c>
      <c r="AT96" s="1" t="s">
        <v>168</v>
      </c>
      <c r="AU96" s="1" t="s">
        <v>168</v>
      </c>
      <c r="AV96" s="1" t="s">
        <v>168</v>
      </c>
      <c r="AW96" s="1" t="s">
        <v>168</v>
      </c>
      <c r="AX96" s="1" t="s">
        <v>168</v>
      </c>
      <c r="AY96" s="1" t="s">
        <v>168</v>
      </c>
      <c r="AZ96" s="1" t="s">
        <v>168</v>
      </c>
      <c r="BA96" s="1" t="s">
        <v>168</v>
      </c>
      <c r="BB96" s="8" t="s">
        <v>168</v>
      </c>
      <c r="BC96" s="13" t="s">
        <v>168</v>
      </c>
      <c r="BD96" s="1" t="s">
        <v>168</v>
      </c>
      <c r="BE96" s="1" t="s">
        <v>168</v>
      </c>
      <c r="BF96" s="1" t="s">
        <v>168</v>
      </c>
      <c r="BG96" s="1" t="s">
        <v>168</v>
      </c>
      <c r="BH96" s="1" t="s">
        <v>168</v>
      </c>
      <c r="BI96" s="1" t="s">
        <v>168</v>
      </c>
      <c r="BJ96" s="1" t="s">
        <v>168</v>
      </c>
      <c r="BK96" s="1" t="s">
        <v>168</v>
      </c>
      <c r="BL96" s="1" t="s">
        <v>168</v>
      </c>
      <c r="BM96" s="1" t="s">
        <v>168</v>
      </c>
      <c r="BN96" s="8" t="s">
        <v>168</v>
      </c>
    </row>
    <row r="97" spans="1:66">
      <c r="A97" s="67"/>
      <c r="B97" s="46"/>
      <c r="C97" s="127"/>
      <c r="D97" s="52"/>
      <c r="E97" s="59"/>
      <c r="F97" s="59"/>
      <c r="G97" s="3">
        <f>'d)Pers.Técnico'!E71</f>
        <v>0</v>
      </c>
      <c r="H97" s="3">
        <f>'d)Pers.Técnico'!F71</f>
        <v>0</v>
      </c>
      <c r="I97" s="3">
        <f>'d)Pers.Técnico'!G71</f>
        <v>0</v>
      </c>
      <c r="J97" s="3">
        <f>'d)Pers.Técnico'!H71</f>
        <v>0</v>
      </c>
      <c r="K97" s="3">
        <f>'d)Pers.Técnico'!I71</f>
        <v>0</v>
      </c>
      <c r="L97" s="3">
        <f>'d)Pers.Técnico'!J71</f>
        <v>0</v>
      </c>
      <c r="M97" s="3">
        <f>'d)Pers.Técnico'!K71</f>
        <v>0</v>
      </c>
      <c r="N97" s="3">
        <f>'d)Pers.Técnico'!L71</f>
        <v>0</v>
      </c>
      <c r="O97" s="3">
        <f>'d)Pers.Técnico'!M71</f>
        <v>0</v>
      </c>
      <c r="P97" s="3">
        <f>'d)Pers.Técnico'!N71</f>
        <v>0</v>
      </c>
      <c r="Q97" s="3">
        <f>'d)Pers.Técnico'!O71</f>
        <v>0</v>
      </c>
      <c r="R97" s="14">
        <f>'d)Pers.Técnico'!P71</f>
        <v>0</v>
      </c>
      <c r="S97" s="20">
        <f>'d)Pers.Técnico'!Q71</f>
        <v>0</v>
      </c>
      <c r="T97" s="3">
        <f>'d)Pers.Técnico'!R71</f>
        <v>0</v>
      </c>
      <c r="U97" s="3">
        <f>'d)Pers.Técnico'!S71</f>
        <v>0</v>
      </c>
      <c r="V97" s="3">
        <f>'d)Pers.Técnico'!T71</f>
        <v>0</v>
      </c>
      <c r="W97" s="3">
        <f>'d)Pers.Técnico'!U71</f>
        <v>0</v>
      </c>
      <c r="X97" s="3">
        <f>'d)Pers.Técnico'!V71</f>
        <v>0</v>
      </c>
      <c r="Y97" s="3">
        <f>'d)Pers.Técnico'!W71</f>
        <v>0</v>
      </c>
      <c r="Z97" s="3">
        <f>'d)Pers.Técnico'!X71</f>
        <v>0</v>
      </c>
      <c r="AA97" s="3">
        <f>'d)Pers.Técnico'!Y71</f>
        <v>0</v>
      </c>
      <c r="AB97" s="3">
        <f>'d)Pers.Técnico'!Z71</f>
        <v>0</v>
      </c>
      <c r="AC97" s="3">
        <f>'d)Pers.Técnico'!AA71</f>
        <v>0</v>
      </c>
      <c r="AD97" s="14">
        <f>'d)Pers.Técnico'!AB71</f>
        <v>0</v>
      </c>
      <c r="AE97" s="20">
        <f>'d)Pers.Técnico'!AC71</f>
        <v>0</v>
      </c>
      <c r="AF97" s="3">
        <f>'d)Pers.Técnico'!AD71</f>
        <v>0</v>
      </c>
      <c r="AG97" s="3">
        <f>'d)Pers.Técnico'!AE71</f>
        <v>0</v>
      </c>
      <c r="AH97" s="3">
        <f>'d)Pers.Técnico'!AF71</f>
        <v>0</v>
      </c>
      <c r="AI97" s="3">
        <f>'d)Pers.Técnico'!AG71</f>
        <v>0</v>
      </c>
      <c r="AJ97" s="3">
        <f>'d)Pers.Técnico'!AH71</f>
        <v>0</v>
      </c>
      <c r="AK97" s="3">
        <f>'d)Pers.Técnico'!AI71</f>
        <v>0</v>
      </c>
      <c r="AL97" s="3">
        <f>'d)Pers.Técnico'!AJ71</f>
        <v>0</v>
      </c>
      <c r="AM97" s="3">
        <f>'d)Pers.Técnico'!AK71</f>
        <v>0</v>
      </c>
      <c r="AN97" s="3">
        <f>'d)Pers.Técnico'!AL71</f>
        <v>0</v>
      </c>
      <c r="AO97" s="3">
        <f>'d)Pers.Técnico'!AM71</f>
        <v>0</v>
      </c>
      <c r="AP97" s="14">
        <f>'d)Pers.Técnico'!AN71</f>
        <v>0</v>
      </c>
      <c r="AQ97" s="20">
        <f>'d)Pers.Técnico'!AO71</f>
        <v>0</v>
      </c>
      <c r="AR97" s="3">
        <f>'d)Pers.Técnico'!AP71</f>
        <v>0</v>
      </c>
      <c r="AS97" s="3">
        <f>'d)Pers.Técnico'!AQ71</f>
        <v>0</v>
      </c>
      <c r="AT97" s="3">
        <f>'d)Pers.Técnico'!AR71</f>
        <v>0</v>
      </c>
      <c r="AU97" s="3">
        <f>'d)Pers.Técnico'!AS71</f>
        <v>0</v>
      </c>
      <c r="AV97" s="3">
        <f>'d)Pers.Técnico'!AT71</f>
        <v>0</v>
      </c>
      <c r="AW97" s="3">
        <f>'d)Pers.Técnico'!AU71</f>
        <v>0</v>
      </c>
      <c r="AX97" s="3">
        <f>'d)Pers.Técnico'!AV71</f>
        <v>0</v>
      </c>
      <c r="AY97" s="3">
        <f>'d)Pers.Técnico'!AW71</f>
        <v>0</v>
      </c>
      <c r="AZ97" s="3">
        <f>'d)Pers.Técnico'!AX71</f>
        <v>0</v>
      </c>
      <c r="BA97" s="1">
        <f>'d)Pers.Técnico'!AY71</f>
        <v>0</v>
      </c>
      <c r="BB97" s="60">
        <f>'d)Pers.Técnico'!AZ71</f>
        <v>0</v>
      </c>
      <c r="BC97" s="61">
        <f>'d)Pers.Técnico'!BA71</f>
        <v>0</v>
      </c>
      <c r="BD97" s="3">
        <f>'d)Pers.Técnico'!BB71</f>
        <v>0</v>
      </c>
      <c r="BE97" s="3">
        <f>'d)Pers.Técnico'!BC71</f>
        <v>0</v>
      </c>
      <c r="BF97" s="3">
        <f>'d)Pers.Técnico'!BD71</f>
        <v>0</v>
      </c>
      <c r="BG97" s="3">
        <f>'d)Pers.Técnico'!BE71</f>
        <v>0</v>
      </c>
      <c r="BH97" s="3">
        <f>'d)Pers.Técnico'!BF71</f>
        <v>0</v>
      </c>
      <c r="BI97" s="3">
        <f>'d)Pers.Técnico'!BG71</f>
        <v>0</v>
      </c>
      <c r="BJ97" s="3">
        <f>'d)Pers.Técnico'!BH71</f>
        <v>0</v>
      </c>
      <c r="BK97" s="3">
        <f>'d)Pers.Técnico'!BI71</f>
        <v>0</v>
      </c>
      <c r="BL97" s="3">
        <f>'d)Pers.Técnico'!BJ71</f>
        <v>0</v>
      </c>
      <c r="BM97" s="3">
        <f>'d)Pers.Técnico'!BK71</f>
        <v>0</v>
      </c>
      <c r="BN97" s="14">
        <f>'d)Pers.Técnico'!BL71</f>
        <v>0</v>
      </c>
    </row>
    <row r="98" spans="1:66">
      <c r="A98" s="67"/>
      <c r="B98" s="46" t="str">
        <f>+'d)Pers.Técnico'!B71</f>
        <v/>
      </c>
      <c r="C98" s="197" t="str">
        <f>'d)Pers.Técnico'!C71</f>
        <v/>
      </c>
      <c r="D98" s="52">
        <f>SUM(G97:BN97)</f>
        <v>0</v>
      </c>
      <c r="E98" s="7">
        <f>IF('a)Plantilla'!C36&gt;0,'a)Plantilla'!D36/30,0)</f>
        <v>0</v>
      </c>
      <c r="F98" s="7">
        <f>SUM(G98:BN98)</f>
        <v>0</v>
      </c>
      <c r="G98" s="2">
        <f>IF(TipoProgramaPersonalTecnico=1,$E98*'a)Plantilla'!$C36*Programa!D$13,IF(TipoProgramaPersonalTecnico=2,$E98*G97,$E98/Hjor*G97))</f>
        <v>0</v>
      </c>
      <c r="H98" s="2">
        <f>IF(TipoProgramaPersonalTecnico=1,$E98*'a)Plantilla'!$C36*Programa!D$14,IF(TipoProgramaPersonalTecnico=2,$E98*H97,$E98/Hjor*H97))</f>
        <v>0</v>
      </c>
      <c r="I98" s="2">
        <f>IF(TipoProgramaPersonalTecnico=1,$E98*'a)Plantilla'!$C36*Programa!D$15,IF(TipoProgramaPersonalTecnico=2,$E98*I97,$E98/Hjor*I97))</f>
        <v>0</v>
      </c>
      <c r="J98" s="2">
        <f>IF(TipoProgramaPersonalTecnico=1,$E98*'a)Plantilla'!$C36*Programa!D$16,IF(TipoProgramaPersonalTecnico=2,$E98*J97,$E98/Hjor*J97))</f>
        <v>0</v>
      </c>
      <c r="K98" s="2">
        <f>IF(TipoProgramaPersonalTecnico=1,$E98*'a)Plantilla'!$C36*Programa!D$17,IF(TipoProgramaPersonalTecnico=2,$E98*K97,$E98/Hjor*K97))</f>
        <v>0</v>
      </c>
      <c r="L98" s="2">
        <f>IF(TipoProgramaPersonalTecnico=1,$E98*'a)Plantilla'!$C36*Programa!D$18,IF(TipoProgramaPersonalTecnico=2,$E98*L97,$E98/Hjor*L97))</f>
        <v>0</v>
      </c>
      <c r="M98" s="2">
        <f>IF(TipoProgramaPersonalTecnico=1,$E98*'a)Plantilla'!$C36*Programa!D$19,IF(TipoProgramaPersonalTecnico=2,$E98*M97,$E98/Hjor*M97))</f>
        <v>0</v>
      </c>
      <c r="N98" s="2">
        <f>IF(TipoProgramaPersonalTecnico=1,$E98*'a)Plantilla'!$C36*Programa!D$20,IF(TipoProgramaPersonalTecnico=2,$E98*N97,$E98/Hjor*N97))</f>
        <v>0</v>
      </c>
      <c r="O98" s="2">
        <f>IF(TipoProgramaPersonalTecnico=1,$E98*'a)Plantilla'!$C36*Programa!D$21,IF(TipoProgramaPersonalTecnico=2,$E98*O97,$E98/Hjor*O97))</f>
        <v>0</v>
      </c>
      <c r="P98" s="2">
        <f>IF(TipoProgramaPersonalTecnico=1,$E98*'a)Plantilla'!$C36*Programa!D$22,IF(TipoProgramaPersonalTecnico=2,$E98*P97,$E98/Hjor*P97))</f>
        <v>0</v>
      </c>
      <c r="Q98" s="2">
        <f>IF(TipoProgramaPersonalTecnico=1,$E98*'a)Plantilla'!$C36*Programa!D$23,IF(TipoProgramaPersonalTecnico=2,$E98*Q97,$E98/Hjor*Q97))</f>
        <v>0</v>
      </c>
      <c r="R98" s="12">
        <f>IF(TipoProgramaPersonalTecnico=1,$E98*'a)Plantilla'!$C36*Programa!D$24,IF(TipoProgramaPersonalTecnico=2,$E98*R97,$E98/Hjor*R97))</f>
        <v>0</v>
      </c>
      <c r="S98" s="7">
        <f>IF(TipoProgramaPersonalTecnico=1,$E98*'a)Plantilla'!$C36*Programa!D$25,IF(TipoProgramaPersonalTecnico=2,$E98*S97,$E98/Hjor*S97))</f>
        <v>0</v>
      </c>
      <c r="T98" s="2">
        <f>IF(TipoProgramaPersonalTecnico=1,$E98*'a)Plantilla'!$C36*Programa!D$26,IF(TipoProgramaPersonalTecnico=2,$E98*T97,$E98/Hjor*T97))</f>
        <v>0</v>
      </c>
      <c r="U98" s="2">
        <f>IF(TipoProgramaPersonalTecnico=1,$E98*'a)Plantilla'!$C36*Programa!D$27,IF(TipoProgramaPersonalTecnico=2,$E98*U97,$E98/Hjor*U97))</f>
        <v>0</v>
      </c>
      <c r="V98" s="2">
        <f>IF(TipoProgramaPersonalTecnico=1,$E98*'a)Plantilla'!$C36*Programa!D$28,IF(TipoProgramaPersonalTecnico=2,$E98*V97,$E98/Hjor*V97))</f>
        <v>0</v>
      </c>
      <c r="W98" s="2">
        <f>IF(TipoProgramaPersonalTecnico=1,$E98*'a)Plantilla'!$C36*Programa!D$29,IF(TipoProgramaPersonalTecnico=2,$E98*W97,$E98/Hjor*W97))</f>
        <v>0</v>
      </c>
      <c r="X98" s="2">
        <f>IF(TipoProgramaPersonalTecnico=1,$E98*'a)Plantilla'!$C36*Programa!D$30,IF(TipoProgramaPersonalTecnico=2,$E98*X97,$E98/Hjor*X97))</f>
        <v>0</v>
      </c>
      <c r="Y98" s="2">
        <f>IF(TipoProgramaPersonalTecnico=1,$E98*'a)Plantilla'!$C36*Programa!D$31,IF(TipoProgramaPersonalTecnico=2,$E98*Y97,$E98/Hjor*Y97))</f>
        <v>0</v>
      </c>
      <c r="Z98" s="2">
        <f>IF(TipoProgramaPersonalTecnico=1,$E98*'a)Plantilla'!$C36*Programa!D$32,IF(TipoProgramaPersonalTecnico=2,$E98*Z97,$E98/Hjor*Z97))</f>
        <v>0</v>
      </c>
      <c r="AA98" s="2">
        <f>IF(TipoProgramaPersonalTecnico=1,$E98*'a)Plantilla'!$C36*Programa!D$33,IF(TipoProgramaPersonalTecnico=2,$E98*AA97,$E98/Hjor*AA97))</f>
        <v>0</v>
      </c>
      <c r="AB98" s="2">
        <f>IF(TipoProgramaPersonalTecnico=1,$E98*'a)Plantilla'!$C36*Programa!D$34,IF(TipoProgramaPersonalTecnico=2,$E98*AB97,$E98/Hjor*AB97))</f>
        <v>0</v>
      </c>
      <c r="AC98" s="2">
        <f>IF(TipoProgramaPersonalTecnico=1,$E98*'a)Plantilla'!$C36*Programa!D$35,IF(TipoProgramaPersonalTecnico=2,$E98*AC97,$E98/Hjor*AC97))</f>
        <v>0</v>
      </c>
      <c r="AD98" s="12">
        <f>IF(TipoProgramaPersonalTecnico=1,$E98*'a)Plantilla'!$C36*Programa!D$36,IF(TipoProgramaPersonalTecnico=2,$E98*AD97,$E98/Hjor*AD97))</f>
        <v>0</v>
      </c>
      <c r="AE98" s="7">
        <f>IF(TipoProgramaPersonalTecnico=1,$E98*'a)Plantilla'!$C36*Programa!D$37,IF(TipoProgramaPersonalTecnico=2,$E98*AE97,$E98/Hjor*AE97))</f>
        <v>0</v>
      </c>
      <c r="AF98" s="2">
        <f>IF(TipoProgramaPersonalTecnico=1,$E98*'a)Plantilla'!$C36*Programa!D$38,IF(TipoProgramaPersonalTecnico=2,$E98*AF97,$E98/Hjor*AF97))</f>
        <v>0</v>
      </c>
      <c r="AG98" s="2">
        <f>IF(TipoProgramaPersonalTecnico=1,$E98*'a)Plantilla'!$C36*Programa!D$39,IF(TipoProgramaPersonalTecnico=2,$E98*AG97,$E98/Hjor*AG97))</f>
        <v>0</v>
      </c>
      <c r="AH98" s="2">
        <f>IF(TipoProgramaPersonalTecnico=1,$E98*'a)Plantilla'!$C36*Programa!D$40,IF(TipoProgramaPersonalTecnico=2,$E98*AH97,$E98/Hjor*AH97))</f>
        <v>0</v>
      </c>
      <c r="AI98" s="2">
        <f>IF(TipoProgramaPersonalTecnico=1,$E98*'a)Plantilla'!$C36*Programa!D$41,IF(TipoProgramaPersonalTecnico=2,$E98*AI97,$E98/Hjor*AI97))</f>
        <v>0</v>
      </c>
      <c r="AJ98" s="2">
        <f>IF(TipoProgramaPersonalTecnico=1,$E98*'a)Plantilla'!$C36*Programa!D$42,IF(TipoProgramaPersonalTecnico=2,$E98*AJ97,$E98/Hjor*AJ97))</f>
        <v>0</v>
      </c>
      <c r="AK98" s="2">
        <f>IF(TipoProgramaPersonalTecnico=1,$E98*'a)Plantilla'!$C36*Programa!D$43,IF(TipoProgramaPersonalTecnico=2,$E98*AK97,$E98/Hjor*AK97))</f>
        <v>0</v>
      </c>
      <c r="AL98" s="2">
        <f>IF(TipoProgramaPersonalTecnico=1,$E98*'a)Plantilla'!$C36*Programa!D$44,IF(TipoProgramaPersonalTecnico=2,$E98*AL97,$E98/Hjor*AL97))</f>
        <v>0</v>
      </c>
      <c r="AM98" s="2">
        <f>IF(TipoProgramaPersonalTecnico=1,$E98*'a)Plantilla'!$C36*Programa!D$45,IF(TipoProgramaPersonalTecnico=2,$E98*AM97,$E98/Hjor*AM97))</f>
        <v>0</v>
      </c>
      <c r="AN98" s="2">
        <f>IF(TipoProgramaPersonalTecnico=1,$E98*'a)Plantilla'!$C36*Programa!D$46,IF(TipoProgramaPersonalTecnico=2,$E98*AN97,$E98/Hjor*AN97))</f>
        <v>0</v>
      </c>
      <c r="AO98" s="2">
        <f>IF(TipoProgramaPersonalTecnico=1,$E98*'a)Plantilla'!$C36*Programa!D$47,IF(TipoProgramaPersonalTecnico=2,$E98*AO97,$E98/Hjor*AO97))</f>
        <v>0</v>
      </c>
      <c r="AP98" s="12">
        <f>IF(TipoProgramaPersonalTecnico=1,$E98*'a)Plantilla'!$C36*Programa!D$48,IF(TipoProgramaPersonalTecnico=2,$E98*AP97,$E98/Hjor*AP97))</f>
        <v>0</v>
      </c>
      <c r="AQ98" s="7">
        <f>IF(TipoProgramaPersonalTecnico=1,$E98*'a)Plantilla'!$C36*Programa!D$49,IF(TipoProgramaPersonalTecnico=2,$E98*AQ97,$E98/Hjor*AQ97))</f>
        <v>0</v>
      </c>
      <c r="AR98" s="2">
        <f>IF(TipoProgramaPersonalTecnico=1,$E98*'a)Plantilla'!$C36*Programa!D$50,IF(TipoProgramaPersonalTecnico=2,$E98*AR97,$E98/Hjor*AR97))</f>
        <v>0</v>
      </c>
      <c r="AS98" s="2">
        <f>IF(TipoProgramaPersonalTecnico=1,$E98*'a)Plantilla'!$C36*Programa!D$51,IF(TipoProgramaPersonalTecnico=2,$E98*AS97,$E98/Hjor*AS97))</f>
        <v>0</v>
      </c>
      <c r="AT98" s="2">
        <f>IF(TipoProgramaPersonalTecnico=1,$E98*'a)Plantilla'!$C36*Programa!D$52,IF(TipoProgramaPersonalTecnico=2,$E98*AT97,$E98/Hjor*AT97))</f>
        <v>0</v>
      </c>
      <c r="AU98" s="2">
        <f>IF(TipoProgramaPersonalTecnico=1,$E98*'a)Plantilla'!$C36*Programa!D$53,IF(TipoProgramaPersonalTecnico=2,$E98*AU97,$E98/Hjor*AU97))</f>
        <v>0</v>
      </c>
      <c r="AV98" s="2">
        <f>IF(TipoProgramaPersonalTecnico=1,$E98*'a)Plantilla'!$C36*Programa!D$54,IF(TipoProgramaPersonalTecnico=2,$E98*AV97,$E98/Hjor*AV97))</f>
        <v>0</v>
      </c>
      <c r="AW98" s="2">
        <f>IF(TipoProgramaPersonalTecnico=1,$E98*'a)Plantilla'!$C36*Programa!D$55,IF(TipoProgramaPersonalTecnico=2,$E98*AW97,$E98/Hjor*AW97))</f>
        <v>0</v>
      </c>
      <c r="AX98" s="2">
        <f>IF(TipoProgramaPersonalTecnico=1,$E98*'a)Plantilla'!$C36*Programa!D$56,IF(TipoProgramaPersonalTecnico=2,$E98*AX97,$E98/Hjor*AX97))</f>
        <v>0</v>
      </c>
      <c r="AY98" s="2">
        <f>IF(TipoProgramaPersonalTecnico=1,$E98*'a)Plantilla'!$C36*Programa!D$57,IF(TipoProgramaPersonalTecnico=2,$E98*AY97,$E98/Hjor*AY97))</f>
        <v>0</v>
      </c>
      <c r="AZ98" s="2">
        <f>IF(TipoProgramaPersonalTecnico=1,$E98*'a)Plantilla'!$C36*Programa!D$58,IF(TipoProgramaPersonalTecnico=2,$E98*AZ97,$E98/Hjor*AZ97))</f>
        <v>0</v>
      </c>
      <c r="BA98" s="55">
        <f>IF(TipoProgramaPersonalTecnico=1,$E98*'a)Plantilla'!$C36*Programa!D$59,IF(TipoProgramaPersonalTecnico=2,$E98*BA97,$E98/Hjor*BA97))</f>
        <v>0</v>
      </c>
      <c r="BB98" s="56">
        <f>IF(TipoProgramaPersonalTecnico=1,$E98*'a)Plantilla'!$C36*Programa!D$60,IF(TipoProgramaPersonalTecnico=2,$E98*BB97,$E98/Hjor*BB97))</f>
        <v>0</v>
      </c>
      <c r="BC98" s="53">
        <f>IF(TipoProgramaPersonalTecnico=1,$E98*'a)Plantilla'!$C36*Programa!D$61,IF(TipoProgramaPersonalTecnico=2,$E98*BC97,$E98/Hjor*BC97))</f>
        <v>0</v>
      </c>
      <c r="BD98" s="2">
        <f>IF(TipoProgramaPersonalTecnico=1,$E98*'a)Plantilla'!$C36*Programa!D$62,IF(TipoProgramaPersonalTecnico=2,$E98*BD97,$E98/Hjor*BD97))</f>
        <v>0</v>
      </c>
      <c r="BE98" s="2">
        <f>IF(TipoProgramaPersonalTecnico=1,$E98*'a)Plantilla'!$C36*Programa!D$63,IF(TipoProgramaPersonalTecnico=2,$E98*BE97,$E98/Hjor*BE97))</f>
        <v>0</v>
      </c>
      <c r="BF98" s="2">
        <f>IF(TipoProgramaPersonalTecnico=1,$E98*'a)Plantilla'!$C36*Programa!D$64,IF(TipoProgramaPersonalTecnico=2,$E98*BF97,$E98/Hjor*BF97))</f>
        <v>0</v>
      </c>
      <c r="BG98" s="2">
        <f>IF(TipoProgramaPersonalTecnico=1,$E98*'a)Plantilla'!$C36*Programa!D$65,IF(TipoProgramaPersonalTecnico=2,$E98*BG97,$E98/Hjor*BG97))</f>
        <v>0</v>
      </c>
      <c r="BH98" s="2">
        <f>IF(TipoProgramaPersonalTecnico=1,$E98*'a)Plantilla'!$C36*Programa!D$66,IF(TipoProgramaPersonalTecnico=2,$E98*BH97,$E98/Hjor*BH97))</f>
        <v>0</v>
      </c>
      <c r="BI98" s="2">
        <f>IF(TipoProgramaPersonalTecnico=1,$E98*'a)Plantilla'!$C36*Programa!D$67,IF(TipoProgramaPersonalTecnico=2,$E98*BI97,$E98/Hjor*BI97))</f>
        <v>0</v>
      </c>
      <c r="BJ98" s="2">
        <f>IF(TipoProgramaPersonalTecnico=1,$E98*'a)Plantilla'!$C36*Programa!D$68,IF(TipoProgramaPersonalTecnico=2,$E98*BJ97,$E98/Hjor*BJ97))</f>
        <v>0</v>
      </c>
      <c r="BK98" s="2">
        <f>IF(TipoProgramaPersonalTecnico=1,$E98*'a)Plantilla'!$C36*Programa!D$69,IF(TipoProgramaPersonalTecnico=2,$E98*BK97,$E98/Hjor*BK97))</f>
        <v>0</v>
      </c>
      <c r="BL98" s="2">
        <f>IF(TipoProgramaPersonalTecnico=1,$E98*'a)Plantilla'!$C36*Programa!D$70,IF(TipoProgramaPersonalTecnico=2,$E98*BL97,$E98/Hjor*BL97))</f>
        <v>0</v>
      </c>
      <c r="BM98" s="2">
        <f>IF(TipoProgramaPersonalTecnico=1,$E98*'a)Plantilla'!$C36*Programa!D$71,IF(TipoProgramaPersonalTecnico=2,$E98*BM97,$E98/Hjor*BM97))</f>
        <v>0</v>
      </c>
      <c r="BN98" s="12">
        <f>IF(TipoProgramaPersonalTecnico=1,$E98*'a)Plantilla'!$C36*Programa!D$72,IF(TipoProgramaPersonalTecnico=2,$E98*BN97,$E98/Hjor*BN97))</f>
        <v>0</v>
      </c>
    </row>
    <row r="99" spans="1:66" ht="7.5" customHeight="1">
      <c r="A99" s="67"/>
      <c r="B99" s="19"/>
      <c r="C99" s="127"/>
      <c r="D99" s="54"/>
      <c r="E99" s="19"/>
      <c r="F99" s="19"/>
      <c r="G99" s="1" t="s">
        <v>168</v>
      </c>
      <c r="H99" s="1" t="s">
        <v>168</v>
      </c>
      <c r="I99" s="1" t="s">
        <v>168</v>
      </c>
      <c r="J99" s="1" t="s">
        <v>168</v>
      </c>
      <c r="K99" s="1" t="s">
        <v>168</v>
      </c>
      <c r="L99" s="1" t="s">
        <v>168</v>
      </c>
      <c r="M99" s="1" t="s">
        <v>168</v>
      </c>
      <c r="N99" s="1" t="s">
        <v>168</v>
      </c>
      <c r="O99" s="1" t="s">
        <v>168</v>
      </c>
      <c r="P99" s="1" t="s">
        <v>168</v>
      </c>
      <c r="Q99" s="1" t="s">
        <v>168</v>
      </c>
      <c r="R99" s="8" t="s">
        <v>168</v>
      </c>
      <c r="S99" s="13" t="s">
        <v>168</v>
      </c>
      <c r="T99" s="1" t="s">
        <v>168</v>
      </c>
      <c r="U99" s="1" t="s">
        <v>168</v>
      </c>
      <c r="V99" s="1" t="s">
        <v>168</v>
      </c>
      <c r="W99" s="1" t="s">
        <v>168</v>
      </c>
      <c r="X99" s="1" t="s">
        <v>168</v>
      </c>
      <c r="Y99" s="1" t="s">
        <v>168</v>
      </c>
      <c r="Z99" s="1" t="s">
        <v>168</v>
      </c>
      <c r="AA99" s="1" t="s">
        <v>168</v>
      </c>
      <c r="AB99" s="1" t="s">
        <v>168</v>
      </c>
      <c r="AC99" s="1" t="s">
        <v>168</v>
      </c>
      <c r="AD99" s="8" t="s">
        <v>168</v>
      </c>
      <c r="AE99" s="13" t="s">
        <v>168</v>
      </c>
      <c r="AF99" s="1" t="s">
        <v>168</v>
      </c>
      <c r="AG99" s="1" t="s">
        <v>168</v>
      </c>
      <c r="AH99" s="1" t="s">
        <v>168</v>
      </c>
      <c r="AI99" s="1" t="s">
        <v>168</v>
      </c>
      <c r="AJ99" s="1" t="s">
        <v>168</v>
      </c>
      <c r="AK99" s="1" t="s">
        <v>168</v>
      </c>
      <c r="AL99" s="1" t="s">
        <v>168</v>
      </c>
      <c r="AM99" s="1" t="s">
        <v>168</v>
      </c>
      <c r="AN99" s="1" t="s">
        <v>168</v>
      </c>
      <c r="AO99" s="1" t="s">
        <v>168</v>
      </c>
      <c r="AP99" s="8" t="s">
        <v>168</v>
      </c>
      <c r="AQ99" s="13" t="s">
        <v>168</v>
      </c>
      <c r="AR99" s="1" t="s">
        <v>168</v>
      </c>
      <c r="AS99" s="1" t="s">
        <v>168</v>
      </c>
      <c r="AT99" s="1" t="s">
        <v>168</v>
      </c>
      <c r="AU99" s="1" t="s">
        <v>168</v>
      </c>
      <c r="AV99" s="1" t="s">
        <v>168</v>
      </c>
      <c r="AW99" s="1" t="s">
        <v>168</v>
      </c>
      <c r="AX99" s="1" t="s">
        <v>168</v>
      </c>
      <c r="AY99" s="1" t="s">
        <v>168</v>
      </c>
      <c r="AZ99" s="1" t="s">
        <v>168</v>
      </c>
      <c r="BA99" s="1" t="s">
        <v>168</v>
      </c>
      <c r="BB99" s="8" t="s">
        <v>168</v>
      </c>
      <c r="BC99" s="13" t="s">
        <v>168</v>
      </c>
      <c r="BD99" s="1" t="s">
        <v>168</v>
      </c>
      <c r="BE99" s="1" t="s">
        <v>168</v>
      </c>
      <c r="BF99" s="1" t="s">
        <v>168</v>
      </c>
      <c r="BG99" s="1" t="s">
        <v>168</v>
      </c>
      <c r="BH99" s="1" t="s">
        <v>168</v>
      </c>
      <c r="BI99" s="1" t="s">
        <v>168</v>
      </c>
      <c r="BJ99" s="1" t="s">
        <v>168</v>
      </c>
      <c r="BK99" s="1" t="s">
        <v>168</v>
      </c>
      <c r="BL99" s="1" t="s">
        <v>168</v>
      </c>
      <c r="BM99" s="1" t="s">
        <v>168</v>
      </c>
      <c r="BN99" s="8" t="s">
        <v>168</v>
      </c>
    </row>
    <row r="100" spans="1:66">
      <c r="A100" s="67"/>
      <c r="B100" s="46"/>
      <c r="C100" s="127"/>
      <c r="D100" s="52"/>
      <c r="E100" s="59"/>
      <c r="F100" s="59"/>
      <c r="G100" s="3">
        <f>'d)Pers.Técnico'!E73</f>
        <v>0</v>
      </c>
      <c r="H100" s="3">
        <f>'d)Pers.Técnico'!F73</f>
        <v>0</v>
      </c>
      <c r="I100" s="3">
        <f>'d)Pers.Técnico'!G73</f>
        <v>0</v>
      </c>
      <c r="J100" s="3">
        <f>'d)Pers.Técnico'!H73</f>
        <v>0</v>
      </c>
      <c r="K100" s="3">
        <f>'d)Pers.Técnico'!I73</f>
        <v>0</v>
      </c>
      <c r="L100" s="3">
        <f>'d)Pers.Técnico'!J73</f>
        <v>0</v>
      </c>
      <c r="M100" s="3">
        <f>'d)Pers.Técnico'!K73</f>
        <v>0</v>
      </c>
      <c r="N100" s="3">
        <f>'d)Pers.Técnico'!L73</f>
        <v>0</v>
      </c>
      <c r="O100" s="3">
        <f>'d)Pers.Técnico'!M73</f>
        <v>0</v>
      </c>
      <c r="P100" s="3">
        <f>'d)Pers.Técnico'!N73</f>
        <v>0</v>
      </c>
      <c r="Q100" s="3">
        <f>'d)Pers.Técnico'!O73</f>
        <v>0</v>
      </c>
      <c r="R100" s="14">
        <f>'d)Pers.Técnico'!P73</f>
        <v>0</v>
      </c>
      <c r="S100" s="20">
        <f>'d)Pers.Técnico'!Q73</f>
        <v>0</v>
      </c>
      <c r="T100" s="3">
        <f>'d)Pers.Técnico'!R73</f>
        <v>0</v>
      </c>
      <c r="U100" s="3">
        <f>'d)Pers.Técnico'!S73</f>
        <v>0</v>
      </c>
      <c r="V100" s="3">
        <f>'d)Pers.Técnico'!T73</f>
        <v>0</v>
      </c>
      <c r="W100" s="3">
        <f>'d)Pers.Técnico'!U73</f>
        <v>0</v>
      </c>
      <c r="X100" s="3">
        <f>'d)Pers.Técnico'!V73</f>
        <v>0</v>
      </c>
      <c r="Y100" s="3">
        <f>'d)Pers.Técnico'!W73</f>
        <v>0</v>
      </c>
      <c r="Z100" s="3">
        <f>'d)Pers.Técnico'!X73</f>
        <v>0</v>
      </c>
      <c r="AA100" s="3">
        <f>'d)Pers.Técnico'!Y73</f>
        <v>0</v>
      </c>
      <c r="AB100" s="3">
        <f>'d)Pers.Técnico'!Z73</f>
        <v>0</v>
      </c>
      <c r="AC100" s="3">
        <f>'d)Pers.Técnico'!AA73</f>
        <v>0</v>
      </c>
      <c r="AD100" s="14">
        <f>'d)Pers.Técnico'!AB73</f>
        <v>0</v>
      </c>
      <c r="AE100" s="20">
        <f>'d)Pers.Técnico'!AC73</f>
        <v>0</v>
      </c>
      <c r="AF100" s="3">
        <f>'d)Pers.Técnico'!AD73</f>
        <v>0</v>
      </c>
      <c r="AG100" s="3">
        <f>'d)Pers.Técnico'!AE73</f>
        <v>0</v>
      </c>
      <c r="AH100" s="3">
        <f>'d)Pers.Técnico'!AF73</f>
        <v>0</v>
      </c>
      <c r="AI100" s="3">
        <f>'d)Pers.Técnico'!AG73</f>
        <v>0</v>
      </c>
      <c r="AJ100" s="3">
        <f>'d)Pers.Técnico'!AH73</f>
        <v>0</v>
      </c>
      <c r="AK100" s="3">
        <f>'d)Pers.Técnico'!AI73</f>
        <v>0</v>
      </c>
      <c r="AL100" s="3">
        <f>'d)Pers.Técnico'!AJ73</f>
        <v>0</v>
      </c>
      <c r="AM100" s="3">
        <f>'d)Pers.Técnico'!AK73</f>
        <v>0</v>
      </c>
      <c r="AN100" s="3">
        <f>'d)Pers.Técnico'!AL73</f>
        <v>0</v>
      </c>
      <c r="AO100" s="3">
        <f>'d)Pers.Técnico'!AM73</f>
        <v>0</v>
      </c>
      <c r="AP100" s="14">
        <f>'d)Pers.Técnico'!AN73</f>
        <v>0</v>
      </c>
      <c r="AQ100" s="20">
        <f>'d)Pers.Técnico'!AO73</f>
        <v>0</v>
      </c>
      <c r="AR100" s="3">
        <f>'d)Pers.Técnico'!AP73</f>
        <v>0</v>
      </c>
      <c r="AS100" s="3">
        <f>'d)Pers.Técnico'!AQ73</f>
        <v>0</v>
      </c>
      <c r="AT100" s="3">
        <f>'d)Pers.Técnico'!AR73</f>
        <v>0</v>
      </c>
      <c r="AU100" s="3">
        <f>'d)Pers.Técnico'!AS73</f>
        <v>0</v>
      </c>
      <c r="AV100" s="3">
        <f>'d)Pers.Técnico'!AT73</f>
        <v>0</v>
      </c>
      <c r="AW100" s="3">
        <f>'d)Pers.Técnico'!AU73</f>
        <v>0</v>
      </c>
      <c r="AX100" s="3">
        <f>'d)Pers.Técnico'!AV73</f>
        <v>0</v>
      </c>
      <c r="AY100" s="3">
        <f>'d)Pers.Técnico'!AW73</f>
        <v>0</v>
      </c>
      <c r="AZ100" s="3">
        <f>'d)Pers.Técnico'!AX73</f>
        <v>0</v>
      </c>
      <c r="BA100" s="1">
        <f>'d)Pers.Técnico'!AY73</f>
        <v>0</v>
      </c>
      <c r="BB100" s="60">
        <f>'d)Pers.Técnico'!AZ73</f>
        <v>0</v>
      </c>
      <c r="BC100" s="61">
        <f>'d)Pers.Técnico'!BA73</f>
        <v>0</v>
      </c>
      <c r="BD100" s="3">
        <f>'d)Pers.Técnico'!BB73</f>
        <v>0</v>
      </c>
      <c r="BE100" s="3">
        <f>'d)Pers.Técnico'!BC73</f>
        <v>0</v>
      </c>
      <c r="BF100" s="3">
        <f>'d)Pers.Técnico'!BD73</f>
        <v>0</v>
      </c>
      <c r="BG100" s="3">
        <f>'d)Pers.Técnico'!BE73</f>
        <v>0</v>
      </c>
      <c r="BH100" s="3">
        <f>'d)Pers.Técnico'!BF73</f>
        <v>0</v>
      </c>
      <c r="BI100" s="3">
        <f>'d)Pers.Técnico'!BG73</f>
        <v>0</v>
      </c>
      <c r="BJ100" s="3">
        <f>'d)Pers.Técnico'!BH73</f>
        <v>0</v>
      </c>
      <c r="BK100" s="3">
        <f>'d)Pers.Técnico'!BI73</f>
        <v>0</v>
      </c>
      <c r="BL100" s="3">
        <f>'d)Pers.Técnico'!BJ73</f>
        <v>0</v>
      </c>
      <c r="BM100" s="3">
        <f>'d)Pers.Técnico'!BK73</f>
        <v>0</v>
      </c>
      <c r="BN100" s="14">
        <f>'d)Pers.Técnico'!BL73</f>
        <v>0</v>
      </c>
    </row>
    <row r="101" spans="1:66">
      <c r="A101" s="67"/>
      <c r="B101" s="46" t="str">
        <f>+'d)Pers.Técnico'!B73</f>
        <v/>
      </c>
      <c r="C101" s="197" t="str">
        <f>'d)Pers.Técnico'!C73</f>
        <v/>
      </c>
      <c r="D101" s="52">
        <f>SUM(G100:BN100)</f>
        <v>0</v>
      </c>
      <c r="E101" s="7">
        <f>IF('a)Plantilla'!C37&gt;0,'a)Plantilla'!D37/30,0)</f>
        <v>0</v>
      </c>
      <c r="F101" s="7">
        <f>SUM(G101:BN101)</f>
        <v>0</v>
      </c>
      <c r="G101" s="2">
        <f>IF(TipoProgramaPersonalTecnico=1,$E101*'a)Plantilla'!$C37*Programa!D$13,IF(TipoProgramaPersonalTecnico=2,$E101*G100,$E101/Hjor*G100))</f>
        <v>0</v>
      </c>
      <c r="H101" s="2">
        <f>IF(TipoProgramaPersonalTecnico=1,$E101*'a)Plantilla'!$C37*Programa!D$14,IF(TipoProgramaPersonalTecnico=2,$E101*H100,$E101/Hjor*H100))</f>
        <v>0</v>
      </c>
      <c r="I101" s="2">
        <f>IF(TipoProgramaPersonalTecnico=1,$E101*'a)Plantilla'!$C37*Programa!D$15,IF(TipoProgramaPersonalTecnico=2,$E101*I100,$E101/Hjor*I100))</f>
        <v>0</v>
      </c>
      <c r="J101" s="2">
        <f>IF(TipoProgramaPersonalTecnico=1,$E101*'a)Plantilla'!$C37*Programa!D$16,IF(TipoProgramaPersonalTecnico=2,$E101*J100,$E101/Hjor*J100))</f>
        <v>0</v>
      </c>
      <c r="K101" s="2">
        <f>IF(TipoProgramaPersonalTecnico=1,$E101*'a)Plantilla'!$C37*Programa!D$17,IF(TipoProgramaPersonalTecnico=2,$E101*K100,$E101/Hjor*K100))</f>
        <v>0</v>
      </c>
      <c r="L101" s="2">
        <f>IF(TipoProgramaPersonalTecnico=1,$E101*'a)Plantilla'!$C37*Programa!D$18,IF(TipoProgramaPersonalTecnico=2,$E101*L100,$E101/Hjor*L100))</f>
        <v>0</v>
      </c>
      <c r="M101" s="2">
        <f>IF(TipoProgramaPersonalTecnico=1,$E101*'a)Plantilla'!$C37*Programa!D$19,IF(TipoProgramaPersonalTecnico=2,$E101*M100,$E101/Hjor*M100))</f>
        <v>0</v>
      </c>
      <c r="N101" s="2">
        <f>IF(TipoProgramaPersonalTecnico=1,$E101*'a)Plantilla'!$C37*Programa!D$20,IF(TipoProgramaPersonalTecnico=2,$E101*N100,$E101/Hjor*N100))</f>
        <v>0</v>
      </c>
      <c r="O101" s="2">
        <f>IF(TipoProgramaPersonalTecnico=1,$E101*'a)Plantilla'!$C37*Programa!D$21,IF(TipoProgramaPersonalTecnico=2,$E101*O100,$E101/Hjor*O100))</f>
        <v>0</v>
      </c>
      <c r="P101" s="2">
        <f>IF(TipoProgramaPersonalTecnico=1,$E101*'a)Plantilla'!$C37*Programa!D$22,IF(TipoProgramaPersonalTecnico=2,$E101*P100,$E101/Hjor*P100))</f>
        <v>0</v>
      </c>
      <c r="Q101" s="2">
        <f>IF(TipoProgramaPersonalTecnico=1,$E101*'a)Plantilla'!$C37*Programa!D$23,IF(TipoProgramaPersonalTecnico=2,$E101*Q100,$E101/Hjor*Q100))</f>
        <v>0</v>
      </c>
      <c r="R101" s="12">
        <f>IF(TipoProgramaPersonalTecnico=1,$E101*'a)Plantilla'!$C37*Programa!D$24,IF(TipoProgramaPersonalTecnico=2,$E101*R100,$E101/Hjor*R100))</f>
        <v>0</v>
      </c>
      <c r="S101" s="7">
        <f>IF(TipoProgramaPersonalTecnico=1,$E101*'a)Plantilla'!$C37*Programa!D$25,IF(TipoProgramaPersonalTecnico=2,$E101*S100,$E101/Hjor*S100))</f>
        <v>0</v>
      </c>
      <c r="T101" s="2">
        <f>IF(TipoProgramaPersonalTecnico=1,$E101*'a)Plantilla'!$C37*Programa!D$26,IF(TipoProgramaPersonalTecnico=2,$E101*T100,$E101/Hjor*T100))</f>
        <v>0</v>
      </c>
      <c r="U101" s="2">
        <f>IF(TipoProgramaPersonalTecnico=1,$E101*'a)Plantilla'!$C37*Programa!D$27,IF(TipoProgramaPersonalTecnico=2,$E101*U100,$E101/Hjor*U100))</f>
        <v>0</v>
      </c>
      <c r="V101" s="2">
        <f>IF(TipoProgramaPersonalTecnico=1,$E101*'a)Plantilla'!$C37*Programa!D$28,IF(TipoProgramaPersonalTecnico=2,$E101*V100,$E101/Hjor*V100))</f>
        <v>0</v>
      </c>
      <c r="W101" s="2">
        <f>IF(TipoProgramaPersonalTecnico=1,$E101*'a)Plantilla'!$C37*Programa!D$29,IF(TipoProgramaPersonalTecnico=2,$E101*W100,$E101/Hjor*W100))</f>
        <v>0</v>
      </c>
      <c r="X101" s="2">
        <f>IF(TipoProgramaPersonalTecnico=1,$E101*'a)Plantilla'!$C37*Programa!D$30,IF(TipoProgramaPersonalTecnico=2,$E101*X100,$E101/Hjor*X100))</f>
        <v>0</v>
      </c>
      <c r="Y101" s="2">
        <f>IF(TipoProgramaPersonalTecnico=1,$E101*'a)Plantilla'!$C37*Programa!D$31,IF(TipoProgramaPersonalTecnico=2,$E101*Y100,$E101/Hjor*Y100))</f>
        <v>0</v>
      </c>
      <c r="Z101" s="2">
        <f>IF(TipoProgramaPersonalTecnico=1,$E101*'a)Plantilla'!$C37*Programa!D$32,IF(TipoProgramaPersonalTecnico=2,$E101*Z100,$E101/Hjor*Z100))</f>
        <v>0</v>
      </c>
      <c r="AA101" s="2">
        <f>IF(TipoProgramaPersonalTecnico=1,$E101*'a)Plantilla'!$C37*Programa!D$33,IF(TipoProgramaPersonalTecnico=2,$E101*AA100,$E101/Hjor*AA100))</f>
        <v>0</v>
      </c>
      <c r="AB101" s="2">
        <f>IF(TipoProgramaPersonalTecnico=1,$E101*'a)Plantilla'!$C37*Programa!D$34,IF(TipoProgramaPersonalTecnico=2,$E101*AB100,$E101/Hjor*AB100))</f>
        <v>0</v>
      </c>
      <c r="AC101" s="2">
        <f>IF(TipoProgramaPersonalTecnico=1,$E101*'a)Plantilla'!$C37*Programa!D$35,IF(TipoProgramaPersonalTecnico=2,$E101*AC100,$E101/Hjor*AC100))</f>
        <v>0</v>
      </c>
      <c r="AD101" s="12">
        <f>IF(TipoProgramaPersonalTecnico=1,$E101*'a)Plantilla'!$C37*Programa!D$36,IF(TipoProgramaPersonalTecnico=2,$E101*AD100,$E101/Hjor*AD100))</f>
        <v>0</v>
      </c>
      <c r="AE101" s="7">
        <f>IF(TipoProgramaPersonalTecnico=1,$E101*'a)Plantilla'!$C37*Programa!D$37,IF(TipoProgramaPersonalTecnico=2,$E101*AE100,$E101/Hjor*AE100))</f>
        <v>0</v>
      </c>
      <c r="AF101" s="2">
        <f>IF(TipoProgramaPersonalTecnico=1,$E101*'a)Plantilla'!$C37*Programa!D$38,IF(TipoProgramaPersonalTecnico=2,$E101*AF100,$E101/Hjor*AF100))</f>
        <v>0</v>
      </c>
      <c r="AG101" s="2">
        <f>IF(TipoProgramaPersonalTecnico=1,$E101*'a)Plantilla'!$C37*Programa!D$39,IF(TipoProgramaPersonalTecnico=2,$E101*AG100,$E101/Hjor*AG100))</f>
        <v>0</v>
      </c>
      <c r="AH101" s="2">
        <f>IF(TipoProgramaPersonalTecnico=1,$E101*'a)Plantilla'!$C37*Programa!D$40,IF(TipoProgramaPersonalTecnico=2,$E101*AH100,$E101/Hjor*AH100))</f>
        <v>0</v>
      </c>
      <c r="AI101" s="2">
        <f>IF(TipoProgramaPersonalTecnico=1,$E101*'a)Plantilla'!$C37*Programa!D$41,IF(TipoProgramaPersonalTecnico=2,$E101*AI100,$E101/Hjor*AI100))</f>
        <v>0</v>
      </c>
      <c r="AJ101" s="2">
        <f>IF(TipoProgramaPersonalTecnico=1,$E101*'a)Plantilla'!$C37*Programa!D$42,IF(TipoProgramaPersonalTecnico=2,$E101*AJ100,$E101/Hjor*AJ100))</f>
        <v>0</v>
      </c>
      <c r="AK101" s="2">
        <f>IF(TipoProgramaPersonalTecnico=1,$E101*'a)Plantilla'!$C37*Programa!D$43,IF(TipoProgramaPersonalTecnico=2,$E101*AK100,$E101/Hjor*AK100))</f>
        <v>0</v>
      </c>
      <c r="AL101" s="2">
        <f>IF(TipoProgramaPersonalTecnico=1,$E101*'a)Plantilla'!$C37*Programa!D$44,IF(TipoProgramaPersonalTecnico=2,$E101*AL100,$E101/Hjor*AL100))</f>
        <v>0</v>
      </c>
      <c r="AM101" s="2">
        <f>IF(TipoProgramaPersonalTecnico=1,$E101*'a)Plantilla'!$C37*Programa!D$45,IF(TipoProgramaPersonalTecnico=2,$E101*AM100,$E101/Hjor*AM100))</f>
        <v>0</v>
      </c>
      <c r="AN101" s="2">
        <f>IF(TipoProgramaPersonalTecnico=1,$E101*'a)Plantilla'!$C37*Programa!D$46,IF(TipoProgramaPersonalTecnico=2,$E101*AN100,$E101/Hjor*AN100))</f>
        <v>0</v>
      </c>
      <c r="AO101" s="2">
        <f>IF(TipoProgramaPersonalTecnico=1,$E101*'a)Plantilla'!$C37*Programa!D$47,IF(TipoProgramaPersonalTecnico=2,$E101*AO100,$E101/Hjor*AO100))</f>
        <v>0</v>
      </c>
      <c r="AP101" s="12">
        <f>IF(TipoProgramaPersonalTecnico=1,$E101*'a)Plantilla'!$C37*Programa!D$48,IF(TipoProgramaPersonalTecnico=2,$E101*AP100,$E101/Hjor*AP100))</f>
        <v>0</v>
      </c>
      <c r="AQ101" s="7">
        <f>IF(TipoProgramaPersonalTecnico=1,$E101*'a)Plantilla'!$C37*Programa!D$49,IF(TipoProgramaPersonalTecnico=2,$E101*AQ100,$E101/Hjor*AQ100))</f>
        <v>0</v>
      </c>
      <c r="AR101" s="2">
        <f>IF(TipoProgramaPersonalTecnico=1,$E101*'a)Plantilla'!$C37*Programa!D$50,IF(TipoProgramaPersonalTecnico=2,$E101*AR100,$E101/Hjor*AR100))</f>
        <v>0</v>
      </c>
      <c r="AS101" s="2">
        <f>IF(TipoProgramaPersonalTecnico=1,$E101*'a)Plantilla'!$C37*Programa!D$51,IF(TipoProgramaPersonalTecnico=2,$E101*AS100,$E101/Hjor*AS100))</f>
        <v>0</v>
      </c>
      <c r="AT101" s="2">
        <f>IF(TipoProgramaPersonalTecnico=1,$E101*'a)Plantilla'!$C37*Programa!D$52,IF(TipoProgramaPersonalTecnico=2,$E101*AT100,$E101/Hjor*AT100))</f>
        <v>0</v>
      </c>
      <c r="AU101" s="2">
        <f>IF(TipoProgramaPersonalTecnico=1,$E101*'a)Plantilla'!$C37*Programa!D$53,IF(TipoProgramaPersonalTecnico=2,$E101*AU100,$E101/Hjor*AU100))</f>
        <v>0</v>
      </c>
      <c r="AV101" s="2">
        <f>IF(TipoProgramaPersonalTecnico=1,$E101*'a)Plantilla'!$C37*Programa!D$54,IF(TipoProgramaPersonalTecnico=2,$E101*AV100,$E101/Hjor*AV100))</f>
        <v>0</v>
      </c>
      <c r="AW101" s="2">
        <f>IF(TipoProgramaPersonalTecnico=1,$E101*'a)Plantilla'!$C37*Programa!D$55,IF(TipoProgramaPersonalTecnico=2,$E101*AW100,$E101/Hjor*AW100))</f>
        <v>0</v>
      </c>
      <c r="AX101" s="2">
        <f>IF(TipoProgramaPersonalTecnico=1,$E101*'a)Plantilla'!$C37*Programa!D$56,IF(TipoProgramaPersonalTecnico=2,$E101*AX100,$E101/Hjor*AX100))</f>
        <v>0</v>
      </c>
      <c r="AY101" s="2">
        <f>IF(TipoProgramaPersonalTecnico=1,$E101*'a)Plantilla'!$C37*Programa!D$57,IF(TipoProgramaPersonalTecnico=2,$E101*AY100,$E101/Hjor*AY100))</f>
        <v>0</v>
      </c>
      <c r="AZ101" s="2">
        <f>IF(TipoProgramaPersonalTecnico=1,$E101*'a)Plantilla'!$C37*Programa!D$58,IF(TipoProgramaPersonalTecnico=2,$E101*AZ100,$E101/Hjor*AZ100))</f>
        <v>0</v>
      </c>
      <c r="BA101" s="55">
        <f>IF(TipoProgramaPersonalTecnico=1,$E101*'a)Plantilla'!$C37*Programa!D$59,IF(TipoProgramaPersonalTecnico=2,$E101*BA100,$E101/Hjor*BA100))</f>
        <v>0</v>
      </c>
      <c r="BB101" s="56">
        <f>IF(TipoProgramaPersonalTecnico=1,$E101*'a)Plantilla'!$C37*Programa!D$60,IF(TipoProgramaPersonalTecnico=2,$E101*BB100,$E101/Hjor*BB100))</f>
        <v>0</v>
      </c>
      <c r="BC101" s="53">
        <f>IF(TipoProgramaPersonalTecnico=1,$E101*'a)Plantilla'!$C37*Programa!D$61,IF(TipoProgramaPersonalTecnico=2,$E101*BC100,$E101/Hjor*BC100))</f>
        <v>0</v>
      </c>
      <c r="BD101" s="2">
        <f>IF(TipoProgramaPersonalTecnico=1,$E101*'a)Plantilla'!$C37*Programa!D$62,IF(TipoProgramaPersonalTecnico=2,$E101*BD100,$E101/Hjor*BD100))</f>
        <v>0</v>
      </c>
      <c r="BE101" s="2">
        <f>IF(TipoProgramaPersonalTecnico=1,$E101*'a)Plantilla'!$C37*Programa!D$63,IF(TipoProgramaPersonalTecnico=2,$E101*BE100,$E101/Hjor*BE100))</f>
        <v>0</v>
      </c>
      <c r="BF101" s="2">
        <f>IF(TipoProgramaPersonalTecnico=1,$E101*'a)Plantilla'!$C37*Programa!D$64,IF(TipoProgramaPersonalTecnico=2,$E101*BF100,$E101/Hjor*BF100))</f>
        <v>0</v>
      </c>
      <c r="BG101" s="2">
        <f>IF(TipoProgramaPersonalTecnico=1,$E101*'a)Plantilla'!$C37*Programa!D$65,IF(TipoProgramaPersonalTecnico=2,$E101*BG100,$E101/Hjor*BG100))</f>
        <v>0</v>
      </c>
      <c r="BH101" s="2">
        <f>IF(TipoProgramaPersonalTecnico=1,$E101*'a)Plantilla'!$C37*Programa!D$66,IF(TipoProgramaPersonalTecnico=2,$E101*BH100,$E101/Hjor*BH100))</f>
        <v>0</v>
      </c>
      <c r="BI101" s="2">
        <f>IF(TipoProgramaPersonalTecnico=1,$E101*'a)Plantilla'!$C37*Programa!D$67,IF(TipoProgramaPersonalTecnico=2,$E101*BI100,$E101/Hjor*BI100))</f>
        <v>0</v>
      </c>
      <c r="BJ101" s="2">
        <f>IF(TipoProgramaPersonalTecnico=1,$E101*'a)Plantilla'!$C37*Programa!D$68,IF(TipoProgramaPersonalTecnico=2,$E101*BJ100,$E101/Hjor*BJ100))</f>
        <v>0</v>
      </c>
      <c r="BK101" s="2">
        <f>IF(TipoProgramaPersonalTecnico=1,$E101*'a)Plantilla'!$C37*Programa!D$69,IF(TipoProgramaPersonalTecnico=2,$E101*BK100,$E101/Hjor*BK100))</f>
        <v>0</v>
      </c>
      <c r="BL101" s="2">
        <f>IF(TipoProgramaPersonalTecnico=1,$E101*'a)Plantilla'!$C37*Programa!D$70,IF(TipoProgramaPersonalTecnico=2,$E101*BL100,$E101/Hjor*BL100))</f>
        <v>0</v>
      </c>
      <c r="BM101" s="2">
        <f>IF(TipoProgramaPersonalTecnico=1,$E101*'a)Plantilla'!$C37*Programa!D$71,IF(TipoProgramaPersonalTecnico=2,$E101*BM100,$E101/Hjor*BM100))</f>
        <v>0</v>
      </c>
      <c r="BN101" s="12">
        <f>IF(TipoProgramaPersonalTecnico=1,$E101*'a)Plantilla'!$C37*Programa!D$72,IF(TipoProgramaPersonalTecnico=2,$E101*BN100,$E101/Hjor*BN100))</f>
        <v>0</v>
      </c>
    </row>
    <row r="102" spans="1:66" ht="7.5" customHeight="1">
      <c r="A102" s="67"/>
      <c r="B102" s="19"/>
      <c r="C102" s="127"/>
      <c r="D102" s="54"/>
      <c r="E102" s="19"/>
      <c r="F102" s="19"/>
      <c r="G102" s="1" t="s">
        <v>168</v>
      </c>
      <c r="H102" s="1" t="s">
        <v>168</v>
      </c>
      <c r="I102" s="1" t="s">
        <v>168</v>
      </c>
      <c r="J102" s="1" t="s">
        <v>168</v>
      </c>
      <c r="K102" s="1" t="s">
        <v>168</v>
      </c>
      <c r="L102" s="1" t="s">
        <v>168</v>
      </c>
      <c r="M102" s="1" t="s">
        <v>168</v>
      </c>
      <c r="N102" s="1" t="s">
        <v>168</v>
      </c>
      <c r="O102" s="1" t="s">
        <v>168</v>
      </c>
      <c r="P102" s="1" t="s">
        <v>168</v>
      </c>
      <c r="Q102" s="1" t="s">
        <v>168</v>
      </c>
      <c r="R102" s="8" t="s">
        <v>168</v>
      </c>
      <c r="S102" s="13" t="s">
        <v>168</v>
      </c>
      <c r="T102" s="1" t="s">
        <v>168</v>
      </c>
      <c r="U102" s="1" t="s">
        <v>168</v>
      </c>
      <c r="V102" s="1" t="s">
        <v>168</v>
      </c>
      <c r="W102" s="1" t="s">
        <v>168</v>
      </c>
      <c r="X102" s="1" t="s">
        <v>168</v>
      </c>
      <c r="Y102" s="1" t="s">
        <v>168</v>
      </c>
      <c r="Z102" s="1" t="s">
        <v>168</v>
      </c>
      <c r="AA102" s="1" t="s">
        <v>168</v>
      </c>
      <c r="AB102" s="1" t="s">
        <v>168</v>
      </c>
      <c r="AC102" s="1" t="s">
        <v>168</v>
      </c>
      <c r="AD102" s="8" t="s">
        <v>168</v>
      </c>
      <c r="AE102" s="13" t="s">
        <v>168</v>
      </c>
      <c r="AF102" s="1" t="s">
        <v>168</v>
      </c>
      <c r="AG102" s="1" t="s">
        <v>168</v>
      </c>
      <c r="AH102" s="1" t="s">
        <v>168</v>
      </c>
      <c r="AI102" s="1" t="s">
        <v>168</v>
      </c>
      <c r="AJ102" s="1" t="s">
        <v>168</v>
      </c>
      <c r="AK102" s="1" t="s">
        <v>168</v>
      </c>
      <c r="AL102" s="1" t="s">
        <v>168</v>
      </c>
      <c r="AM102" s="1" t="s">
        <v>168</v>
      </c>
      <c r="AN102" s="1" t="s">
        <v>168</v>
      </c>
      <c r="AO102" s="1" t="s">
        <v>168</v>
      </c>
      <c r="AP102" s="8" t="s">
        <v>168</v>
      </c>
      <c r="AQ102" s="13" t="s">
        <v>168</v>
      </c>
      <c r="AR102" s="1" t="s">
        <v>168</v>
      </c>
      <c r="AS102" s="1" t="s">
        <v>168</v>
      </c>
      <c r="AT102" s="1" t="s">
        <v>168</v>
      </c>
      <c r="AU102" s="1" t="s">
        <v>168</v>
      </c>
      <c r="AV102" s="1" t="s">
        <v>168</v>
      </c>
      <c r="AW102" s="1" t="s">
        <v>168</v>
      </c>
      <c r="AX102" s="1" t="s">
        <v>168</v>
      </c>
      <c r="AY102" s="1" t="s">
        <v>168</v>
      </c>
      <c r="AZ102" s="1" t="s">
        <v>168</v>
      </c>
      <c r="BA102" s="1" t="s">
        <v>168</v>
      </c>
      <c r="BB102" s="8" t="s">
        <v>168</v>
      </c>
      <c r="BC102" s="13" t="s">
        <v>168</v>
      </c>
      <c r="BD102" s="1" t="s">
        <v>168</v>
      </c>
      <c r="BE102" s="1" t="s">
        <v>168</v>
      </c>
      <c r="BF102" s="1" t="s">
        <v>168</v>
      </c>
      <c r="BG102" s="1" t="s">
        <v>168</v>
      </c>
      <c r="BH102" s="1" t="s">
        <v>168</v>
      </c>
      <c r="BI102" s="1" t="s">
        <v>168</v>
      </c>
      <c r="BJ102" s="1" t="s">
        <v>168</v>
      </c>
      <c r="BK102" s="1" t="s">
        <v>168</v>
      </c>
      <c r="BL102" s="1" t="s">
        <v>168</v>
      </c>
      <c r="BM102" s="1" t="s">
        <v>168</v>
      </c>
      <c r="BN102" s="8" t="s">
        <v>168</v>
      </c>
    </row>
    <row r="103" spans="1:66">
      <c r="A103" s="194"/>
      <c r="B103" s="136" t="s">
        <v>168</v>
      </c>
      <c r="C103" s="296"/>
      <c r="D103" s="287"/>
      <c r="E103" s="267" t="s">
        <v>152</v>
      </c>
      <c r="F103" s="80">
        <f>F101+F98+F95+F92+F89+F86</f>
        <v>3750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77"/>
      <c r="S103" s="8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77"/>
      <c r="AE103" s="8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77"/>
      <c r="AQ103" s="80"/>
      <c r="AR103" s="10"/>
      <c r="AS103" s="10"/>
      <c r="AT103" s="10"/>
      <c r="AU103" s="10"/>
      <c r="AV103" s="10"/>
      <c r="AW103" s="10"/>
      <c r="AX103" s="10"/>
      <c r="AY103" s="10"/>
      <c r="AZ103" s="10"/>
      <c r="BA103" s="241"/>
      <c r="BB103" s="51"/>
      <c r="BC103" s="199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77"/>
    </row>
    <row r="104" spans="1:66">
      <c r="A104" s="214" t="str">
        <f>'d)Pers.Técnico'!A74</f>
        <v>Personal técnico incluye: Prestaciones</v>
      </c>
      <c r="B104" s="200"/>
      <c r="C104" s="321"/>
      <c r="D104" s="433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12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12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12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310"/>
      <c r="BB104" s="15"/>
      <c r="BC104" s="380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12"/>
    </row>
    <row r="105" spans="1:66">
      <c r="A105" s="178"/>
      <c r="B105" s="4"/>
      <c r="C105" s="228"/>
      <c r="D105" s="244"/>
      <c r="E105" s="162"/>
      <c r="F105" s="162"/>
      <c r="G105" s="18">
        <f>'d)Pers.Técnico'!E76</f>
        <v>0</v>
      </c>
      <c r="H105" s="18">
        <f>'d)Pers.Técnico'!F76</f>
        <v>0</v>
      </c>
      <c r="I105" s="18">
        <f>'d)Pers.Técnico'!G76</f>
        <v>0</v>
      </c>
      <c r="J105" s="18">
        <f>'d)Pers.Técnico'!H76</f>
        <v>0</v>
      </c>
      <c r="K105" s="18">
        <f>'d)Pers.Técnico'!I76</f>
        <v>0</v>
      </c>
      <c r="L105" s="18">
        <f>'d)Pers.Técnico'!J76</f>
        <v>0</v>
      </c>
      <c r="M105" s="18">
        <f>'d)Pers.Técnico'!K76</f>
        <v>0</v>
      </c>
      <c r="N105" s="18">
        <f>'d)Pers.Técnico'!L76</f>
        <v>0</v>
      </c>
      <c r="O105" s="18">
        <f>'d)Pers.Técnico'!M76</f>
        <v>0</v>
      </c>
      <c r="P105" s="18">
        <f>'d)Pers.Técnico'!N76</f>
        <v>0</v>
      </c>
      <c r="Q105" s="18">
        <f>'d)Pers.Técnico'!O76</f>
        <v>0</v>
      </c>
      <c r="R105" s="115">
        <f>'d)Pers.Técnico'!P76</f>
        <v>0</v>
      </c>
      <c r="S105" s="149">
        <f>'d)Pers.Técnico'!Q76</f>
        <v>0</v>
      </c>
      <c r="T105" s="18">
        <f>'d)Pers.Técnico'!R76</f>
        <v>0</v>
      </c>
      <c r="U105" s="18">
        <f>'d)Pers.Técnico'!S76</f>
        <v>0</v>
      </c>
      <c r="V105" s="18">
        <f>'d)Pers.Técnico'!T76</f>
        <v>0</v>
      </c>
      <c r="W105" s="18">
        <f>'d)Pers.Técnico'!U76</f>
        <v>0</v>
      </c>
      <c r="X105" s="18">
        <f>'d)Pers.Técnico'!V76</f>
        <v>0</v>
      </c>
      <c r="Y105" s="18">
        <f>'d)Pers.Técnico'!W76</f>
        <v>0</v>
      </c>
      <c r="Z105" s="18">
        <f>'d)Pers.Técnico'!X76</f>
        <v>0</v>
      </c>
      <c r="AA105" s="18">
        <f>'d)Pers.Técnico'!Y76</f>
        <v>0</v>
      </c>
      <c r="AB105" s="18">
        <f>'d)Pers.Técnico'!Z76</f>
        <v>0</v>
      </c>
      <c r="AC105" s="18">
        <f>'d)Pers.Técnico'!AA76</f>
        <v>0</v>
      </c>
      <c r="AD105" s="115">
        <f>'d)Pers.Técnico'!AB76</f>
        <v>0</v>
      </c>
      <c r="AE105" s="149">
        <f>'d)Pers.Técnico'!AC76</f>
        <v>0</v>
      </c>
      <c r="AF105" s="18">
        <f>'d)Pers.Técnico'!AD76</f>
        <v>0</v>
      </c>
      <c r="AG105" s="18">
        <f>'d)Pers.Técnico'!AE76</f>
        <v>0</v>
      </c>
      <c r="AH105" s="18">
        <f>'d)Pers.Técnico'!AF76</f>
        <v>0</v>
      </c>
      <c r="AI105" s="18">
        <f>'d)Pers.Técnico'!AG76</f>
        <v>0</v>
      </c>
      <c r="AJ105" s="18">
        <f>'d)Pers.Técnico'!AH76</f>
        <v>0</v>
      </c>
      <c r="AK105" s="18">
        <f>'d)Pers.Técnico'!AI76</f>
        <v>0</v>
      </c>
      <c r="AL105" s="18">
        <f>'d)Pers.Técnico'!AJ76</f>
        <v>0</v>
      </c>
      <c r="AM105" s="18">
        <f>'d)Pers.Técnico'!AK76</f>
        <v>0</v>
      </c>
      <c r="AN105" s="18">
        <f>'d)Pers.Técnico'!AL76</f>
        <v>0</v>
      </c>
      <c r="AO105" s="18">
        <f>'d)Pers.Técnico'!AM76</f>
        <v>0</v>
      </c>
      <c r="AP105" s="115">
        <f>'d)Pers.Técnico'!AN76</f>
        <v>0</v>
      </c>
      <c r="AQ105" s="149">
        <f>'d)Pers.Técnico'!AO76</f>
        <v>0</v>
      </c>
      <c r="AR105" s="18">
        <f>'d)Pers.Técnico'!AP76</f>
        <v>0</v>
      </c>
      <c r="AS105" s="18">
        <f>'d)Pers.Técnico'!AQ76</f>
        <v>0</v>
      </c>
      <c r="AT105" s="18">
        <f>'d)Pers.Técnico'!AR76</f>
        <v>0</v>
      </c>
      <c r="AU105" s="18">
        <f>'d)Pers.Técnico'!AS76</f>
        <v>0</v>
      </c>
      <c r="AV105" s="18">
        <f>'d)Pers.Técnico'!AT76</f>
        <v>0</v>
      </c>
      <c r="AW105" s="18">
        <f>'d)Pers.Técnico'!AU76</f>
        <v>0</v>
      </c>
      <c r="AX105" s="18">
        <f>'d)Pers.Técnico'!AV76</f>
        <v>0</v>
      </c>
      <c r="AY105" s="18">
        <f>'d)Pers.Técnico'!AW76</f>
        <v>0</v>
      </c>
      <c r="AZ105" s="18">
        <f>'d)Pers.Técnico'!AX76</f>
        <v>0</v>
      </c>
      <c r="BA105" s="45">
        <f>'d)Pers.Técnico'!AY76</f>
        <v>0</v>
      </c>
      <c r="BB105" s="360">
        <f>'d)Pers.Técnico'!AZ76</f>
        <v>0</v>
      </c>
      <c r="BC105" s="391">
        <f>'d)Pers.Técnico'!BA76</f>
        <v>0</v>
      </c>
      <c r="BD105" s="18">
        <f>'d)Pers.Técnico'!BB76</f>
        <v>0</v>
      </c>
      <c r="BE105" s="18">
        <f>'d)Pers.Técnico'!BC76</f>
        <v>0</v>
      </c>
      <c r="BF105" s="18">
        <f>'d)Pers.Técnico'!BD76</f>
        <v>0</v>
      </c>
      <c r="BG105" s="18">
        <f>'d)Pers.Técnico'!BE76</f>
        <v>0</v>
      </c>
      <c r="BH105" s="18">
        <f>'d)Pers.Técnico'!BF76</f>
        <v>0</v>
      </c>
      <c r="BI105" s="18">
        <f>'d)Pers.Técnico'!BG76</f>
        <v>0</v>
      </c>
      <c r="BJ105" s="18">
        <f>'d)Pers.Técnico'!BH76</f>
        <v>0</v>
      </c>
      <c r="BK105" s="18">
        <f>'d)Pers.Técnico'!BI76</f>
        <v>0</v>
      </c>
      <c r="BL105" s="18">
        <f>'d)Pers.Técnico'!BJ76</f>
        <v>0</v>
      </c>
      <c r="BM105" s="18">
        <f>'d)Pers.Técnico'!BK76</f>
        <v>0</v>
      </c>
      <c r="BN105" s="115">
        <f>'d)Pers.Técnico'!BL76</f>
        <v>0</v>
      </c>
    </row>
    <row r="106" spans="1:66">
      <c r="A106" s="67" t="s">
        <v>168</v>
      </c>
      <c r="B106" s="46" t="str">
        <f>+'d)Pers.Técnico'!B76</f>
        <v/>
      </c>
      <c r="C106" s="127" t="str">
        <f>'d)Pers.Técnico'!C76</f>
        <v/>
      </c>
      <c r="D106" s="52">
        <f>SUM(G105:BN105)</f>
        <v>0</v>
      </c>
      <c r="E106" s="7">
        <f>IF('a)Plantilla'!C38&gt;0,'a)Plantilla'!D38/30,0)</f>
        <v>0</v>
      </c>
      <c r="F106" s="7">
        <f>SUM(G106:BN106)</f>
        <v>0</v>
      </c>
      <c r="G106" s="2">
        <f>IF(TipoProgramaPersonalTecnico=1,$E106*'a)Plantilla'!$C38*Programa!D$13,IF(TipoProgramaPersonalTecnico=2,$E106*G105,$E106/Hjor*G105))</f>
        <v>0</v>
      </c>
      <c r="H106" s="2">
        <f>IF(TipoProgramaPersonalTecnico=1,$E106*'a)Plantilla'!$C38*Programa!D$14,IF(TipoProgramaPersonalTecnico=2,$E106*H105,$E106/Hjor*H105))</f>
        <v>0</v>
      </c>
      <c r="I106" s="2">
        <f>IF(TipoProgramaPersonalTecnico=1,$E106*'a)Plantilla'!$C38*Programa!D$15,IF(TipoProgramaPersonalTecnico=2,$E106*I105,$E106/Hjor*I105))</f>
        <v>0</v>
      </c>
      <c r="J106" s="2">
        <f>IF(TipoProgramaPersonalTecnico=1,$E106*'a)Plantilla'!$C38*Programa!D$16,IF(TipoProgramaPersonalTecnico=2,$E106*J105,$E106/Hjor*J105))</f>
        <v>0</v>
      </c>
      <c r="K106" s="2">
        <f>IF(TipoProgramaPersonalTecnico=1,$E106*'a)Plantilla'!$C38*Programa!D$17,IF(TipoProgramaPersonalTecnico=2,$E106*K105,$E106/Hjor*K105))</f>
        <v>0</v>
      </c>
      <c r="L106" s="2">
        <f>IF(TipoProgramaPersonalTecnico=1,$E106*'a)Plantilla'!$C38*Programa!D$18,IF(TipoProgramaPersonalTecnico=2,$E106*L105,$E106/Hjor*L105))</f>
        <v>0</v>
      </c>
      <c r="M106" s="2">
        <f>IF(TipoProgramaPersonalTecnico=1,$E106*'a)Plantilla'!$C38*Programa!D$19,IF(TipoProgramaPersonalTecnico=2,$E106*M105,$E106/Hjor*M105))</f>
        <v>0</v>
      </c>
      <c r="N106" s="2">
        <f>IF(TipoProgramaPersonalTecnico=1,$E106*'a)Plantilla'!$C38*Programa!D$20,IF(TipoProgramaPersonalTecnico=2,$E106*N105,$E106/Hjor*N105))</f>
        <v>0</v>
      </c>
      <c r="O106" s="2">
        <f>IF(TipoProgramaPersonalTecnico=1,$E106*'a)Plantilla'!$C38*Programa!D$21,IF(TipoProgramaPersonalTecnico=2,$E106*O105,$E106/Hjor*O105))</f>
        <v>0</v>
      </c>
      <c r="P106" s="2">
        <f>IF(TipoProgramaPersonalTecnico=1,$E106*'a)Plantilla'!$C38*Programa!D$22,IF(TipoProgramaPersonalTecnico=2,$E106*P105,$E106/Hjor*P105))</f>
        <v>0</v>
      </c>
      <c r="Q106" s="2">
        <f>IF(TipoProgramaPersonalTecnico=1,$E106*'a)Plantilla'!$C38*Programa!D$23,IF(TipoProgramaPersonalTecnico=2,$E106*Q105,$E106/Hjor*Q105))</f>
        <v>0</v>
      </c>
      <c r="R106" s="12">
        <f>IF(TipoProgramaPersonalTecnico=1,$E106*'a)Plantilla'!$C38*Programa!D$24,IF(TipoProgramaPersonalTecnico=2,$E106*R105,$E106/Hjor*R105))</f>
        <v>0</v>
      </c>
      <c r="S106" s="7">
        <f>IF(TipoProgramaPersonalTecnico=1,$E106*'a)Plantilla'!$C38*Programa!D$25,IF(TipoProgramaPersonalTecnico=2,$E106*S105,$E106/Hjor*S105))</f>
        <v>0</v>
      </c>
      <c r="T106" s="2">
        <f>IF(TipoProgramaPersonalTecnico=1,$E106*'a)Plantilla'!$C38*Programa!D$26,IF(TipoProgramaPersonalTecnico=2,$E106*T105,$E106/Hjor*T105))</f>
        <v>0</v>
      </c>
      <c r="U106" s="2">
        <f>IF(TipoProgramaPersonalTecnico=1,$E106*'a)Plantilla'!$C38*Programa!D$27,IF(TipoProgramaPersonalTecnico=2,$E106*U105,$E106/Hjor*U105))</f>
        <v>0</v>
      </c>
      <c r="V106" s="2">
        <f>IF(TipoProgramaPersonalTecnico=1,$E106*'a)Plantilla'!$C38*Programa!D$28,IF(TipoProgramaPersonalTecnico=2,$E106*V105,$E106/Hjor*V105))</f>
        <v>0</v>
      </c>
      <c r="W106" s="2">
        <f>IF(TipoProgramaPersonalTecnico=1,$E106*'a)Plantilla'!$C38*Programa!D$29,IF(TipoProgramaPersonalTecnico=2,$E106*W105,$E106/Hjor*W105))</f>
        <v>0</v>
      </c>
      <c r="X106" s="2">
        <f>IF(TipoProgramaPersonalTecnico=1,$E106*'a)Plantilla'!$C38*Programa!D$30,IF(TipoProgramaPersonalTecnico=2,$E106*X105,$E106/Hjor*X105))</f>
        <v>0</v>
      </c>
      <c r="Y106" s="2">
        <f>IF(TipoProgramaPersonalTecnico=1,$E106*'a)Plantilla'!$C38*Programa!D$31,IF(TipoProgramaPersonalTecnico=2,$E106*Y105,$E106/Hjor*Y105))</f>
        <v>0</v>
      </c>
      <c r="Z106" s="2">
        <f>IF(TipoProgramaPersonalTecnico=1,$E106*'a)Plantilla'!$C38*Programa!D$32,IF(TipoProgramaPersonalTecnico=2,$E106*Z105,$E106/Hjor*Z105))</f>
        <v>0</v>
      </c>
      <c r="AA106" s="2">
        <f>IF(TipoProgramaPersonalTecnico=1,$E106*'a)Plantilla'!$C38*Programa!D$33,IF(TipoProgramaPersonalTecnico=2,$E106*AA105,$E106/Hjor*AA105))</f>
        <v>0</v>
      </c>
      <c r="AB106" s="2">
        <f>IF(TipoProgramaPersonalTecnico=1,$E106*'a)Plantilla'!$C38*Programa!D$34,IF(TipoProgramaPersonalTecnico=2,$E106*AB105,$E106/Hjor*AB105))</f>
        <v>0</v>
      </c>
      <c r="AC106" s="2">
        <f>IF(TipoProgramaPersonalTecnico=1,$E106*'a)Plantilla'!$C38*Programa!D$35,IF(TipoProgramaPersonalTecnico=2,$E106*AC105,$E106/Hjor*AC105))</f>
        <v>0</v>
      </c>
      <c r="AD106" s="12">
        <f>IF(TipoProgramaPersonalTecnico=1,$E106*'a)Plantilla'!$C38*Programa!D$36,IF(TipoProgramaPersonalTecnico=2,$E106*AD105,$E106/Hjor*AD105))</f>
        <v>0</v>
      </c>
      <c r="AE106" s="7">
        <f>IF(TipoProgramaPersonalTecnico=1,$E106*'a)Plantilla'!$C38*Programa!D$37,IF(TipoProgramaPersonalTecnico=2,$E106*AE105,$E106/Hjor*AE105))</f>
        <v>0</v>
      </c>
      <c r="AF106" s="2">
        <f>IF(TipoProgramaPersonalTecnico=1,$E106*'a)Plantilla'!$C38*Programa!D$38,IF(TipoProgramaPersonalTecnico=2,$E106*AF105,$E106/Hjor*AF105))</f>
        <v>0</v>
      </c>
      <c r="AG106" s="2">
        <f>IF(TipoProgramaPersonalTecnico=1,$E106*'a)Plantilla'!$C38*Programa!D$39,IF(TipoProgramaPersonalTecnico=2,$E106*AG105,$E106/Hjor*AG105))</f>
        <v>0</v>
      </c>
      <c r="AH106" s="2">
        <f>IF(TipoProgramaPersonalTecnico=1,$E106*'a)Plantilla'!$C38*Programa!D$40,IF(TipoProgramaPersonalTecnico=2,$E106*AH105,$E106/Hjor*AH105))</f>
        <v>0</v>
      </c>
      <c r="AI106" s="2">
        <f>IF(TipoProgramaPersonalTecnico=1,$E106*'a)Plantilla'!$C38*Programa!D$41,IF(TipoProgramaPersonalTecnico=2,$E106*AI105,$E106/Hjor*AI105))</f>
        <v>0</v>
      </c>
      <c r="AJ106" s="2">
        <f>IF(TipoProgramaPersonalTecnico=1,$E106*'a)Plantilla'!$C38*Programa!D$42,IF(TipoProgramaPersonalTecnico=2,$E106*AJ105,$E106/Hjor*AJ105))</f>
        <v>0</v>
      </c>
      <c r="AK106" s="2">
        <f>IF(TipoProgramaPersonalTecnico=1,$E106*'a)Plantilla'!$C38*Programa!D$43,IF(TipoProgramaPersonalTecnico=2,$E106*AK105,$E106/Hjor*AK105))</f>
        <v>0</v>
      </c>
      <c r="AL106" s="2">
        <f>IF(TipoProgramaPersonalTecnico=1,$E106*'a)Plantilla'!$C38*Programa!D$44,IF(TipoProgramaPersonalTecnico=2,$E106*AL105,$E106/Hjor*AL105))</f>
        <v>0</v>
      </c>
      <c r="AM106" s="2">
        <f>IF(TipoProgramaPersonalTecnico=1,$E106*'a)Plantilla'!$C38*Programa!D$45,IF(TipoProgramaPersonalTecnico=2,$E106*AM105,$E106/Hjor*AM105))</f>
        <v>0</v>
      </c>
      <c r="AN106" s="2">
        <f>IF(TipoProgramaPersonalTecnico=1,$E106*'a)Plantilla'!$C38*Programa!D$46,IF(TipoProgramaPersonalTecnico=2,$E106*AN105,$E106/Hjor*AN105))</f>
        <v>0</v>
      </c>
      <c r="AO106" s="2">
        <f>IF(TipoProgramaPersonalTecnico=1,$E106*'a)Plantilla'!$C38*Programa!D$47,IF(TipoProgramaPersonalTecnico=2,$E106*AO105,$E106/Hjor*AO105))</f>
        <v>0</v>
      </c>
      <c r="AP106" s="12">
        <f>IF(TipoProgramaPersonalTecnico=1,$E106*'a)Plantilla'!$C38*Programa!D$48,IF(TipoProgramaPersonalTecnico=2,$E106*AP105,$E106/Hjor*AP105))</f>
        <v>0</v>
      </c>
      <c r="AQ106" s="7">
        <f>IF(TipoProgramaPersonalTecnico=1,$E106*'a)Plantilla'!$C38*Programa!D$49,IF(TipoProgramaPersonalTecnico=2,$E106*AQ105,$E106/Hjor*AQ105))</f>
        <v>0</v>
      </c>
      <c r="AR106" s="2">
        <f>IF(TipoProgramaPersonalTecnico=1,$E106*'a)Plantilla'!$C38*Programa!D$50,IF(TipoProgramaPersonalTecnico=2,$E106*AR105,$E106/Hjor*AR105))</f>
        <v>0</v>
      </c>
      <c r="AS106" s="2">
        <f>IF(TipoProgramaPersonalTecnico=1,$E106*'a)Plantilla'!$C38*Programa!D$51,IF(TipoProgramaPersonalTecnico=2,$E106*AS105,$E106/Hjor*AS105))</f>
        <v>0</v>
      </c>
      <c r="AT106" s="2">
        <f>IF(TipoProgramaPersonalTecnico=1,$E106*'a)Plantilla'!$C38*Programa!D$52,IF(TipoProgramaPersonalTecnico=2,$E106*AT105,$E106/Hjor*AT105))</f>
        <v>0</v>
      </c>
      <c r="AU106" s="2">
        <f>IF(TipoProgramaPersonalTecnico=1,$E106*'a)Plantilla'!$C38*Programa!D$53,IF(TipoProgramaPersonalTecnico=2,$E106*AU105,$E106/Hjor*AU105))</f>
        <v>0</v>
      </c>
      <c r="AV106" s="2">
        <f>IF(TipoProgramaPersonalTecnico=1,$E106*'a)Plantilla'!$C38*Programa!D$54,IF(TipoProgramaPersonalTecnico=2,$E106*AV105,$E106/Hjor*AV105))</f>
        <v>0</v>
      </c>
      <c r="AW106" s="2">
        <f>IF(TipoProgramaPersonalTecnico=1,$E106*'a)Plantilla'!$C38*Programa!D$55,IF(TipoProgramaPersonalTecnico=2,$E106*AW105,$E106/Hjor*AW105))</f>
        <v>0</v>
      </c>
      <c r="AX106" s="2">
        <f>IF(TipoProgramaPersonalTecnico=1,$E106*'a)Plantilla'!$C38*Programa!D$56,IF(TipoProgramaPersonalTecnico=2,$E106*AX105,$E106/Hjor*AX105))</f>
        <v>0</v>
      </c>
      <c r="AY106" s="2">
        <f>IF(TipoProgramaPersonalTecnico=1,$E106*'a)Plantilla'!$C38*Programa!D$57,IF(TipoProgramaPersonalTecnico=2,$E106*AY105,$E106/Hjor*AY105))</f>
        <v>0</v>
      </c>
      <c r="AZ106" s="2">
        <f>IF(TipoProgramaPersonalTecnico=1,$E106*'a)Plantilla'!$C38*Programa!D$58,IF(TipoProgramaPersonalTecnico=2,$E106*AZ105,$E106/Hjor*AZ105))</f>
        <v>0</v>
      </c>
      <c r="BA106" s="55">
        <f>IF(TipoProgramaPersonalTecnico=1,$E106*'a)Plantilla'!$C38*Programa!D$59,IF(TipoProgramaPersonalTecnico=2,$E106*BA105,$E106/Hjor*BA105))</f>
        <v>0</v>
      </c>
      <c r="BB106" s="56">
        <f>IF(TipoProgramaPersonalTecnico=1,$E106*'a)Plantilla'!$C38*Programa!D$60,IF(TipoProgramaPersonalTecnico=2,$E106*BB105,$E106/Hjor*BB105))</f>
        <v>0</v>
      </c>
      <c r="BC106" s="53">
        <f>IF(TipoProgramaPersonalTecnico=1,$E106*'a)Plantilla'!$C38*Programa!D$61,IF(TipoProgramaPersonalTecnico=2,$E106*BC105,$E106/Hjor*BC105))</f>
        <v>0</v>
      </c>
      <c r="BD106" s="2">
        <f>IF(TipoProgramaPersonalTecnico=1,$E106*'a)Plantilla'!$C38*Programa!D$62,IF(TipoProgramaPersonalTecnico=2,$E106*BD105,$E106/Hjor*BD105))</f>
        <v>0</v>
      </c>
      <c r="BE106" s="2">
        <f>IF(TipoProgramaPersonalTecnico=1,$E106*'a)Plantilla'!$C38*Programa!D$63,IF(TipoProgramaPersonalTecnico=2,$E106*BE105,$E106/Hjor*BE105))</f>
        <v>0</v>
      </c>
      <c r="BF106" s="2">
        <f>IF(TipoProgramaPersonalTecnico=1,$E106*'a)Plantilla'!$C38*Programa!D$64,IF(TipoProgramaPersonalTecnico=2,$E106*BF105,$E106/Hjor*BF105))</f>
        <v>0</v>
      </c>
      <c r="BG106" s="2">
        <f>IF(TipoProgramaPersonalTecnico=1,$E106*'a)Plantilla'!$C38*Programa!D$65,IF(TipoProgramaPersonalTecnico=2,$E106*BG105,$E106/Hjor*BG105))</f>
        <v>0</v>
      </c>
      <c r="BH106" s="2">
        <f>IF(TipoProgramaPersonalTecnico=1,$E106*'a)Plantilla'!$C38*Programa!D$66,IF(TipoProgramaPersonalTecnico=2,$E106*BH105,$E106/Hjor*BH105))</f>
        <v>0</v>
      </c>
      <c r="BI106" s="2">
        <f>IF(TipoProgramaPersonalTecnico=1,$E106*'a)Plantilla'!$C38*Programa!D$67,IF(TipoProgramaPersonalTecnico=2,$E106*BI105,$E106/Hjor*BI105))</f>
        <v>0</v>
      </c>
      <c r="BJ106" s="2">
        <f>IF(TipoProgramaPersonalTecnico=1,$E106*'a)Plantilla'!$C38*Programa!D$68,IF(TipoProgramaPersonalTecnico=2,$E106*BJ105,$E106/Hjor*BJ105))</f>
        <v>0</v>
      </c>
      <c r="BK106" s="2">
        <f>IF(TipoProgramaPersonalTecnico=1,$E106*'a)Plantilla'!$C38*Programa!D$69,IF(TipoProgramaPersonalTecnico=2,$E106*BK105,$E106/Hjor*BK105))</f>
        <v>0</v>
      </c>
      <c r="BL106" s="2">
        <f>IF(TipoProgramaPersonalTecnico=1,$E106*'a)Plantilla'!$C38*Programa!D$70,IF(TipoProgramaPersonalTecnico=2,$E106*BL105,$E106/Hjor*BL105))</f>
        <v>0</v>
      </c>
      <c r="BM106" s="2">
        <f>IF(TipoProgramaPersonalTecnico=1,$E106*'a)Plantilla'!$C38*Programa!D$71,IF(TipoProgramaPersonalTecnico=2,$E106*BM105,$E106/Hjor*BM105))</f>
        <v>0</v>
      </c>
      <c r="BN106" s="12">
        <f>IF(TipoProgramaPersonalTecnico=1,$E106*'a)Plantilla'!$C38*Programa!D$72,IF(TipoProgramaPersonalTecnico=2,$E106*BN105,$E106/Hjor*BN105))</f>
        <v>0</v>
      </c>
    </row>
    <row r="107" spans="1:66" ht="7.5" customHeight="1">
      <c r="A107" s="67"/>
      <c r="B107" s="19"/>
      <c r="C107" s="127"/>
      <c r="D107" s="54"/>
      <c r="E107" s="19"/>
      <c r="F107" s="19"/>
      <c r="G107" s="1" t="s">
        <v>168</v>
      </c>
      <c r="H107" s="1" t="s">
        <v>168</v>
      </c>
      <c r="I107" s="1" t="s">
        <v>168</v>
      </c>
      <c r="J107" s="1" t="s">
        <v>168</v>
      </c>
      <c r="K107" s="1" t="s">
        <v>168</v>
      </c>
      <c r="L107" s="1" t="s">
        <v>168</v>
      </c>
      <c r="M107" s="1" t="s">
        <v>168</v>
      </c>
      <c r="N107" s="1" t="s">
        <v>168</v>
      </c>
      <c r="O107" s="1" t="s">
        <v>168</v>
      </c>
      <c r="P107" s="1" t="s">
        <v>168</v>
      </c>
      <c r="Q107" s="1" t="s">
        <v>168</v>
      </c>
      <c r="R107" s="8" t="s">
        <v>168</v>
      </c>
      <c r="S107" s="13" t="s">
        <v>168</v>
      </c>
      <c r="T107" s="1" t="s">
        <v>168</v>
      </c>
      <c r="U107" s="1" t="s">
        <v>168</v>
      </c>
      <c r="V107" s="1" t="s">
        <v>168</v>
      </c>
      <c r="W107" s="1" t="s">
        <v>168</v>
      </c>
      <c r="X107" s="1" t="s">
        <v>168</v>
      </c>
      <c r="Y107" s="1" t="s">
        <v>168</v>
      </c>
      <c r="Z107" s="1" t="s">
        <v>168</v>
      </c>
      <c r="AA107" s="1" t="s">
        <v>168</v>
      </c>
      <c r="AB107" s="1" t="s">
        <v>168</v>
      </c>
      <c r="AC107" s="1" t="s">
        <v>168</v>
      </c>
      <c r="AD107" s="8" t="s">
        <v>168</v>
      </c>
      <c r="AE107" s="13" t="s">
        <v>168</v>
      </c>
      <c r="AF107" s="1" t="s">
        <v>168</v>
      </c>
      <c r="AG107" s="1" t="s">
        <v>168</v>
      </c>
      <c r="AH107" s="1" t="s">
        <v>168</v>
      </c>
      <c r="AI107" s="1" t="s">
        <v>168</v>
      </c>
      <c r="AJ107" s="1" t="s">
        <v>168</v>
      </c>
      <c r="AK107" s="1" t="s">
        <v>168</v>
      </c>
      <c r="AL107" s="1" t="s">
        <v>168</v>
      </c>
      <c r="AM107" s="1" t="s">
        <v>168</v>
      </c>
      <c r="AN107" s="1" t="s">
        <v>168</v>
      </c>
      <c r="AO107" s="1" t="s">
        <v>168</v>
      </c>
      <c r="AP107" s="8" t="s">
        <v>168</v>
      </c>
      <c r="AQ107" s="13" t="s">
        <v>168</v>
      </c>
      <c r="AR107" s="1" t="s">
        <v>168</v>
      </c>
      <c r="AS107" s="1" t="s">
        <v>168</v>
      </c>
      <c r="AT107" s="1" t="s">
        <v>168</v>
      </c>
      <c r="AU107" s="1" t="s">
        <v>168</v>
      </c>
      <c r="AV107" s="1" t="s">
        <v>168</v>
      </c>
      <c r="AW107" s="1" t="s">
        <v>168</v>
      </c>
      <c r="AX107" s="1" t="s">
        <v>168</v>
      </c>
      <c r="AY107" s="1" t="s">
        <v>168</v>
      </c>
      <c r="AZ107" s="1" t="s">
        <v>168</v>
      </c>
      <c r="BA107" s="1" t="s">
        <v>168</v>
      </c>
      <c r="BB107" s="8" t="s">
        <v>168</v>
      </c>
      <c r="BC107" s="13" t="s">
        <v>168</v>
      </c>
      <c r="BD107" s="1" t="s">
        <v>168</v>
      </c>
      <c r="BE107" s="1" t="s">
        <v>168</v>
      </c>
      <c r="BF107" s="1" t="s">
        <v>168</v>
      </c>
      <c r="BG107" s="1" t="s">
        <v>168</v>
      </c>
      <c r="BH107" s="1" t="s">
        <v>168</v>
      </c>
      <c r="BI107" s="1" t="s">
        <v>168</v>
      </c>
      <c r="BJ107" s="1" t="s">
        <v>168</v>
      </c>
      <c r="BK107" s="1" t="s">
        <v>168</v>
      </c>
      <c r="BL107" s="1" t="s">
        <v>168</v>
      </c>
      <c r="BM107" s="1" t="s">
        <v>168</v>
      </c>
      <c r="BN107" s="8" t="s">
        <v>168</v>
      </c>
    </row>
    <row r="108" spans="1:66">
      <c r="A108" s="67"/>
      <c r="B108" s="46"/>
      <c r="C108" s="127"/>
      <c r="D108" s="52"/>
      <c r="E108" s="7"/>
      <c r="F108" s="7"/>
      <c r="G108" s="3">
        <f>'d)Pers.Técnico'!E78</f>
        <v>6.4</v>
      </c>
      <c r="H108" s="3">
        <f>'d)Pers.Técnico'!F78</f>
        <v>12</v>
      </c>
      <c r="I108" s="3">
        <f>'d)Pers.Técnico'!G78</f>
        <v>11.6</v>
      </c>
      <c r="J108" s="3">
        <f>'d)Pers.Técnico'!H78</f>
        <v>0</v>
      </c>
      <c r="K108" s="3">
        <f>'d)Pers.Técnico'!I78</f>
        <v>0</v>
      </c>
      <c r="L108" s="3">
        <f>'d)Pers.Técnico'!J78</f>
        <v>0</v>
      </c>
      <c r="M108" s="3">
        <f>'d)Pers.Técnico'!K78</f>
        <v>0</v>
      </c>
      <c r="N108" s="3">
        <f>'d)Pers.Técnico'!L78</f>
        <v>0</v>
      </c>
      <c r="O108" s="3">
        <f>'d)Pers.Técnico'!M78</f>
        <v>0</v>
      </c>
      <c r="P108" s="3">
        <f>'d)Pers.Técnico'!N78</f>
        <v>0</v>
      </c>
      <c r="Q108" s="3">
        <f>'d)Pers.Técnico'!O78</f>
        <v>0</v>
      </c>
      <c r="R108" s="14">
        <f>'d)Pers.Técnico'!P78</f>
        <v>0</v>
      </c>
      <c r="S108" s="20">
        <f>'d)Pers.Técnico'!Q78</f>
        <v>0</v>
      </c>
      <c r="T108" s="3">
        <f>'d)Pers.Técnico'!R78</f>
        <v>0</v>
      </c>
      <c r="U108" s="3">
        <f>'d)Pers.Técnico'!S78</f>
        <v>0</v>
      </c>
      <c r="V108" s="3">
        <f>'d)Pers.Técnico'!T78</f>
        <v>0</v>
      </c>
      <c r="W108" s="3">
        <f>'d)Pers.Técnico'!U78</f>
        <v>0</v>
      </c>
      <c r="X108" s="3">
        <f>'d)Pers.Técnico'!V78</f>
        <v>0</v>
      </c>
      <c r="Y108" s="3">
        <f>'d)Pers.Técnico'!W78</f>
        <v>0</v>
      </c>
      <c r="Z108" s="3">
        <f>'d)Pers.Técnico'!X78</f>
        <v>0</v>
      </c>
      <c r="AA108" s="3">
        <f>'d)Pers.Técnico'!Y78</f>
        <v>0</v>
      </c>
      <c r="AB108" s="3">
        <f>'d)Pers.Técnico'!Z78</f>
        <v>0</v>
      </c>
      <c r="AC108" s="3">
        <f>'d)Pers.Técnico'!AA78</f>
        <v>0</v>
      </c>
      <c r="AD108" s="14">
        <f>'d)Pers.Técnico'!AB78</f>
        <v>0</v>
      </c>
      <c r="AE108" s="20">
        <f>'d)Pers.Técnico'!AC78</f>
        <v>0</v>
      </c>
      <c r="AF108" s="3">
        <f>'d)Pers.Técnico'!AD78</f>
        <v>0</v>
      </c>
      <c r="AG108" s="3">
        <f>'d)Pers.Técnico'!AE78</f>
        <v>0</v>
      </c>
      <c r="AH108" s="3">
        <f>'d)Pers.Técnico'!AF78</f>
        <v>0</v>
      </c>
      <c r="AI108" s="3">
        <f>'d)Pers.Técnico'!AG78</f>
        <v>0</v>
      </c>
      <c r="AJ108" s="3">
        <f>'d)Pers.Técnico'!AH78</f>
        <v>0</v>
      </c>
      <c r="AK108" s="3">
        <f>'d)Pers.Técnico'!AI78</f>
        <v>0</v>
      </c>
      <c r="AL108" s="3">
        <f>'d)Pers.Técnico'!AJ78</f>
        <v>0</v>
      </c>
      <c r="AM108" s="3">
        <f>'d)Pers.Técnico'!AK78</f>
        <v>0</v>
      </c>
      <c r="AN108" s="3">
        <f>'d)Pers.Técnico'!AL78</f>
        <v>0</v>
      </c>
      <c r="AO108" s="3">
        <f>'d)Pers.Técnico'!AM78</f>
        <v>0</v>
      </c>
      <c r="AP108" s="14">
        <f>'d)Pers.Técnico'!AN78</f>
        <v>0</v>
      </c>
      <c r="AQ108" s="20">
        <f>'d)Pers.Técnico'!AO78</f>
        <v>0</v>
      </c>
      <c r="AR108" s="3">
        <f>'d)Pers.Técnico'!AP78</f>
        <v>0</v>
      </c>
      <c r="AS108" s="3">
        <f>'d)Pers.Técnico'!AQ78</f>
        <v>0</v>
      </c>
      <c r="AT108" s="3">
        <f>'d)Pers.Técnico'!AR78</f>
        <v>0</v>
      </c>
      <c r="AU108" s="3">
        <f>'d)Pers.Técnico'!AS78</f>
        <v>0</v>
      </c>
      <c r="AV108" s="3">
        <f>'d)Pers.Técnico'!AT78</f>
        <v>0</v>
      </c>
      <c r="AW108" s="3">
        <f>'d)Pers.Técnico'!AU78</f>
        <v>0</v>
      </c>
      <c r="AX108" s="3">
        <f>'d)Pers.Técnico'!AV78</f>
        <v>0</v>
      </c>
      <c r="AY108" s="3">
        <f>'d)Pers.Técnico'!AW78</f>
        <v>0</v>
      </c>
      <c r="AZ108" s="3">
        <f>'d)Pers.Técnico'!AX78</f>
        <v>0</v>
      </c>
      <c r="BA108" s="1">
        <f>'d)Pers.Técnico'!AY78</f>
        <v>0</v>
      </c>
      <c r="BB108" s="60">
        <f>'d)Pers.Técnico'!AZ78</f>
        <v>0</v>
      </c>
      <c r="BC108" s="61">
        <f>'d)Pers.Técnico'!BA78</f>
        <v>0</v>
      </c>
      <c r="BD108" s="3">
        <f>'d)Pers.Técnico'!BB78</f>
        <v>0</v>
      </c>
      <c r="BE108" s="3">
        <f>'d)Pers.Técnico'!BC78</f>
        <v>0</v>
      </c>
      <c r="BF108" s="3">
        <f>'d)Pers.Técnico'!BD78</f>
        <v>0</v>
      </c>
      <c r="BG108" s="3">
        <f>'d)Pers.Técnico'!BE78</f>
        <v>0</v>
      </c>
      <c r="BH108" s="3">
        <f>'d)Pers.Técnico'!BF78</f>
        <v>0</v>
      </c>
      <c r="BI108" s="3">
        <f>'d)Pers.Técnico'!BG78</f>
        <v>0</v>
      </c>
      <c r="BJ108" s="3">
        <f>'d)Pers.Técnico'!BH78</f>
        <v>0</v>
      </c>
      <c r="BK108" s="3">
        <f>'d)Pers.Técnico'!BI78</f>
        <v>0</v>
      </c>
      <c r="BL108" s="3">
        <f>'d)Pers.Técnico'!BJ78</f>
        <v>0</v>
      </c>
      <c r="BM108" s="3">
        <f>'d)Pers.Técnico'!BK78</f>
        <v>0</v>
      </c>
      <c r="BN108" s="14">
        <f>'d)Pers.Técnico'!BL78</f>
        <v>0</v>
      </c>
    </row>
    <row r="109" spans="1:66">
      <c r="A109" s="67"/>
      <c r="B109" s="46" t="str">
        <f>+'d)Pers.Técnico'!B78</f>
        <v>ANALISTA DE COSTOS</v>
      </c>
      <c r="C109" s="127" t="str">
        <f>'d)Pers.Técnico'!C78</f>
        <v>horas-Hombre</v>
      </c>
      <c r="D109" s="52">
        <f>SUM(G108:BN108)</f>
        <v>30</v>
      </c>
      <c r="E109" s="7">
        <f>IF('a)Plantilla'!C39&gt;0,'a)Plantilla'!D39/30,0)</f>
        <v>533.33000000000004</v>
      </c>
      <c r="F109" s="7">
        <f>SUM(G109:BN109)</f>
        <v>1999.99</v>
      </c>
      <c r="G109" s="2">
        <f>IF(TipoProgramaPersonalTecnico=1,$E109*'a)Plantilla'!$C39*Programa!D$13,IF(TipoProgramaPersonalTecnico=2,$E109*G108,$E109/Hjor*G108))</f>
        <v>426.66</v>
      </c>
      <c r="H109" s="2">
        <f>IF(TipoProgramaPersonalTecnico=1,$E109*'a)Plantilla'!$C39*Programa!D$14,IF(TipoProgramaPersonalTecnico=2,$E109*H108,$E109/Hjor*H108))</f>
        <v>800</v>
      </c>
      <c r="I109" s="2">
        <f>IF(TipoProgramaPersonalTecnico=1,$E109*'a)Plantilla'!$C39*Programa!D$15,IF(TipoProgramaPersonalTecnico=2,$E109*I108,$E109/Hjor*I108))</f>
        <v>773.33</v>
      </c>
      <c r="J109" s="2">
        <f>IF(TipoProgramaPersonalTecnico=1,$E109*'a)Plantilla'!$C39*Programa!D$16,IF(TipoProgramaPersonalTecnico=2,$E109*J108,$E109/Hjor*J108))</f>
        <v>0</v>
      </c>
      <c r="K109" s="2">
        <f>IF(TipoProgramaPersonalTecnico=1,$E109*'a)Plantilla'!$C39*Programa!D$17,IF(TipoProgramaPersonalTecnico=2,$E109*K108,$E109/Hjor*K108))</f>
        <v>0</v>
      </c>
      <c r="L109" s="2">
        <f>IF(TipoProgramaPersonalTecnico=1,$E109*'a)Plantilla'!$C39*Programa!D$18,IF(TipoProgramaPersonalTecnico=2,$E109*L108,$E109/Hjor*L108))</f>
        <v>0</v>
      </c>
      <c r="M109" s="2">
        <f>IF(TipoProgramaPersonalTecnico=1,$E109*'a)Plantilla'!$C39*Programa!D$19,IF(TipoProgramaPersonalTecnico=2,$E109*M108,$E109/Hjor*M108))</f>
        <v>0</v>
      </c>
      <c r="N109" s="2">
        <f>IF(TipoProgramaPersonalTecnico=1,$E109*'a)Plantilla'!$C39*Programa!D$20,IF(TipoProgramaPersonalTecnico=2,$E109*N108,$E109/Hjor*N108))</f>
        <v>0</v>
      </c>
      <c r="O109" s="2">
        <f>IF(TipoProgramaPersonalTecnico=1,$E109*'a)Plantilla'!$C39*Programa!D$21,IF(TipoProgramaPersonalTecnico=2,$E109*O108,$E109/Hjor*O108))</f>
        <v>0</v>
      </c>
      <c r="P109" s="2">
        <f>IF(TipoProgramaPersonalTecnico=1,$E109*'a)Plantilla'!$C39*Programa!D$22,IF(TipoProgramaPersonalTecnico=2,$E109*P108,$E109/Hjor*P108))</f>
        <v>0</v>
      </c>
      <c r="Q109" s="2">
        <f>IF(TipoProgramaPersonalTecnico=1,$E109*'a)Plantilla'!$C39*Programa!D$23,IF(TipoProgramaPersonalTecnico=2,$E109*Q108,$E109/Hjor*Q108))</f>
        <v>0</v>
      </c>
      <c r="R109" s="12">
        <f>IF(TipoProgramaPersonalTecnico=1,$E109*'a)Plantilla'!$C39*Programa!D$24,IF(TipoProgramaPersonalTecnico=2,$E109*R108,$E109/Hjor*R108))</f>
        <v>0</v>
      </c>
      <c r="S109" s="7">
        <f>IF(TipoProgramaPersonalTecnico=1,$E109*'a)Plantilla'!$C39*Programa!D$25,IF(TipoProgramaPersonalTecnico=2,$E109*S108,$E109/Hjor*S108))</f>
        <v>0</v>
      </c>
      <c r="T109" s="2">
        <f>IF(TipoProgramaPersonalTecnico=1,$E109*'a)Plantilla'!$C39*Programa!D$26,IF(TipoProgramaPersonalTecnico=2,$E109*T108,$E109/Hjor*T108))</f>
        <v>0</v>
      </c>
      <c r="U109" s="2">
        <f>IF(TipoProgramaPersonalTecnico=1,$E109*'a)Plantilla'!$C39*Programa!D$27,IF(TipoProgramaPersonalTecnico=2,$E109*U108,$E109/Hjor*U108))</f>
        <v>0</v>
      </c>
      <c r="V109" s="2">
        <f>IF(TipoProgramaPersonalTecnico=1,$E109*'a)Plantilla'!$C39*Programa!D$28,IF(TipoProgramaPersonalTecnico=2,$E109*V108,$E109/Hjor*V108))</f>
        <v>0</v>
      </c>
      <c r="W109" s="2">
        <f>IF(TipoProgramaPersonalTecnico=1,$E109*'a)Plantilla'!$C39*Programa!D$29,IF(TipoProgramaPersonalTecnico=2,$E109*W108,$E109/Hjor*W108))</f>
        <v>0</v>
      </c>
      <c r="X109" s="2">
        <f>IF(TipoProgramaPersonalTecnico=1,$E109*'a)Plantilla'!$C39*Programa!D$30,IF(TipoProgramaPersonalTecnico=2,$E109*X108,$E109/Hjor*X108))</f>
        <v>0</v>
      </c>
      <c r="Y109" s="2">
        <f>IF(TipoProgramaPersonalTecnico=1,$E109*'a)Plantilla'!$C39*Programa!D$31,IF(TipoProgramaPersonalTecnico=2,$E109*Y108,$E109/Hjor*Y108))</f>
        <v>0</v>
      </c>
      <c r="Z109" s="2">
        <f>IF(TipoProgramaPersonalTecnico=1,$E109*'a)Plantilla'!$C39*Programa!D$32,IF(TipoProgramaPersonalTecnico=2,$E109*Z108,$E109/Hjor*Z108))</f>
        <v>0</v>
      </c>
      <c r="AA109" s="2">
        <f>IF(TipoProgramaPersonalTecnico=1,$E109*'a)Plantilla'!$C39*Programa!D$33,IF(TipoProgramaPersonalTecnico=2,$E109*AA108,$E109/Hjor*AA108))</f>
        <v>0</v>
      </c>
      <c r="AB109" s="2">
        <f>IF(TipoProgramaPersonalTecnico=1,$E109*'a)Plantilla'!$C39*Programa!D$34,IF(TipoProgramaPersonalTecnico=2,$E109*AB108,$E109/Hjor*AB108))</f>
        <v>0</v>
      </c>
      <c r="AC109" s="2">
        <f>IF(TipoProgramaPersonalTecnico=1,$E109*'a)Plantilla'!$C39*Programa!D$35,IF(TipoProgramaPersonalTecnico=2,$E109*AC108,$E109/Hjor*AC108))</f>
        <v>0</v>
      </c>
      <c r="AD109" s="12">
        <f>IF(TipoProgramaPersonalTecnico=1,$E109*'a)Plantilla'!$C39*Programa!D$36,IF(TipoProgramaPersonalTecnico=2,$E109*AD108,$E109/Hjor*AD108))</f>
        <v>0</v>
      </c>
      <c r="AE109" s="7">
        <f>IF(TipoProgramaPersonalTecnico=1,$E109*'a)Plantilla'!$C39*Programa!D$37,IF(TipoProgramaPersonalTecnico=2,$E109*AE108,$E109/Hjor*AE108))</f>
        <v>0</v>
      </c>
      <c r="AF109" s="2">
        <f>IF(TipoProgramaPersonalTecnico=1,$E109*'a)Plantilla'!$C39*Programa!D$38,IF(TipoProgramaPersonalTecnico=2,$E109*AF108,$E109/Hjor*AF108))</f>
        <v>0</v>
      </c>
      <c r="AG109" s="2">
        <f>IF(TipoProgramaPersonalTecnico=1,$E109*'a)Plantilla'!$C39*Programa!D$39,IF(TipoProgramaPersonalTecnico=2,$E109*AG108,$E109/Hjor*AG108))</f>
        <v>0</v>
      </c>
      <c r="AH109" s="2">
        <f>IF(TipoProgramaPersonalTecnico=1,$E109*'a)Plantilla'!$C39*Programa!D$40,IF(TipoProgramaPersonalTecnico=2,$E109*AH108,$E109/Hjor*AH108))</f>
        <v>0</v>
      </c>
      <c r="AI109" s="2">
        <f>IF(TipoProgramaPersonalTecnico=1,$E109*'a)Plantilla'!$C39*Programa!D$41,IF(TipoProgramaPersonalTecnico=2,$E109*AI108,$E109/Hjor*AI108))</f>
        <v>0</v>
      </c>
      <c r="AJ109" s="2">
        <f>IF(TipoProgramaPersonalTecnico=1,$E109*'a)Plantilla'!$C39*Programa!D$42,IF(TipoProgramaPersonalTecnico=2,$E109*AJ108,$E109/Hjor*AJ108))</f>
        <v>0</v>
      </c>
      <c r="AK109" s="2">
        <f>IF(TipoProgramaPersonalTecnico=1,$E109*'a)Plantilla'!$C39*Programa!D$43,IF(TipoProgramaPersonalTecnico=2,$E109*AK108,$E109/Hjor*AK108))</f>
        <v>0</v>
      </c>
      <c r="AL109" s="2">
        <f>IF(TipoProgramaPersonalTecnico=1,$E109*'a)Plantilla'!$C39*Programa!D$44,IF(TipoProgramaPersonalTecnico=2,$E109*AL108,$E109/Hjor*AL108))</f>
        <v>0</v>
      </c>
      <c r="AM109" s="2">
        <f>IF(TipoProgramaPersonalTecnico=1,$E109*'a)Plantilla'!$C39*Programa!D$45,IF(TipoProgramaPersonalTecnico=2,$E109*AM108,$E109/Hjor*AM108))</f>
        <v>0</v>
      </c>
      <c r="AN109" s="2">
        <f>IF(TipoProgramaPersonalTecnico=1,$E109*'a)Plantilla'!$C39*Programa!D$46,IF(TipoProgramaPersonalTecnico=2,$E109*AN108,$E109/Hjor*AN108))</f>
        <v>0</v>
      </c>
      <c r="AO109" s="2">
        <f>IF(TipoProgramaPersonalTecnico=1,$E109*'a)Plantilla'!$C39*Programa!D$47,IF(TipoProgramaPersonalTecnico=2,$E109*AO108,$E109/Hjor*AO108))</f>
        <v>0</v>
      </c>
      <c r="AP109" s="12">
        <f>IF(TipoProgramaPersonalTecnico=1,$E109*'a)Plantilla'!$C39*Programa!D$48,IF(TipoProgramaPersonalTecnico=2,$E109*AP108,$E109/Hjor*AP108))</f>
        <v>0</v>
      </c>
      <c r="AQ109" s="7">
        <f>IF(TipoProgramaPersonalTecnico=1,$E109*'a)Plantilla'!$C39*Programa!D$49,IF(TipoProgramaPersonalTecnico=2,$E109*AQ108,$E109/Hjor*AQ108))</f>
        <v>0</v>
      </c>
      <c r="AR109" s="2">
        <f>IF(TipoProgramaPersonalTecnico=1,$E109*'a)Plantilla'!$C39*Programa!D$50,IF(TipoProgramaPersonalTecnico=2,$E109*AR108,$E109/Hjor*AR108))</f>
        <v>0</v>
      </c>
      <c r="AS109" s="2">
        <f>IF(TipoProgramaPersonalTecnico=1,$E109*'a)Plantilla'!$C39*Programa!D$51,IF(TipoProgramaPersonalTecnico=2,$E109*AS108,$E109/Hjor*AS108))</f>
        <v>0</v>
      </c>
      <c r="AT109" s="2">
        <f>IF(TipoProgramaPersonalTecnico=1,$E109*'a)Plantilla'!$C39*Programa!D$52,IF(TipoProgramaPersonalTecnico=2,$E109*AT108,$E109/Hjor*AT108))</f>
        <v>0</v>
      </c>
      <c r="AU109" s="2">
        <f>IF(TipoProgramaPersonalTecnico=1,$E109*'a)Plantilla'!$C39*Programa!D$53,IF(TipoProgramaPersonalTecnico=2,$E109*AU108,$E109/Hjor*AU108))</f>
        <v>0</v>
      </c>
      <c r="AV109" s="2">
        <f>IF(TipoProgramaPersonalTecnico=1,$E109*'a)Plantilla'!$C39*Programa!D$54,IF(TipoProgramaPersonalTecnico=2,$E109*AV108,$E109/Hjor*AV108))</f>
        <v>0</v>
      </c>
      <c r="AW109" s="2">
        <f>IF(TipoProgramaPersonalTecnico=1,$E109*'a)Plantilla'!$C39*Programa!D$55,IF(TipoProgramaPersonalTecnico=2,$E109*AW108,$E109/Hjor*AW108))</f>
        <v>0</v>
      </c>
      <c r="AX109" s="2">
        <f>IF(TipoProgramaPersonalTecnico=1,$E109*'a)Plantilla'!$C39*Programa!D$56,IF(TipoProgramaPersonalTecnico=2,$E109*AX108,$E109/Hjor*AX108))</f>
        <v>0</v>
      </c>
      <c r="AY109" s="2">
        <f>IF(TipoProgramaPersonalTecnico=1,$E109*'a)Plantilla'!$C39*Programa!D$57,IF(TipoProgramaPersonalTecnico=2,$E109*AY108,$E109/Hjor*AY108))</f>
        <v>0</v>
      </c>
      <c r="AZ109" s="2">
        <f>IF(TipoProgramaPersonalTecnico=1,$E109*'a)Plantilla'!$C39*Programa!D$58,IF(TipoProgramaPersonalTecnico=2,$E109*AZ108,$E109/Hjor*AZ108))</f>
        <v>0</v>
      </c>
      <c r="BA109" s="55">
        <f>IF(TipoProgramaPersonalTecnico=1,$E109*'a)Plantilla'!$C39*Programa!D$59,IF(TipoProgramaPersonalTecnico=2,$E109*BA108,$E109/Hjor*BA108))</f>
        <v>0</v>
      </c>
      <c r="BB109" s="56">
        <f>IF(TipoProgramaPersonalTecnico=1,$E109*'a)Plantilla'!$C39*Programa!D$60,IF(TipoProgramaPersonalTecnico=2,$E109*BB108,$E109/Hjor*BB108))</f>
        <v>0</v>
      </c>
      <c r="BC109" s="53">
        <f>IF(TipoProgramaPersonalTecnico=1,$E109*'a)Plantilla'!$C39*Programa!D$61,IF(TipoProgramaPersonalTecnico=2,$E109*BC108,$E109/Hjor*BC108))</f>
        <v>0</v>
      </c>
      <c r="BD109" s="2">
        <f>IF(TipoProgramaPersonalTecnico=1,$E109*'a)Plantilla'!$C39*Programa!D$62,IF(TipoProgramaPersonalTecnico=2,$E109*BD108,$E109/Hjor*BD108))</f>
        <v>0</v>
      </c>
      <c r="BE109" s="2">
        <f>IF(TipoProgramaPersonalTecnico=1,$E109*'a)Plantilla'!$C39*Programa!D$63,IF(TipoProgramaPersonalTecnico=2,$E109*BE108,$E109/Hjor*BE108))</f>
        <v>0</v>
      </c>
      <c r="BF109" s="2">
        <f>IF(TipoProgramaPersonalTecnico=1,$E109*'a)Plantilla'!$C39*Programa!D$64,IF(TipoProgramaPersonalTecnico=2,$E109*BF108,$E109/Hjor*BF108))</f>
        <v>0</v>
      </c>
      <c r="BG109" s="2">
        <f>IF(TipoProgramaPersonalTecnico=1,$E109*'a)Plantilla'!$C39*Programa!D$65,IF(TipoProgramaPersonalTecnico=2,$E109*BG108,$E109/Hjor*BG108))</f>
        <v>0</v>
      </c>
      <c r="BH109" s="2">
        <f>IF(TipoProgramaPersonalTecnico=1,$E109*'a)Plantilla'!$C39*Programa!D$66,IF(TipoProgramaPersonalTecnico=2,$E109*BH108,$E109/Hjor*BH108))</f>
        <v>0</v>
      </c>
      <c r="BI109" s="2">
        <f>IF(TipoProgramaPersonalTecnico=1,$E109*'a)Plantilla'!$C39*Programa!D$67,IF(TipoProgramaPersonalTecnico=2,$E109*BI108,$E109/Hjor*BI108))</f>
        <v>0</v>
      </c>
      <c r="BJ109" s="2">
        <f>IF(TipoProgramaPersonalTecnico=1,$E109*'a)Plantilla'!$C39*Programa!D$68,IF(TipoProgramaPersonalTecnico=2,$E109*BJ108,$E109/Hjor*BJ108))</f>
        <v>0</v>
      </c>
      <c r="BK109" s="2">
        <f>IF(TipoProgramaPersonalTecnico=1,$E109*'a)Plantilla'!$C39*Programa!D$69,IF(TipoProgramaPersonalTecnico=2,$E109*BK108,$E109/Hjor*BK108))</f>
        <v>0</v>
      </c>
      <c r="BL109" s="2">
        <f>IF(TipoProgramaPersonalTecnico=1,$E109*'a)Plantilla'!$C39*Programa!D$70,IF(TipoProgramaPersonalTecnico=2,$E109*BL108,$E109/Hjor*BL108))</f>
        <v>0</v>
      </c>
      <c r="BM109" s="2">
        <f>IF(TipoProgramaPersonalTecnico=1,$E109*'a)Plantilla'!$C39*Programa!D$71,IF(TipoProgramaPersonalTecnico=2,$E109*BM108,$E109/Hjor*BM108))</f>
        <v>0</v>
      </c>
      <c r="BN109" s="12">
        <f>IF(TipoProgramaPersonalTecnico=1,$E109*'a)Plantilla'!$C39*Programa!D$72,IF(TipoProgramaPersonalTecnico=2,$E109*BN108,$E109/Hjor*BN108))</f>
        <v>0</v>
      </c>
    </row>
    <row r="110" spans="1:66" ht="7.5" customHeight="1">
      <c r="A110" s="67"/>
      <c r="B110" s="19"/>
      <c r="C110" s="127"/>
      <c r="D110" s="54"/>
      <c r="E110" s="19"/>
      <c r="F110" s="19"/>
      <c r="G110" s="1" t="s">
        <v>168</v>
      </c>
      <c r="H110" s="1" t="s">
        <v>168</v>
      </c>
      <c r="I110" s="1" t="s">
        <v>168</v>
      </c>
      <c r="J110" s="1" t="s">
        <v>168</v>
      </c>
      <c r="K110" s="1" t="s">
        <v>168</v>
      </c>
      <c r="L110" s="1" t="s">
        <v>168</v>
      </c>
      <c r="M110" s="1" t="s">
        <v>168</v>
      </c>
      <c r="N110" s="1" t="s">
        <v>168</v>
      </c>
      <c r="O110" s="1" t="s">
        <v>168</v>
      </c>
      <c r="P110" s="1" t="s">
        <v>168</v>
      </c>
      <c r="Q110" s="1" t="s">
        <v>168</v>
      </c>
      <c r="R110" s="8" t="s">
        <v>168</v>
      </c>
      <c r="S110" s="13" t="s">
        <v>168</v>
      </c>
      <c r="T110" s="1" t="s">
        <v>168</v>
      </c>
      <c r="U110" s="1" t="s">
        <v>168</v>
      </c>
      <c r="V110" s="1" t="s">
        <v>168</v>
      </c>
      <c r="W110" s="1" t="s">
        <v>168</v>
      </c>
      <c r="X110" s="1" t="s">
        <v>168</v>
      </c>
      <c r="Y110" s="1" t="s">
        <v>168</v>
      </c>
      <c r="Z110" s="1" t="s">
        <v>168</v>
      </c>
      <c r="AA110" s="1" t="s">
        <v>168</v>
      </c>
      <c r="AB110" s="1" t="s">
        <v>168</v>
      </c>
      <c r="AC110" s="1" t="s">
        <v>168</v>
      </c>
      <c r="AD110" s="8" t="s">
        <v>168</v>
      </c>
      <c r="AE110" s="13" t="s">
        <v>168</v>
      </c>
      <c r="AF110" s="1" t="s">
        <v>168</v>
      </c>
      <c r="AG110" s="1" t="s">
        <v>168</v>
      </c>
      <c r="AH110" s="1" t="s">
        <v>168</v>
      </c>
      <c r="AI110" s="1" t="s">
        <v>168</v>
      </c>
      <c r="AJ110" s="1" t="s">
        <v>168</v>
      </c>
      <c r="AK110" s="1" t="s">
        <v>168</v>
      </c>
      <c r="AL110" s="1" t="s">
        <v>168</v>
      </c>
      <c r="AM110" s="1" t="s">
        <v>168</v>
      </c>
      <c r="AN110" s="1" t="s">
        <v>168</v>
      </c>
      <c r="AO110" s="1" t="s">
        <v>168</v>
      </c>
      <c r="AP110" s="8" t="s">
        <v>168</v>
      </c>
      <c r="AQ110" s="13" t="s">
        <v>168</v>
      </c>
      <c r="AR110" s="1" t="s">
        <v>168</v>
      </c>
      <c r="AS110" s="1" t="s">
        <v>168</v>
      </c>
      <c r="AT110" s="1" t="s">
        <v>168</v>
      </c>
      <c r="AU110" s="1" t="s">
        <v>168</v>
      </c>
      <c r="AV110" s="1" t="s">
        <v>168</v>
      </c>
      <c r="AW110" s="1" t="s">
        <v>168</v>
      </c>
      <c r="AX110" s="1" t="s">
        <v>168</v>
      </c>
      <c r="AY110" s="1" t="s">
        <v>168</v>
      </c>
      <c r="AZ110" s="1" t="s">
        <v>168</v>
      </c>
      <c r="BA110" s="1" t="s">
        <v>168</v>
      </c>
      <c r="BB110" s="8" t="s">
        <v>168</v>
      </c>
      <c r="BC110" s="13" t="s">
        <v>168</v>
      </c>
      <c r="BD110" s="1" t="s">
        <v>168</v>
      </c>
      <c r="BE110" s="1" t="s">
        <v>168</v>
      </c>
      <c r="BF110" s="1" t="s">
        <v>168</v>
      </c>
      <c r="BG110" s="1" t="s">
        <v>168</v>
      </c>
      <c r="BH110" s="1" t="s">
        <v>168</v>
      </c>
      <c r="BI110" s="1" t="s">
        <v>168</v>
      </c>
      <c r="BJ110" s="1" t="s">
        <v>168</v>
      </c>
      <c r="BK110" s="1" t="s">
        <v>168</v>
      </c>
      <c r="BL110" s="1" t="s">
        <v>168</v>
      </c>
      <c r="BM110" s="1" t="s">
        <v>168</v>
      </c>
      <c r="BN110" s="8" t="s">
        <v>168</v>
      </c>
    </row>
    <row r="111" spans="1:66">
      <c r="A111" s="67"/>
      <c r="B111" s="46"/>
      <c r="C111" s="127"/>
      <c r="D111" s="52"/>
      <c r="E111" s="7"/>
      <c r="F111" s="7"/>
      <c r="G111" s="3">
        <f>'d)Pers.Técnico'!E80</f>
        <v>0</v>
      </c>
      <c r="H111" s="3">
        <f>'d)Pers.Técnico'!F80</f>
        <v>0</v>
      </c>
      <c r="I111" s="3">
        <f>'d)Pers.Técnico'!G80</f>
        <v>0</v>
      </c>
      <c r="J111" s="3">
        <f>'d)Pers.Técnico'!H80</f>
        <v>0</v>
      </c>
      <c r="K111" s="3">
        <f>'d)Pers.Técnico'!I80</f>
        <v>0</v>
      </c>
      <c r="L111" s="3">
        <f>'d)Pers.Técnico'!J80</f>
        <v>0</v>
      </c>
      <c r="M111" s="3">
        <f>'d)Pers.Técnico'!K80</f>
        <v>0</v>
      </c>
      <c r="N111" s="3">
        <f>'d)Pers.Técnico'!L80</f>
        <v>0</v>
      </c>
      <c r="O111" s="3">
        <f>'d)Pers.Técnico'!M80</f>
        <v>0</v>
      </c>
      <c r="P111" s="3">
        <f>'d)Pers.Técnico'!N80</f>
        <v>0</v>
      </c>
      <c r="Q111" s="3">
        <f>'d)Pers.Técnico'!O80</f>
        <v>0</v>
      </c>
      <c r="R111" s="14">
        <f>'d)Pers.Técnico'!P80</f>
        <v>0</v>
      </c>
      <c r="S111" s="20">
        <f>'d)Pers.Técnico'!Q80</f>
        <v>0</v>
      </c>
      <c r="T111" s="3">
        <f>'d)Pers.Técnico'!R80</f>
        <v>0</v>
      </c>
      <c r="U111" s="3">
        <f>'d)Pers.Técnico'!S80</f>
        <v>0</v>
      </c>
      <c r="V111" s="3">
        <f>'d)Pers.Técnico'!T80</f>
        <v>0</v>
      </c>
      <c r="W111" s="3">
        <f>'d)Pers.Técnico'!U80</f>
        <v>0</v>
      </c>
      <c r="X111" s="3">
        <f>'d)Pers.Técnico'!V80</f>
        <v>0</v>
      </c>
      <c r="Y111" s="3">
        <f>'d)Pers.Técnico'!W80</f>
        <v>0</v>
      </c>
      <c r="Z111" s="3">
        <f>'d)Pers.Técnico'!X80</f>
        <v>0</v>
      </c>
      <c r="AA111" s="3">
        <f>'d)Pers.Técnico'!Y80</f>
        <v>0</v>
      </c>
      <c r="AB111" s="3">
        <f>'d)Pers.Técnico'!Z80</f>
        <v>0</v>
      </c>
      <c r="AC111" s="3">
        <f>'d)Pers.Técnico'!AA80</f>
        <v>0</v>
      </c>
      <c r="AD111" s="14">
        <f>'d)Pers.Técnico'!AB80</f>
        <v>0</v>
      </c>
      <c r="AE111" s="20">
        <f>'d)Pers.Técnico'!AC80</f>
        <v>0</v>
      </c>
      <c r="AF111" s="3">
        <f>'d)Pers.Técnico'!AD80</f>
        <v>0</v>
      </c>
      <c r="AG111" s="3">
        <f>'d)Pers.Técnico'!AE80</f>
        <v>0</v>
      </c>
      <c r="AH111" s="3">
        <f>'d)Pers.Técnico'!AF80</f>
        <v>0</v>
      </c>
      <c r="AI111" s="3">
        <f>'d)Pers.Técnico'!AG80</f>
        <v>0</v>
      </c>
      <c r="AJ111" s="3">
        <f>'d)Pers.Técnico'!AH80</f>
        <v>0</v>
      </c>
      <c r="AK111" s="3">
        <f>'d)Pers.Técnico'!AI80</f>
        <v>0</v>
      </c>
      <c r="AL111" s="3">
        <f>'d)Pers.Técnico'!AJ80</f>
        <v>0</v>
      </c>
      <c r="AM111" s="3">
        <f>'d)Pers.Técnico'!AK80</f>
        <v>0</v>
      </c>
      <c r="AN111" s="3">
        <f>'d)Pers.Técnico'!AL80</f>
        <v>0</v>
      </c>
      <c r="AO111" s="3">
        <f>'d)Pers.Técnico'!AM80</f>
        <v>0</v>
      </c>
      <c r="AP111" s="14">
        <f>'d)Pers.Técnico'!AN80</f>
        <v>0</v>
      </c>
      <c r="AQ111" s="20">
        <f>'d)Pers.Técnico'!AO80</f>
        <v>0</v>
      </c>
      <c r="AR111" s="3">
        <f>'d)Pers.Técnico'!AP80</f>
        <v>0</v>
      </c>
      <c r="AS111" s="3">
        <f>'d)Pers.Técnico'!AQ80</f>
        <v>0</v>
      </c>
      <c r="AT111" s="3">
        <f>'d)Pers.Técnico'!AR80</f>
        <v>0</v>
      </c>
      <c r="AU111" s="3">
        <f>'d)Pers.Técnico'!AS80</f>
        <v>0</v>
      </c>
      <c r="AV111" s="3">
        <f>'d)Pers.Técnico'!AT80</f>
        <v>0</v>
      </c>
      <c r="AW111" s="3">
        <f>'d)Pers.Técnico'!AU80</f>
        <v>0</v>
      </c>
      <c r="AX111" s="3">
        <f>'d)Pers.Técnico'!AV80</f>
        <v>0</v>
      </c>
      <c r="AY111" s="3">
        <f>'d)Pers.Técnico'!AW80</f>
        <v>0</v>
      </c>
      <c r="AZ111" s="3">
        <f>'d)Pers.Técnico'!AX80</f>
        <v>0</v>
      </c>
      <c r="BA111" s="1">
        <f>'d)Pers.Técnico'!AY80</f>
        <v>0</v>
      </c>
      <c r="BB111" s="60">
        <f>'d)Pers.Técnico'!AZ80</f>
        <v>0</v>
      </c>
      <c r="BC111" s="61">
        <f>'d)Pers.Técnico'!BA80</f>
        <v>0</v>
      </c>
      <c r="BD111" s="3">
        <f>'d)Pers.Técnico'!BB80</f>
        <v>0</v>
      </c>
      <c r="BE111" s="3">
        <f>'d)Pers.Técnico'!BC80</f>
        <v>0</v>
      </c>
      <c r="BF111" s="3">
        <f>'d)Pers.Técnico'!BD80</f>
        <v>0</v>
      </c>
      <c r="BG111" s="3">
        <f>'d)Pers.Técnico'!BE80</f>
        <v>0</v>
      </c>
      <c r="BH111" s="3">
        <f>'d)Pers.Técnico'!BF80</f>
        <v>0</v>
      </c>
      <c r="BI111" s="3">
        <f>'d)Pers.Técnico'!BG80</f>
        <v>0</v>
      </c>
      <c r="BJ111" s="3">
        <f>'d)Pers.Técnico'!BH80</f>
        <v>0</v>
      </c>
      <c r="BK111" s="3">
        <f>'d)Pers.Técnico'!BI80</f>
        <v>0</v>
      </c>
      <c r="BL111" s="3">
        <f>'d)Pers.Técnico'!BJ80</f>
        <v>0</v>
      </c>
      <c r="BM111" s="3">
        <f>'d)Pers.Técnico'!BK80</f>
        <v>0</v>
      </c>
      <c r="BN111" s="14">
        <f>'d)Pers.Técnico'!BL80</f>
        <v>0</v>
      </c>
    </row>
    <row r="112" spans="1:66">
      <c r="A112" s="67"/>
      <c r="B112" s="46" t="str">
        <f>+'d)Pers.Técnico'!B80</f>
        <v/>
      </c>
      <c r="C112" s="127" t="str">
        <f>'d)Pers.Técnico'!C80</f>
        <v/>
      </c>
      <c r="D112" s="52">
        <f>SUM(G111:BN111)</f>
        <v>0</v>
      </c>
      <c r="E112" s="7">
        <f>IF('a)Plantilla'!C40&gt;0,'a)Plantilla'!D40/30,0)</f>
        <v>0</v>
      </c>
      <c r="F112" s="7">
        <f>SUM(G112:BN112)</f>
        <v>0</v>
      </c>
      <c r="G112" s="2">
        <f>IF(TipoProgramaPersonalTecnico=1,$E112*'a)Plantilla'!$C40*Programa!D$13,IF(TipoProgramaPersonalTecnico=2,$E112*G111,$E112/Hjor*G111))</f>
        <v>0</v>
      </c>
      <c r="H112" s="2">
        <f>IF(TipoProgramaPersonalTecnico=1,$E112*'a)Plantilla'!$C40*Programa!D$14,IF(TipoProgramaPersonalTecnico=2,$E112*H111,$E112/Hjor*H111))</f>
        <v>0</v>
      </c>
      <c r="I112" s="2">
        <f>IF(TipoProgramaPersonalTecnico=1,$E112*'a)Plantilla'!$C40*Programa!D$15,IF(TipoProgramaPersonalTecnico=2,$E112*I111,$E112/Hjor*I111))</f>
        <v>0</v>
      </c>
      <c r="J112" s="2">
        <f>IF(TipoProgramaPersonalTecnico=1,$E112*'a)Plantilla'!$C40*Programa!D$16,IF(TipoProgramaPersonalTecnico=2,$E112*J111,$E112/Hjor*J111))</f>
        <v>0</v>
      </c>
      <c r="K112" s="2">
        <f>IF(TipoProgramaPersonalTecnico=1,$E112*'a)Plantilla'!$C40*Programa!D$17,IF(TipoProgramaPersonalTecnico=2,$E112*K111,$E112/Hjor*K111))</f>
        <v>0</v>
      </c>
      <c r="L112" s="2">
        <f>IF(TipoProgramaPersonalTecnico=1,$E112*'a)Plantilla'!$C40*Programa!D$18,IF(TipoProgramaPersonalTecnico=2,$E112*L111,$E112/Hjor*L111))</f>
        <v>0</v>
      </c>
      <c r="M112" s="2">
        <f>IF(TipoProgramaPersonalTecnico=1,$E112*'a)Plantilla'!$C40*Programa!D$19,IF(TipoProgramaPersonalTecnico=2,$E112*M111,$E112/Hjor*M111))</f>
        <v>0</v>
      </c>
      <c r="N112" s="2">
        <f>IF(TipoProgramaPersonalTecnico=1,$E112*'a)Plantilla'!$C40*Programa!D$20,IF(TipoProgramaPersonalTecnico=2,$E112*N111,$E112/Hjor*N111))</f>
        <v>0</v>
      </c>
      <c r="O112" s="2">
        <f>IF(TipoProgramaPersonalTecnico=1,$E112*'a)Plantilla'!$C40*Programa!D$21,IF(TipoProgramaPersonalTecnico=2,$E112*O111,$E112/Hjor*O111))</f>
        <v>0</v>
      </c>
      <c r="P112" s="2">
        <f>IF(TipoProgramaPersonalTecnico=1,$E112*'a)Plantilla'!$C40*Programa!D$22,IF(TipoProgramaPersonalTecnico=2,$E112*P111,$E112/Hjor*P111))</f>
        <v>0</v>
      </c>
      <c r="Q112" s="2">
        <f>IF(TipoProgramaPersonalTecnico=1,$E112*'a)Plantilla'!$C40*Programa!D$23,IF(TipoProgramaPersonalTecnico=2,$E112*Q111,$E112/Hjor*Q111))</f>
        <v>0</v>
      </c>
      <c r="R112" s="12">
        <f>IF(TipoProgramaPersonalTecnico=1,$E112*'a)Plantilla'!$C40*Programa!D$24,IF(TipoProgramaPersonalTecnico=2,$E112*R111,$E112/Hjor*R111))</f>
        <v>0</v>
      </c>
      <c r="S112" s="7">
        <f>IF(TipoProgramaPersonalTecnico=1,$E112*'a)Plantilla'!$C40*Programa!D$25,IF(TipoProgramaPersonalTecnico=2,$E112*S111,$E112/Hjor*S111))</f>
        <v>0</v>
      </c>
      <c r="T112" s="2">
        <f>IF(TipoProgramaPersonalTecnico=1,$E112*'a)Plantilla'!$C40*Programa!D$26,IF(TipoProgramaPersonalTecnico=2,$E112*T111,$E112/Hjor*T111))</f>
        <v>0</v>
      </c>
      <c r="U112" s="2">
        <f>IF(TipoProgramaPersonalTecnico=1,$E112*'a)Plantilla'!$C40*Programa!D$27,IF(TipoProgramaPersonalTecnico=2,$E112*U111,$E112/Hjor*U111))</f>
        <v>0</v>
      </c>
      <c r="V112" s="2">
        <f>IF(TipoProgramaPersonalTecnico=1,$E112*'a)Plantilla'!$C40*Programa!D$28,IF(TipoProgramaPersonalTecnico=2,$E112*V111,$E112/Hjor*V111))</f>
        <v>0</v>
      </c>
      <c r="W112" s="2">
        <f>IF(TipoProgramaPersonalTecnico=1,$E112*'a)Plantilla'!$C40*Programa!D$29,IF(TipoProgramaPersonalTecnico=2,$E112*W111,$E112/Hjor*W111))</f>
        <v>0</v>
      </c>
      <c r="X112" s="2">
        <f>IF(TipoProgramaPersonalTecnico=1,$E112*'a)Plantilla'!$C40*Programa!D$30,IF(TipoProgramaPersonalTecnico=2,$E112*X111,$E112/Hjor*X111))</f>
        <v>0</v>
      </c>
      <c r="Y112" s="2">
        <f>IF(TipoProgramaPersonalTecnico=1,$E112*'a)Plantilla'!$C40*Programa!D$31,IF(TipoProgramaPersonalTecnico=2,$E112*Y111,$E112/Hjor*Y111))</f>
        <v>0</v>
      </c>
      <c r="Z112" s="2">
        <f>IF(TipoProgramaPersonalTecnico=1,$E112*'a)Plantilla'!$C40*Programa!D$32,IF(TipoProgramaPersonalTecnico=2,$E112*Z111,$E112/Hjor*Z111))</f>
        <v>0</v>
      </c>
      <c r="AA112" s="2">
        <f>IF(TipoProgramaPersonalTecnico=1,$E112*'a)Plantilla'!$C40*Programa!D$33,IF(TipoProgramaPersonalTecnico=2,$E112*AA111,$E112/Hjor*AA111))</f>
        <v>0</v>
      </c>
      <c r="AB112" s="2">
        <f>IF(TipoProgramaPersonalTecnico=1,$E112*'a)Plantilla'!$C40*Programa!D$34,IF(TipoProgramaPersonalTecnico=2,$E112*AB111,$E112/Hjor*AB111))</f>
        <v>0</v>
      </c>
      <c r="AC112" s="2">
        <f>IF(TipoProgramaPersonalTecnico=1,$E112*'a)Plantilla'!$C40*Programa!D$35,IF(TipoProgramaPersonalTecnico=2,$E112*AC111,$E112/Hjor*AC111))</f>
        <v>0</v>
      </c>
      <c r="AD112" s="12">
        <f>IF(TipoProgramaPersonalTecnico=1,$E112*'a)Plantilla'!$C40*Programa!D$36,IF(TipoProgramaPersonalTecnico=2,$E112*AD111,$E112/Hjor*AD111))</f>
        <v>0</v>
      </c>
      <c r="AE112" s="7">
        <f>IF(TipoProgramaPersonalTecnico=1,$E112*'a)Plantilla'!$C40*Programa!D$37,IF(TipoProgramaPersonalTecnico=2,$E112*AE111,$E112/Hjor*AE111))</f>
        <v>0</v>
      </c>
      <c r="AF112" s="2">
        <f>IF(TipoProgramaPersonalTecnico=1,$E112*'a)Plantilla'!$C40*Programa!D$38,IF(TipoProgramaPersonalTecnico=2,$E112*AF111,$E112/Hjor*AF111))</f>
        <v>0</v>
      </c>
      <c r="AG112" s="2">
        <f>IF(TipoProgramaPersonalTecnico=1,$E112*'a)Plantilla'!$C40*Programa!D$39,IF(TipoProgramaPersonalTecnico=2,$E112*AG111,$E112/Hjor*AG111))</f>
        <v>0</v>
      </c>
      <c r="AH112" s="2">
        <f>IF(TipoProgramaPersonalTecnico=1,$E112*'a)Plantilla'!$C40*Programa!D$40,IF(TipoProgramaPersonalTecnico=2,$E112*AH111,$E112/Hjor*AH111))</f>
        <v>0</v>
      </c>
      <c r="AI112" s="2">
        <f>IF(TipoProgramaPersonalTecnico=1,$E112*'a)Plantilla'!$C40*Programa!D$41,IF(TipoProgramaPersonalTecnico=2,$E112*AI111,$E112/Hjor*AI111))</f>
        <v>0</v>
      </c>
      <c r="AJ112" s="2">
        <f>IF(TipoProgramaPersonalTecnico=1,$E112*'a)Plantilla'!$C40*Programa!D$42,IF(TipoProgramaPersonalTecnico=2,$E112*AJ111,$E112/Hjor*AJ111))</f>
        <v>0</v>
      </c>
      <c r="AK112" s="2">
        <f>IF(TipoProgramaPersonalTecnico=1,$E112*'a)Plantilla'!$C40*Programa!D$43,IF(TipoProgramaPersonalTecnico=2,$E112*AK111,$E112/Hjor*AK111))</f>
        <v>0</v>
      </c>
      <c r="AL112" s="2">
        <f>IF(TipoProgramaPersonalTecnico=1,$E112*'a)Plantilla'!$C40*Programa!D$44,IF(TipoProgramaPersonalTecnico=2,$E112*AL111,$E112/Hjor*AL111))</f>
        <v>0</v>
      </c>
      <c r="AM112" s="2">
        <f>IF(TipoProgramaPersonalTecnico=1,$E112*'a)Plantilla'!$C40*Programa!D$45,IF(TipoProgramaPersonalTecnico=2,$E112*AM111,$E112/Hjor*AM111))</f>
        <v>0</v>
      </c>
      <c r="AN112" s="2">
        <f>IF(TipoProgramaPersonalTecnico=1,$E112*'a)Plantilla'!$C40*Programa!D$46,IF(TipoProgramaPersonalTecnico=2,$E112*AN111,$E112/Hjor*AN111))</f>
        <v>0</v>
      </c>
      <c r="AO112" s="2">
        <f>IF(TipoProgramaPersonalTecnico=1,$E112*'a)Plantilla'!$C40*Programa!D$47,IF(TipoProgramaPersonalTecnico=2,$E112*AO111,$E112/Hjor*AO111))</f>
        <v>0</v>
      </c>
      <c r="AP112" s="12">
        <f>IF(TipoProgramaPersonalTecnico=1,$E112*'a)Plantilla'!$C40*Programa!D$48,IF(TipoProgramaPersonalTecnico=2,$E112*AP111,$E112/Hjor*AP111))</f>
        <v>0</v>
      </c>
      <c r="AQ112" s="7">
        <f>IF(TipoProgramaPersonalTecnico=1,$E112*'a)Plantilla'!$C40*Programa!D$49,IF(TipoProgramaPersonalTecnico=2,$E112*AQ111,$E112/Hjor*AQ111))</f>
        <v>0</v>
      </c>
      <c r="AR112" s="2">
        <f>IF(TipoProgramaPersonalTecnico=1,$E112*'a)Plantilla'!$C40*Programa!D$50,IF(TipoProgramaPersonalTecnico=2,$E112*AR111,$E112/Hjor*AR111))</f>
        <v>0</v>
      </c>
      <c r="AS112" s="2">
        <f>IF(TipoProgramaPersonalTecnico=1,$E112*'a)Plantilla'!$C40*Programa!D$51,IF(TipoProgramaPersonalTecnico=2,$E112*AS111,$E112/Hjor*AS111))</f>
        <v>0</v>
      </c>
      <c r="AT112" s="2">
        <f>IF(TipoProgramaPersonalTecnico=1,$E112*'a)Plantilla'!$C40*Programa!D$52,IF(TipoProgramaPersonalTecnico=2,$E112*AT111,$E112/Hjor*AT111))</f>
        <v>0</v>
      </c>
      <c r="AU112" s="2">
        <f>IF(TipoProgramaPersonalTecnico=1,$E112*'a)Plantilla'!$C40*Programa!D$53,IF(TipoProgramaPersonalTecnico=2,$E112*AU111,$E112/Hjor*AU111))</f>
        <v>0</v>
      </c>
      <c r="AV112" s="2">
        <f>IF(TipoProgramaPersonalTecnico=1,$E112*'a)Plantilla'!$C40*Programa!D$54,IF(TipoProgramaPersonalTecnico=2,$E112*AV111,$E112/Hjor*AV111))</f>
        <v>0</v>
      </c>
      <c r="AW112" s="2">
        <f>IF(TipoProgramaPersonalTecnico=1,$E112*'a)Plantilla'!$C40*Programa!D$55,IF(TipoProgramaPersonalTecnico=2,$E112*AW111,$E112/Hjor*AW111))</f>
        <v>0</v>
      </c>
      <c r="AX112" s="2">
        <f>IF(TipoProgramaPersonalTecnico=1,$E112*'a)Plantilla'!$C40*Programa!D$56,IF(TipoProgramaPersonalTecnico=2,$E112*AX111,$E112/Hjor*AX111))</f>
        <v>0</v>
      </c>
      <c r="AY112" s="2">
        <f>IF(TipoProgramaPersonalTecnico=1,$E112*'a)Plantilla'!$C40*Programa!D$57,IF(TipoProgramaPersonalTecnico=2,$E112*AY111,$E112/Hjor*AY111))</f>
        <v>0</v>
      </c>
      <c r="AZ112" s="2">
        <f>IF(TipoProgramaPersonalTecnico=1,$E112*'a)Plantilla'!$C40*Programa!D$58,IF(TipoProgramaPersonalTecnico=2,$E112*AZ111,$E112/Hjor*AZ111))</f>
        <v>0</v>
      </c>
      <c r="BA112" s="55">
        <f>IF(TipoProgramaPersonalTecnico=1,$E112*'a)Plantilla'!$C40*Programa!D$59,IF(TipoProgramaPersonalTecnico=2,$E112*BA111,$E112/Hjor*BA111))</f>
        <v>0</v>
      </c>
      <c r="BB112" s="56">
        <f>IF(TipoProgramaPersonalTecnico=1,$E112*'a)Plantilla'!$C40*Programa!D$60,IF(TipoProgramaPersonalTecnico=2,$E112*BB111,$E112/Hjor*BB111))</f>
        <v>0</v>
      </c>
      <c r="BC112" s="53">
        <f>IF(TipoProgramaPersonalTecnico=1,$E112*'a)Plantilla'!$C40*Programa!D$61,IF(TipoProgramaPersonalTecnico=2,$E112*BC111,$E112/Hjor*BC111))</f>
        <v>0</v>
      </c>
      <c r="BD112" s="2">
        <f>IF(TipoProgramaPersonalTecnico=1,$E112*'a)Plantilla'!$C40*Programa!D$62,IF(TipoProgramaPersonalTecnico=2,$E112*BD111,$E112/Hjor*BD111))</f>
        <v>0</v>
      </c>
      <c r="BE112" s="2">
        <f>IF(TipoProgramaPersonalTecnico=1,$E112*'a)Plantilla'!$C40*Programa!D$63,IF(TipoProgramaPersonalTecnico=2,$E112*BE111,$E112/Hjor*BE111))</f>
        <v>0</v>
      </c>
      <c r="BF112" s="2">
        <f>IF(TipoProgramaPersonalTecnico=1,$E112*'a)Plantilla'!$C40*Programa!D$64,IF(TipoProgramaPersonalTecnico=2,$E112*BF111,$E112/Hjor*BF111))</f>
        <v>0</v>
      </c>
      <c r="BG112" s="2">
        <f>IF(TipoProgramaPersonalTecnico=1,$E112*'a)Plantilla'!$C40*Programa!D$65,IF(TipoProgramaPersonalTecnico=2,$E112*BG111,$E112/Hjor*BG111))</f>
        <v>0</v>
      </c>
      <c r="BH112" s="2">
        <f>IF(TipoProgramaPersonalTecnico=1,$E112*'a)Plantilla'!$C40*Programa!D$66,IF(TipoProgramaPersonalTecnico=2,$E112*BH111,$E112/Hjor*BH111))</f>
        <v>0</v>
      </c>
      <c r="BI112" s="2">
        <f>IF(TipoProgramaPersonalTecnico=1,$E112*'a)Plantilla'!$C40*Programa!D$67,IF(TipoProgramaPersonalTecnico=2,$E112*BI111,$E112/Hjor*BI111))</f>
        <v>0</v>
      </c>
      <c r="BJ112" s="2">
        <f>IF(TipoProgramaPersonalTecnico=1,$E112*'a)Plantilla'!$C40*Programa!D$68,IF(TipoProgramaPersonalTecnico=2,$E112*BJ111,$E112/Hjor*BJ111))</f>
        <v>0</v>
      </c>
      <c r="BK112" s="2">
        <f>IF(TipoProgramaPersonalTecnico=1,$E112*'a)Plantilla'!$C40*Programa!D$69,IF(TipoProgramaPersonalTecnico=2,$E112*BK111,$E112/Hjor*BK111))</f>
        <v>0</v>
      </c>
      <c r="BL112" s="2">
        <f>IF(TipoProgramaPersonalTecnico=1,$E112*'a)Plantilla'!$C40*Programa!D$70,IF(TipoProgramaPersonalTecnico=2,$E112*BL111,$E112/Hjor*BL111))</f>
        <v>0</v>
      </c>
      <c r="BM112" s="2">
        <f>IF(TipoProgramaPersonalTecnico=1,$E112*'a)Plantilla'!$C40*Programa!D$71,IF(TipoProgramaPersonalTecnico=2,$E112*BM111,$E112/Hjor*BM111))</f>
        <v>0</v>
      </c>
      <c r="BN112" s="12">
        <f>IF(TipoProgramaPersonalTecnico=1,$E112*'a)Plantilla'!$C40*Programa!D$72,IF(TipoProgramaPersonalTecnico=2,$E112*BN111,$E112/Hjor*BN111))</f>
        <v>0</v>
      </c>
    </row>
    <row r="113" spans="1:66" ht="7.5" customHeight="1">
      <c r="A113" s="67"/>
      <c r="B113" s="19"/>
      <c r="C113" s="127"/>
      <c r="D113" s="54"/>
      <c r="E113" s="19"/>
      <c r="F113" s="19"/>
      <c r="G113" s="1" t="s">
        <v>168</v>
      </c>
      <c r="H113" s="1" t="s">
        <v>168</v>
      </c>
      <c r="I113" s="1" t="s">
        <v>168</v>
      </c>
      <c r="J113" s="1" t="s">
        <v>168</v>
      </c>
      <c r="K113" s="1" t="s">
        <v>168</v>
      </c>
      <c r="L113" s="1" t="s">
        <v>168</v>
      </c>
      <c r="M113" s="1" t="s">
        <v>168</v>
      </c>
      <c r="N113" s="1" t="s">
        <v>168</v>
      </c>
      <c r="O113" s="1" t="s">
        <v>168</v>
      </c>
      <c r="P113" s="1" t="s">
        <v>168</v>
      </c>
      <c r="Q113" s="1" t="s">
        <v>168</v>
      </c>
      <c r="R113" s="8" t="s">
        <v>168</v>
      </c>
      <c r="S113" s="13" t="s">
        <v>168</v>
      </c>
      <c r="T113" s="1" t="s">
        <v>168</v>
      </c>
      <c r="U113" s="1" t="s">
        <v>168</v>
      </c>
      <c r="V113" s="1" t="s">
        <v>168</v>
      </c>
      <c r="W113" s="1" t="s">
        <v>168</v>
      </c>
      <c r="X113" s="1" t="s">
        <v>168</v>
      </c>
      <c r="Y113" s="1" t="s">
        <v>168</v>
      </c>
      <c r="Z113" s="1" t="s">
        <v>168</v>
      </c>
      <c r="AA113" s="1" t="s">
        <v>168</v>
      </c>
      <c r="AB113" s="1" t="s">
        <v>168</v>
      </c>
      <c r="AC113" s="1" t="s">
        <v>168</v>
      </c>
      <c r="AD113" s="8" t="s">
        <v>168</v>
      </c>
      <c r="AE113" s="13" t="s">
        <v>168</v>
      </c>
      <c r="AF113" s="1" t="s">
        <v>168</v>
      </c>
      <c r="AG113" s="1" t="s">
        <v>168</v>
      </c>
      <c r="AH113" s="1" t="s">
        <v>168</v>
      </c>
      <c r="AI113" s="1" t="s">
        <v>168</v>
      </c>
      <c r="AJ113" s="1" t="s">
        <v>168</v>
      </c>
      <c r="AK113" s="1" t="s">
        <v>168</v>
      </c>
      <c r="AL113" s="1" t="s">
        <v>168</v>
      </c>
      <c r="AM113" s="1" t="s">
        <v>168</v>
      </c>
      <c r="AN113" s="1" t="s">
        <v>168</v>
      </c>
      <c r="AO113" s="1" t="s">
        <v>168</v>
      </c>
      <c r="AP113" s="8" t="s">
        <v>168</v>
      </c>
      <c r="AQ113" s="13" t="s">
        <v>168</v>
      </c>
      <c r="AR113" s="1" t="s">
        <v>168</v>
      </c>
      <c r="AS113" s="1" t="s">
        <v>168</v>
      </c>
      <c r="AT113" s="1" t="s">
        <v>168</v>
      </c>
      <c r="AU113" s="1" t="s">
        <v>168</v>
      </c>
      <c r="AV113" s="1" t="s">
        <v>168</v>
      </c>
      <c r="AW113" s="1" t="s">
        <v>168</v>
      </c>
      <c r="AX113" s="1" t="s">
        <v>168</v>
      </c>
      <c r="AY113" s="1" t="s">
        <v>168</v>
      </c>
      <c r="AZ113" s="1" t="s">
        <v>168</v>
      </c>
      <c r="BA113" s="1" t="s">
        <v>168</v>
      </c>
      <c r="BB113" s="8" t="s">
        <v>168</v>
      </c>
      <c r="BC113" s="13" t="s">
        <v>168</v>
      </c>
      <c r="BD113" s="1" t="s">
        <v>168</v>
      </c>
      <c r="BE113" s="1" t="s">
        <v>168</v>
      </c>
      <c r="BF113" s="1" t="s">
        <v>168</v>
      </c>
      <c r="BG113" s="1" t="s">
        <v>168</v>
      </c>
      <c r="BH113" s="1" t="s">
        <v>168</v>
      </c>
      <c r="BI113" s="1" t="s">
        <v>168</v>
      </c>
      <c r="BJ113" s="1" t="s">
        <v>168</v>
      </c>
      <c r="BK113" s="1" t="s">
        <v>168</v>
      </c>
      <c r="BL113" s="1" t="s">
        <v>168</v>
      </c>
      <c r="BM113" s="1" t="s">
        <v>168</v>
      </c>
      <c r="BN113" s="8" t="s">
        <v>168</v>
      </c>
    </row>
    <row r="114" spans="1:66">
      <c r="A114" s="67"/>
      <c r="B114" s="46"/>
      <c r="C114" s="127"/>
      <c r="D114" s="52"/>
      <c r="E114" s="7"/>
      <c r="F114" s="7"/>
      <c r="G114" s="3">
        <f>'d)Pers.Técnico'!E82</f>
        <v>0</v>
      </c>
      <c r="H114" s="3">
        <f>'d)Pers.Técnico'!F82</f>
        <v>0</v>
      </c>
      <c r="I114" s="3">
        <f>'d)Pers.Técnico'!G82</f>
        <v>0</v>
      </c>
      <c r="J114" s="3">
        <f>'d)Pers.Técnico'!H82</f>
        <v>0</v>
      </c>
      <c r="K114" s="3">
        <f>'d)Pers.Técnico'!I82</f>
        <v>0</v>
      </c>
      <c r="L114" s="3">
        <f>'d)Pers.Técnico'!J82</f>
        <v>0</v>
      </c>
      <c r="M114" s="3">
        <f>'d)Pers.Técnico'!K82</f>
        <v>0</v>
      </c>
      <c r="N114" s="3">
        <f>'d)Pers.Técnico'!L82</f>
        <v>0</v>
      </c>
      <c r="O114" s="3">
        <f>'d)Pers.Técnico'!M82</f>
        <v>0</v>
      </c>
      <c r="P114" s="3">
        <f>'d)Pers.Técnico'!N82</f>
        <v>0</v>
      </c>
      <c r="Q114" s="3">
        <f>'d)Pers.Técnico'!O82</f>
        <v>0</v>
      </c>
      <c r="R114" s="14">
        <f>'d)Pers.Técnico'!P82</f>
        <v>0</v>
      </c>
      <c r="S114" s="20">
        <f>'d)Pers.Técnico'!Q82</f>
        <v>0</v>
      </c>
      <c r="T114" s="3">
        <f>'d)Pers.Técnico'!R82</f>
        <v>0</v>
      </c>
      <c r="U114" s="3">
        <f>'d)Pers.Técnico'!S82</f>
        <v>0</v>
      </c>
      <c r="V114" s="3">
        <f>'d)Pers.Técnico'!T82</f>
        <v>0</v>
      </c>
      <c r="W114" s="3">
        <f>'d)Pers.Técnico'!U82</f>
        <v>0</v>
      </c>
      <c r="X114" s="3">
        <f>'d)Pers.Técnico'!V82</f>
        <v>0</v>
      </c>
      <c r="Y114" s="3">
        <f>'d)Pers.Técnico'!W82</f>
        <v>0</v>
      </c>
      <c r="Z114" s="3">
        <f>'d)Pers.Técnico'!X82</f>
        <v>0</v>
      </c>
      <c r="AA114" s="3">
        <f>'d)Pers.Técnico'!Y82</f>
        <v>0</v>
      </c>
      <c r="AB114" s="3">
        <f>'d)Pers.Técnico'!Z82</f>
        <v>0</v>
      </c>
      <c r="AC114" s="3">
        <f>'d)Pers.Técnico'!AA82</f>
        <v>0</v>
      </c>
      <c r="AD114" s="14">
        <f>'d)Pers.Técnico'!AB82</f>
        <v>0</v>
      </c>
      <c r="AE114" s="20">
        <f>'d)Pers.Técnico'!AC82</f>
        <v>0</v>
      </c>
      <c r="AF114" s="3">
        <f>'d)Pers.Técnico'!AD82</f>
        <v>0</v>
      </c>
      <c r="AG114" s="3">
        <f>'d)Pers.Técnico'!AE82</f>
        <v>0</v>
      </c>
      <c r="AH114" s="3">
        <f>'d)Pers.Técnico'!AF82</f>
        <v>0</v>
      </c>
      <c r="AI114" s="3">
        <f>'d)Pers.Técnico'!AG82</f>
        <v>0</v>
      </c>
      <c r="AJ114" s="3">
        <f>'d)Pers.Técnico'!AH82</f>
        <v>0</v>
      </c>
      <c r="AK114" s="3">
        <f>'d)Pers.Técnico'!AI82</f>
        <v>0</v>
      </c>
      <c r="AL114" s="3">
        <f>'d)Pers.Técnico'!AJ82</f>
        <v>0</v>
      </c>
      <c r="AM114" s="3">
        <f>'d)Pers.Técnico'!AK82</f>
        <v>0</v>
      </c>
      <c r="AN114" s="3">
        <f>'d)Pers.Técnico'!AL82</f>
        <v>0</v>
      </c>
      <c r="AO114" s="3">
        <f>'d)Pers.Técnico'!AM82</f>
        <v>0</v>
      </c>
      <c r="AP114" s="14">
        <f>'d)Pers.Técnico'!AN82</f>
        <v>0</v>
      </c>
      <c r="AQ114" s="20">
        <f>'d)Pers.Técnico'!AO82</f>
        <v>0</v>
      </c>
      <c r="AR114" s="3">
        <f>'d)Pers.Técnico'!AP82</f>
        <v>0</v>
      </c>
      <c r="AS114" s="3">
        <f>'d)Pers.Técnico'!AQ82</f>
        <v>0</v>
      </c>
      <c r="AT114" s="3">
        <f>'d)Pers.Técnico'!AR82</f>
        <v>0</v>
      </c>
      <c r="AU114" s="3">
        <f>'d)Pers.Técnico'!AS82</f>
        <v>0</v>
      </c>
      <c r="AV114" s="3">
        <f>'d)Pers.Técnico'!AT82</f>
        <v>0</v>
      </c>
      <c r="AW114" s="3">
        <f>'d)Pers.Técnico'!AU82</f>
        <v>0</v>
      </c>
      <c r="AX114" s="3">
        <f>'d)Pers.Técnico'!AV82</f>
        <v>0</v>
      </c>
      <c r="AY114" s="3">
        <f>'d)Pers.Técnico'!AW82</f>
        <v>0</v>
      </c>
      <c r="AZ114" s="3">
        <f>'d)Pers.Técnico'!AX82</f>
        <v>0</v>
      </c>
      <c r="BA114" s="1">
        <f>'d)Pers.Técnico'!AY82</f>
        <v>0</v>
      </c>
      <c r="BB114" s="60">
        <f>'d)Pers.Técnico'!AZ82</f>
        <v>0</v>
      </c>
      <c r="BC114" s="61">
        <f>'d)Pers.Técnico'!BA82</f>
        <v>0</v>
      </c>
      <c r="BD114" s="3">
        <f>'d)Pers.Técnico'!BB82</f>
        <v>0</v>
      </c>
      <c r="BE114" s="3">
        <f>'d)Pers.Técnico'!BC82</f>
        <v>0</v>
      </c>
      <c r="BF114" s="3">
        <f>'d)Pers.Técnico'!BD82</f>
        <v>0</v>
      </c>
      <c r="BG114" s="3">
        <f>'d)Pers.Técnico'!BE82</f>
        <v>0</v>
      </c>
      <c r="BH114" s="3">
        <f>'d)Pers.Técnico'!BF82</f>
        <v>0</v>
      </c>
      <c r="BI114" s="3">
        <f>'d)Pers.Técnico'!BG82</f>
        <v>0</v>
      </c>
      <c r="BJ114" s="3">
        <f>'d)Pers.Técnico'!BH82</f>
        <v>0</v>
      </c>
      <c r="BK114" s="3">
        <f>'d)Pers.Técnico'!BI82</f>
        <v>0</v>
      </c>
      <c r="BL114" s="3">
        <f>'d)Pers.Técnico'!BJ82</f>
        <v>0</v>
      </c>
      <c r="BM114" s="3">
        <f>'d)Pers.Técnico'!BK82</f>
        <v>0</v>
      </c>
      <c r="BN114" s="14">
        <f>'d)Pers.Técnico'!BL82</f>
        <v>0</v>
      </c>
    </row>
    <row r="115" spans="1:66">
      <c r="A115" s="67"/>
      <c r="B115" s="46" t="str">
        <f>+'d)Pers.Técnico'!B82</f>
        <v/>
      </c>
      <c r="C115" s="127" t="str">
        <f>'d)Pers.Técnico'!C82</f>
        <v/>
      </c>
      <c r="D115" s="52">
        <f>SUM(G114:BN114)</f>
        <v>0</v>
      </c>
      <c r="E115" s="7">
        <f>IF('a)Plantilla'!C41&gt;0,'a)Plantilla'!D41/30,0)</f>
        <v>0</v>
      </c>
      <c r="F115" s="7">
        <f>SUM(G115:BN115)</f>
        <v>0</v>
      </c>
      <c r="G115" s="2">
        <f>IF(TipoProgramaPersonalTecnico=1,$E115*'a)Plantilla'!$C41*Programa!D$13,IF(TipoProgramaPersonalTecnico=2,$E115*G114,$E115/Hjor*G114))</f>
        <v>0</v>
      </c>
      <c r="H115" s="2">
        <f>IF(TipoProgramaPersonalTecnico=1,$E115*'a)Plantilla'!$C41*Programa!D$14,IF(TipoProgramaPersonalTecnico=2,$E115*H114,$E115/Hjor*H114))</f>
        <v>0</v>
      </c>
      <c r="I115" s="2">
        <f>IF(TipoProgramaPersonalTecnico=1,$E115*'a)Plantilla'!$C41*Programa!D$15,IF(TipoProgramaPersonalTecnico=2,$E115*I114,$E115/Hjor*I114))</f>
        <v>0</v>
      </c>
      <c r="J115" s="2">
        <f>IF(TipoProgramaPersonalTecnico=1,$E115*'a)Plantilla'!$C41*Programa!D$16,IF(TipoProgramaPersonalTecnico=2,$E115*J114,$E115/Hjor*J114))</f>
        <v>0</v>
      </c>
      <c r="K115" s="2">
        <f>IF(TipoProgramaPersonalTecnico=1,$E115*'a)Plantilla'!$C41*Programa!D$17,IF(TipoProgramaPersonalTecnico=2,$E115*K114,$E115/Hjor*K114))</f>
        <v>0</v>
      </c>
      <c r="L115" s="2">
        <f>IF(TipoProgramaPersonalTecnico=1,$E115*'a)Plantilla'!$C41*Programa!D$18,IF(TipoProgramaPersonalTecnico=2,$E115*L114,$E115/Hjor*L114))</f>
        <v>0</v>
      </c>
      <c r="M115" s="2">
        <f>IF(TipoProgramaPersonalTecnico=1,$E115*'a)Plantilla'!$C41*Programa!D$19,IF(TipoProgramaPersonalTecnico=2,$E115*M114,$E115/Hjor*M114))</f>
        <v>0</v>
      </c>
      <c r="N115" s="2">
        <f>IF(TipoProgramaPersonalTecnico=1,$E115*'a)Plantilla'!$C41*Programa!D$20,IF(TipoProgramaPersonalTecnico=2,$E115*N114,$E115/Hjor*N114))</f>
        <v>0</v>
      </c>
      <c r="O115" s="2">
        <f>IF(TipoProgramaPersonalTecnico=1,$E115*'a)Plantilla'!$C41*Programa!D$21,IF(TipoProgramaPersonalTecnico=2,$E115*O114,$E115/Hjor*O114))</f>
        <v>0</v>
      </c>
      <c r="P115" s="2">
        <f>IF(TipoProgramaPersonalTecnico=1,$E115*'a)Plantilla'!$C41*Programa!D$22,IF(TipoProgramaPersonalTecnico=2,$E115*P114,$E115/Hjor*P114))</f>
        <v>0</v>
      </c>
      <c r="Q115" s="2">
        <f>IF(TipoProgramaPersonalTecnico=1,$E115*'a)Plantilla'!$C41*Programa!D$23,IF(TipoProgramaPersonalTecnico=2,$E115*Q114,$E115/Hjor*Q114))</f>
        <v>0</v>
      </c>
      <c r="R115" s="12">
        <f>IF(TipoProgramaPersonalTecnico=1,$E115*'a)Plantilla'!$C41*Programa!D$24,IF(TipoProgramaPersonalTecnico=2,$E115*R114,$E115/Hjor*R114))</f>
        <v>0</v>
      </c>
      <c r="S115" s="7">
        <f>IF(TipoProgramaPersonalTecnico=1,$E115*'a)Plantilla'!$C41*Programa!D$25,IF(TipoProgramaPersonalTecnico=2,$E115*S114,$E115/Hjor*S114))</f>
        <v>0</v>
      </c>
      <c r="T115" s="2">
        <f>IF(TipoProgramaPersonalTecnico=1,$E115*'a)Plantilla'!$C41*Programa!D$26,IF(TipoProgramaPersonalTecnico=2,$E115*T114,$E115/Hjor*T114))</f>
        <v>0</v>
      </c>
      <c r="U115" s="2">
        <f>IF(TipoProgramaPersonalTecnico=1,$E115*'a)Plantilla'!$C41*Programa!D$27,IF(TipoProgramaPersonalTecnico=2,$E115*U114,$E115/Hjor*U114))</f>
        <v>0</v>
      </c>
      <c r="V115" s="2">
        <f>IF(TipoProgramaPersonalTecnico=1,$E115*'a)Plantilla'!$C41*Programa!D$28,IF(TipoProgramaPersonalTecnico=2,$E115*V114,$E115/Hjor*V114))</f>
        <v>0</v>
      </c>
      <c r="W115" s="2">
        <f>IF(TipoProgramaPersonalTecnico=1,$E115*'a)Plantilla'!$C41*Programa!D$29,IF(TipoProgramaPersonalTecnico=2,$E115*W114,$E115/Hjor*W114))</f>
        <v>0</v>
      </c>
      <c r="X115" s="2">
        <f>IF(TipoProgramaPersonalTecnico=1,$E115*'a)Plantilla'!$C41*Programa!D$30,IF(TipoProgramaPersonalTecnico=2,$E115*X114,$E115/Hjor*X114))</f>
        <v>0</v>
      </c>
      <c r="Y115" s="2">
        <f>IF(TipoProgramaPersonalTecnico=1,$E115*'a)Plantilla'!$C41*Programa!D$31,IF(TipoProgramaPersonalTecnico=2,$E115*Y114,$E115/Hjor*Y114))</f>
        <v>0</v>
      </c>
      <c r="Z115" s="2">
        <f>IF(TipoProgramaPersonalTecnico=1,$E115*'a)Plantilla'!$C41*Programa!D$32,IF(TipoProgramaPersonalTecnico=2,$E115*Z114,$E115/Hjor*Z114))</f>
        <v>0</v>
      </c>
      <c r="AA115" s="2">
        <f>IF(TipoProgramaPersonalTecnico=1,$E115*'a)Plantilla'!$C41*Programa!D$33,IF(TipoProgramaPersonalTecnico=2,$E115*AA114,$E115/Hjor*AA114))</f>
        <v>0</v>
      </c>
      <c r="AB115" s="2">
        <f>IF(TipoProgramaPersonalTecnico=1,$E115*'a)Plantilla'!$C41*Programa!D$34,IF(TipoProgramaPersonalTecnico=2,$E115*AB114,$E115/Hjor*AB114))</f>
        <v>0</v>
      </c>
      <c r="AC115" s="2">
        <f>IF(TipoProgramaPersonalTecnico=1,$E115*'a)Plantilla'!$C41*Programa!D$35,IF(TipoProgramaPersonalTecnico=2,$E115*AC114,$E115/Hjor*AC114))</f>
        <v>0</v>
      </c>
      <c r="AD115" s="12">
        <f>IF(TipoProgramaPersonalTecnico=1,$E115*'a)Plantilla'!$C41*Programa!D$36,IF(TipoProgramaPersonalTecnico=2,$E115*AD114,$E115/Hjor*AD114))</f>
        <v>0</v>
      </c>
      <c r="AE115" s="7">
        <f>IF(TipoProgramaPersonalTecnico=1,$E115*'a)Plantilla'!$C41*Programa!D$37,IF(TipoProgramaPersonalTecnico=2,$E115*AE114,$E115/Hjor*AE114))</f>
        <v>0</v>
      </c>
      <c r="AF115" s="2">
        <f>IF(TipoProgramaPersonalTecnico=1,$E115*'a)Plantilla'!$C41*Programa!D$38,IF(TipoProgramaPersonalTecnico=2,$E115*AF114,$E115/Hjor*AF114))</f>
        <v>0</v>
      </c>
      <c r="AG115" s="2">
        <f>IF(TipoProgramaPersonalTecnico=1,$E115*'a)Plantilla'!$C41*Programa!D$39,IF(TipoProgramaPersonalTecnico=2,$E115*AG114,$E115/Hjor*AG114))</f>
        <v>0</v>
      </c>
      <c r="AH115" s="2">
        <f>IF(TipoProgramaPersonalTecnico=1,$E115*'a)Plantilla'!$C41*Programa!D$40,IF(TipoProgramaPersonalTecnico=2,$E115*AH114,$E115/Hjor*AH114))</f>
        <v>0</v>
      </c>
      <c r="AI115" s="2">
        <f>IF(TipoProgramaPersonalTecnico=1,$E115*'a)Plantilla'!$C41*Programa!D$41,IF(TipoProgramaPersonalTecnico=2,$E115*AI114,$E115/Hjor*AI114))</f>
        <v>0</v>
      </c>
      <c r="AJ115" s="2">
        <f>IF(TipoProgramaPersonalTecnico=1,$E115*'a)Plantilla'!$C41*Programa!D$42,IF(TipoProgramaPersonalTecnico=2,$E115*AJ114,$E115/Hjor*AJ114))</f>
        <v>0</v>
      </c>
      <c r="AK115" s="2">
        <f>IF(TipoProgramaPersonalTecnico=1,$E115*'a)Plantilla'!$C41*Programa!D$43,IF(TipoProgramaPersonalTecnico=2,$E115*AK114,$E115/Hjor*AK114))</f>
        <v>0</v>
      </c>
      <c r="AL115" s="2">
        <f>IF(TipoProgramaPersonalTecnico=1,$E115*'a)Plantilla'!$C41*Programa!D$44,IF(TipoProgramaPersonalTecnico=2,$E115*AL114,$E115/Hjor*AL114))</f>
        <v>0</v>
      </c>
      <c r="AM115" s="2">
        <f>IF(TipoProgramaPersonalTecnico=1,$E115*'a)Plantilla'!$C41*Programa!D$45,IF(TipoProgramaPersonalTecnico=2,$E115*AM114,$E115/Hjor*AM114))</f>
        <v>0</v>
      </c>
      <c r="AN115" s="2">
        <f>IF(TipoProgramaPersonalTecnico=1,$E115*'a)Plantilla'!$C41*Programa!D$46,IF(TipoProgramaPersonalTecnico=2,$E115*AN114,$E115/Hjor*AN114))</f>
        <v>0</v>
      </c>
      <c r="AO115" s="2">
        <f>IF(TipoProgramaPersonalTecnico=1,$E115*'a)Plantilla'!$C41*Programa!D$47,IF(TipoProgramaPersonalTecnico=2,$E115*AO114,$E115/Hjor*AO114))</f>
        <v>0</v>
      </c>
      <c r="AP115" s="12">
        <f>IF(TipoProgramaPersonalTecnico=1,$E115*'a)Plantilla'!$C41*Programa!D$48,IF(TipoProgramaPersonalTecnico=2,$E115*AP114,$E115/Hjor*AP114))</f>
        <v>0</v>
      </c>
      <c r="AQ115" s="7">
        <f>IF(TipoProgramaPersonalTecnico=1,$E115*'a)Plantilla'!$C41*Programa!D$49,IF(TipoProgramaPersonalTecnico=2,$E115*AQ114,$E115/Hjor*AQ114))</f>
        <v>0</v>
      </c>
      <c r="AR115" s="2">
        <f>IF(TipoProgramaPersonalTecnico=1,$E115*'a)Plantilla'!$C41*Programa!D$50,IF(TipoProgramaPersonalTecnico=2,$E115*AR114,$E115/Hjor*AR114))</f>
        <v>0</v>
      </c>
      <c r="AS115" s="2">
        <f>IF(TipoProgramaPersonalTecnico=1,$E115*'a)Plantilla'!$C41*Programa!D$51,IF(TipoProgramaPersonalTecnico=2,$E115*AS114,$E115/Hjor*AS114))</f>
        <v>0</v>
      </c>
      <c r="AT115" s="2">
        <f>IF(TipoProgramaPersonalTecnico=1,$E115*'a)Plantilla'!$C41*Programa!D$52,IF(TipoProgramaPersonalTecnico=2,$E115*AT114,$E115/Hjor*AT114))</f>
        <v>0</v>
      </c>
      <c r="AU115" s="2">
        <f>IF(TipoProgramaPersonalTecnico=1,$E115*'a)Plantilla'!$C41*Programa!D$53,IF(TipoProgramaPersonalTecnico=2,$E115*AU114,$E115/Hjor*AU114))</f>
        <v>0</v>
      </c>
      <c r="AV115" s="2">
        <f>IF(TipoProgramaPersonalTecnico=1,$E115*'a)Plantilla'!$C41*Programa!D$54,IF(TipoProgramaPersonalTecnico=2,$E115*AV114,$E115/Hjor*AV114))</f>
        <v>0</v>
      </c>
      <c r="AW115" s="2">
        <f>IF(TipoProgramaPersonalTecnico=1,$E115*'a)Plantilla'!$C41*Programa!D$55,IF(TipoProgramaPersonalTecnico=2,$E115*AW114,$E115/Hjor*AW114))</f>
        <v>0</v>
      </c>
      <c r="AX115" s="2">
        <f>IF(TipoProgramaPersonalTecnico=1,$E115*'a)Plantilla'!$C41*Programa!D$56,IF(TipoProgramaPersonalTecnico=2,$E115*AX114,$E115/Hjor*AX114))</f>
        <v>0</v>
      </c>
      <c r="AY115" s="2">
        <f>IF(TipoProgramaPersonalTecnico=1,$E115*'a)Plantilla'!$C41*Programa!D$57,IF(TipoProgramaPersonalTecnico=2,$E115*AY114,$E115/Hjor*AY114))</f>
        <v>0</v>
      </c>
      <c r="AZ115" s="2">
        <f>IF(TipoProgramaPersonalTecnico=1,$E115*'a)Plantilla'!$C41*Programa!D$58,IF(TipoProgramaPersonalTecnico=2,$E115*AZ114,$E115/Hjor*AZ114))</f>
        <v>0</v>
      </c>
      <c r="BA115" s="55">
        <f>IF(TipoProgramaPersonalTecnico=1,$E115*'a)Plantilla'!$C41*Programa!D$59,IF(TipoProgramaPersonalTecnico=2,$E115*BA114,$E115/Hjor*BA114))</f>
        <v>0</v>
      </c>
      <c r="BB115" s="56">
        <f>IF(TipoProgramaPersonalTecnico=1,$E115*'a)Plantilla'!$C41*Programa!D$60,IF(TipoProgramaPersonalTecnico=2,$E115*BB114,$E115/Hjor*BB114))</f>
        <v>0</v>
      </c>
      <c r="BC115" s="53">
        <f>IF(TipoProgramaPersonalTecnico=1,$E115*'a)Plantilla'!$C41*Programa!D$61,IF(TipoProgramaPersonalTecnico=2,$E115*BC114,$E115/Hjor*BC114))</f>
        <v>0</v>
      </c>
      <c r="BD115" s="2">
        <f>IF(TipoProgramaPersonalTecnico=1,$E115*'a)Plantilla'!$C41*Programa!D$62,IF(TipoProgramaPersonalTecnico=2,$E115*BD114,$E115/Hjor*BD114))</f>
        <v>0</v>
      </c>
      <c r="BE115" s="2">
        <f>IF(TipoProgramaPersonalTecnico=1,$E115*'a)Plantilla'!$C41*Programa!D$63,IF(TipoProgramaPersonalTecnico=2,$E115*BE114,$E115/Hjor*BE114))</f>
        <v>0</v>
      </c>
      <c r="BF115" s="2">
        <f>IF(TipoProgramaPersonalTecnico=1,$E115*'a)Plantilla'!$C41*Programa!D$64,IF(TipoProgramaPersonalTecnico=2,$E115*BF114,$E115/Hjor*BF114))</f>
        <v>0</v>
      </c>
      <c r="BG115" s="2">
        <f>IF(TipoProgramaPersonalTecnico=1,$E115*'a)Plantilla'!$C41*Programa!D$65,IF(TipoProgramaPersonalTecnico=2,$E115*BG114,$E115/Hjor*BG114))</f>
        <v>0</v>
      </c>
      <c r="BH115" s="2">
        <f>IF(TipoProgramaPersonalTecnico=1,$E115*'a)Plantilla'!$C41*Programa!D$66,IF(TipoProgramaPersonalTecnico=2,$E115*BH114,$E115/Hjor*BH114))</f>
        <v>0</v>
      </c>
      <c r="BI115" s="2">
        <f>IF(TipoProgramaPersonalTecnico=1,$E115*'a)Plantilla'!$C41*Programa!D$67,IF(TipoProgramaPersonalTecnico=2,$E115*BI114,$E115/Hjor*BI114))</f>
        <v>0</v>
      </c>
      <c r="BJ115" s="2">
        <f>IF(TipoProgramaPersonalTecnico=1,$E115*'a)Plantilla'!$C41*Programa!D$68,IF(TipoProgramaPersonalTecnico=2,$E115*BJ114,$E115/Hjor*BJ114))</f>
        <v>0</v>
      </c>
      <c r="BK115" s="2">
        <f>IF(TipoProgramaPersonalTecnico=1,$E115*'a)Plantilla'!$C41*Programa!D$69,IF(TipoProgramaPersonalTecnico=2,$E115*BK114,$E115/Hjor*BK114))</f>
        <v>0</v>
      </c>
      <c r="BL115" s="2">
        <f>IF(TipoProgramaPersonalTecnico=1,$E115*'a)Plantilla'!$C41*Programa!D$70,IF(TipoProgramaPersonalTecnico=2,$E115*BL114,$E115/Hjor*BL114))</f>
        <v>0</v>
      </c>
      <c r="BM115" s="2">
        <f>IF(TipoProgramaPersonalTecnico=1,$E115*'a)Plantilla'!$C41*Programa!D$71,IF(TipoProgramaPersonalTecnico=2,$E115*BM114,$E115/Hjor*BM114))</f>
        <v>0</v>
      </c>
      <c r="BN115" s="12">
        <f>IF(TipoProgramaPersonalTecnico=1,$E115*'a)Plantilla'!$C41*Programa!D$72,IF(TipoProgramaPersonalTecnico=2,$E115*BN114,$E115/Hjor*BN114))</f>
        <v>0</v>
      </c>
    </row>
    <row r="116" spans="1:66" ht="7.5" customHeight="1">
      <c r="A116" s="67"/>
      <c r="B116" s="19"/>
      <c r="C116" s="127"/>
      <c r="D116" s="54"/>
      <c r="E116" s="19"/>
      <c r="F116" s="19"/>
      <c r="G116" s="1" t="s">
        <v>168</v>
      </c>
      <c r="H116" s="1" t="s">
        <v>168</v>
      </c>
      <c r="I116" s="1" t="s">
        <v>168</v>
      </c>
      <c r="J116" s="1" t="s">
        <v>168</v>
      </c>
      <c r="K116" s="1" t="s">
        <v>168</v>
      </c>
      <c r="L116" s="1" t="s">
        <v>168</v>
      </c>
      <c r="M116" s="1" t="s">
        <v>168</v>
      </c>
      <c r="N116" s="1" t="s">
        <v>168</v>
      </c>
      <c r="O116" s="1" t="s">
        <v>168</v>
      </c>
      <c r="P116" s="1" t="s">
        <v>168</v>
      </c>
      <c r="Q116" s="1" t="s">
        <v>168</v>
      </c>
      <c r="R116" s="8" t="s">
        <v>168</v>
      </c>
      <c r="S116" s="13" t="s">
        <v>168</v>
      </c>
      <c r="T116" s="1" t="s">
        <v>168</v>
      </c>
      <c r="U116" s="1" t="s">
        <v>168</v>
      </c>
      <c r="V116" s="1" t="s">
        <v>168</v>
      </c>
      <c r="W116" s="1" t="s">
        <v>168</v>
      </c>
      <c r="X116" s="1" t="s">
        <v>168</v>
      </c>
      <c r="Y116" s="1" t="s">
        <v>168</v>
      </c>
      <c r="Z116" s="1" t="s">
        <v>168</v>
      </c>
      <c r="AA116" s="1" t="s">
        <v>168</v>
      </c>
      <c r="AB116" s="1" t="s">
        <v>168</v>
      </c>
      <c r="AC116" s="1" t="s">
        <v>168</v>
      </c>
      <c r="AD116" s="8" t="s">
        <v>168</v>
      </c>
      <c r="AE116" s="13" t="s">
        <v>168</v>
      </c>
      <c r="AF116" s="1" t="s">
        <v>168</v>
      </c>
      <c r="AG116" s="1" t="s">
        <v>168</v>
      </c>
      <c r="AH116" s="1" t="s">
        <v>168</v>
      </c>
      <c r="AI116" s="1" t="s">
        <v>168</v>
      </c>
      <c r="AJ116" s="1" t="s">
        <v>168</v>
      </c>
      <c r="AK116" s="1" t="s">
        <v>168</v>
      </c>
      <c r="AL116" s="1" t="s">
        <v>168</v>
      </c>
      <c r="AM116" s="1" t="s">
        <v>168</v>
      </c>
      <c r="AN116" s="1" t="s">
        <v>168</v>
      </c>
      <c r="AO116" s="1" t="s">
        <v>168</v>
      </c>
      <c r="AP116" s="8" t="s">
        <v>168</v>
      </c>
      <c r="AQ116" s="13" t="s">
        <v>168</v>
      </c>
      <c r="AR116" s="1" t="s">
        <v>168</v>
      </c>
      <c r="AS116" s="1" t="s">
        <v>168</v>
      </c>
      <c r="AT116" s="1" t="s">
        <v>168</v>
      </c>
      <c r="AU116" s="1" t="s">
        <v>168</v>
      </c>
      <c r="AV116" s="1" t="s">
        <v>168</v>
      </c>
      <c r="AW116" s="1" t="s">
        <v>168</v>
      </c>
      <c r="AX116" s="1" t="s">
        <v>168</v>
      </c>
      <c r="AY116" s="1" t="s">
        <v>168</v>
      </c>
      <c r="AZ116" s="1" t="s">
        <v>168</v>
      </c>
      <c r="BA116" s="1" t="s">
        <v>168</v>
      </c>
      <c r="BB116" s="8" t="s">
        <v>168</v>
      </c>
      <c r="BC116" s="13" t="s">
        <v>168</v>
      </c>
      <c r="BD116" s="1" t="s">
        <v>168</v>
      </c>
      <c r="BE116" s="1" t="s">
        <v>168</v>
      </c>
      <c r="BF116" s="1" t="s">
        <v>168</v>
      </c>
      <c r="BG116" s="1" t="s">
        <v>168</v>
      </c>
      <c r="BH116" s="1" t="s">
        <v>168</v>
      </c>
      <c r="BI116" s="1" t="s">
        <v>168</v>
      </c>
      <c r="BJ116" s="1" t="s">
        <v>168</v>
      </c>
      <c r="BK116" s="1" t="s">
        <v>168</v>
      </c>
      <c r="BL116" s="1" t="s">
        <v>168</v>
      </c>
      <c r="BM116" s="1" t="s">
        <v>168</v>
      </c>
      <c r="BN116" s="8" t="s">
        <v>168</v>
      </c>
    </row>
    <row r="117" spans="1:66">
      <c r="A117" s="67"/>
      <c r="B117" s="46"/>
      <c r="C117" s="127"/>
      <c r="D117" s="52"/>
      <c r="E117" s="7"/>
      <c r="F117" s="7"/>
      <c r="G117" s="3">
        <f>'d)Pers.Técnico'!E84</f>
        <v>0</v>
      </c>
      <c r="H117" s="3">
        <f>'d)Pers.Técnico'!F84</f>
        <v>0</v>
      </c>
      <c r="I117" s="3">
        <f>'d)Pers.Técnico'!G84</f>
        <v>0</v>
      </c>
      <c r="J117" s="3">
        <f>'d)Pers.Técnico'!H84</f>
        <v>0</v>
      </c>
      <c r="K117" s="3">
        <f>'d)Pers.Técnico'!I84</f>
        <v>0</v>
      </c>
      <c r="L117" s="3">
        <f>'d)Pers.Técnico'!J84</f>
        <v>0</v>
      </c>
      <c r="M117" s="3">
        <f>'d)Pers.Técnico'!K84</f>
        <v>0</v>
      </c>
      <c r="N117" s="3">
        <f>'d)Pers.Técnico'!L84</f>
        <v>0</v>
      </c>
      <c r="O117" s="3">
        <f>'d)Pers.Técnico'!M84</f>
        <v>0</v>
      </c>
      <c r="P117" s="3">
        <f>'d)Pers.Técnico'!N84</f>
        <v>0</v>
      </c>
      <c r="Q117" s="3">
        <f>'d)Pers.Técnico'!O84</f>
        <v>0</v>
      </c>
      <c r="R117" s="14">
        <f>'d)Pers.Técnico'!P84</f>
        <v>0</v>
      </c>
      <c r="S117" s="20">
        <f>'d)Pers.Técnico'!Q84</f>
        <v>0</v>
      </c>
      <c r="T117" s="3">
        <f>'d)Pers.Técnico'!R84</f>
        <v>0</v>
      </c>
      <c r="U117" s="3">
        <f>'d)Pers.Técnico'!S84</f>
        <v>0</v>
      </c>
      <c r="V117" s="3">
        <f>'d)Pers.Técnico'!T84</f>
        <v>0</v>
      </c>
      <c r="W117" s="3">
        <f>'d)Pers.Técnico'!U84</f>
        <v>0</v>
      </c>
      <c r="X117" s="3">
        <f>'d)Pers.Técnico'!V84</f>
        <v>0</v>
      </c>
      <c r="Y117" s="3">
        <f>'d)Pers.Técnico'!W84</f>
        <v>0</v>
      </c>
      <c r="Z117" s="3">
        <f>'d)Pers.Técnico'!X84</f>
        <v>0</v>
      </c>
      <c r="AA117" s="3">
        <f>'d)Pers.Técnico'!Y84</f>
        <v>0</v>
      </c>
      <c r="AB117" s="3">
        <f>'d)Pers.Técnico'!Z84</f>
        <v>0</v>
      </c>
      <c r="AC117" s="3">
        <f>'d)Pers.Técnico'!AA84</f>
        <v>0</v>
      </c>
      <c r="AD117" s="14">
        <f>'d)Pers.Técnico'!AB84</f>
        <v>0</v>
      </c>
      <c r="AE117" s="20">
        <f>'d)Pers.Técnico'!AC84</f>
        <v>0</v>
      </c>
      <c r="AF117" s="3">
        <f>'d)Pers.Técnico'!AD84</f>
        <v>0</v>
      </c>
      <c r="AG117" s="3">
        <f>'d)Pers.Técnico'!AE84</f>
        <v>0</v>
      </c>
      <c r="AH117" s="3">
        <f>'d)Pers.Técnico'!AF84</f>
        <v>0</v>
      </c>
      <c r="AI117" s="3">
        <f>'d)Pers.Técnico'!AG84</f>
        <v>0</v>
      </c>
      <c r="AJ117" s="3">
        <f>'d)Pers.Técnico'!AH84</f>
        <v>0</v>
      </c>
      <c r="AK117" s="3">
        <f>'d)Pers.Técnico'!AI84</f>
        <v>0</v>
      </c>
      <c r="AL117" s="3">
        <f>'d)Pers.Técnico'!AJ84</f>
        <v>0</v>
      </c>
      <c r="AM117" s="3">
        <f>'d)Pers.Técnico'!AK84</f>
        <v>0</v>
      </c>
      <c r="AN117" s="3">
        <f>'d)Pers.Técnico'!AL84</f>
        <v>0</v>
      </c>
      <c r="AO117" s="3">
        <f>'d)Pers.Técnico'!AM84</f>
        <v>0</v>
      </c>
      <c r="AP117" s="14">
        <f>'d)Pers.Técnico'!AN84</f>
        <v>0</v>
      </c>
      <c r="AQ117" s="20">
        <f>'d)Pers.Técnico'!AO84</f>
        <v>0</v>
      </c>
      <c r="AR117" s="3">
        <f>'d)Pers.Técnico'!AP84</f>
        <v>0</v>
      </c>
      <c r="AS117" s="3">
        <f>'d)Pers.Técnico'!AQ84</f>
        <v>0</v>
      </c>
      <c r="AT117" s="3">
        <f>'d)Pers.Técnico'!AR84</f>
        <v>0</v>
      </c>
      <c r="AU117" s="3">
        <f>'d)Pers.Técnico'!AS84</f>
        <v>0</v>
      </c>
      <c r="AV117" s="3">
        <f>'d)Pers.Técnico'!AT84</f>
        <v>0</v>
      </c>
      <c r="AW117" s="3">
        <f>'d)Pers.Técnico'!AU84</f>
        <v>0</v>
      </c>
      <c r="AX117" s="3">
        <f>'d)Pers.Técnico'!AV84</f>
        <v>0</v>
      </c>
      <c r="AY117" s="3">
        <f>'d)Pers.Técnico'!AW84</f>
        <v>0</v>
      </c>
      <c r="AZ117" s="3">
        <f>'d)Pers.Técnico'!AX84</f>
        <v>0</v>
      </c>
      <c r="BA117" s="1">
        <f>'d)Pers.Técnico'!AY84</f>
        <v>0</v>
      </c>
      <c r="BB117" s="60">
        <f>'d)Pers.Técnico'!AZ84</f>
        <v>0</v>
      </c>
      <c r="BC117" s="61">
        <f>'d)Pers.Técnico'!BA84</f>
        <v>0</v>
      </c>
      <c r="BD117" s="3">
        <f>'d)Pers.Técnico'!BB84</f>
        <v>0</v>
      </c>
      <c r="BE117" s="3">
        <f>'d)Pers.Técnico'!BC84</f>
        <v>0</v>
      </c>
      <c r="BF117" s="3">
        <f>'d)Pers.Técnico'!BD84</f>
        <v>0</v>
      </c>
      <c r="BG117" s="3">
        <f>'d)Pers.Técnico'!BE84</f>
        <v>0</v>
      </c>
      <c r="BH117" s="3">
        <f>'d)Pers.Técnico'!BF84</f>
        <v>0</v>
      </c>
      <c r="BI117" s="3">
        <f>'d)Pers.Técnico'!BG84</f>
        <v>0</v>
      </c>
      <c r="BJ117" s="3">
        <f>'d)Pers.Técnico'!BH84</f>
        <v>0</v>
      </c>
      <c r="BK117" s="3">
        <f>'d)Pers.Técnico'!BI84</f>
        <v>0</v>
      </c>
      <c r="BL117" s="3">
        <f>'d)Pers.Técnico'!BJ84</f>
        <v>0</v>
      </c>
      <c r="BM117" s="3">
        <f>'d)Pers.Técnico'!BK84</f>
        <v>0</v>
      </c>
      <c r="BN117" s="14">
        <f>'d)Pers.Técnico'!BL84</f>
        <v>0</v>
      </c>
    </row>
    <row r="118" spans="1:66">
      <c r="A118" s="67"/>
      <c r="B118" s="46" t="str">
        <f>+'d)Pers.Técnico'!B84</f>
        <v/>
      </c>
      <c r="C118" s="127" t="str">
        <f>'d)Pers.Técnico'!C84</f>
        <v/>
      </c>
      <c r="D118" s="52">
        <f>SUM(G117:BN117)</f>
        <v>0</v>
      </c>
      <c r="E118" s="7">
        <f>IF('a)Plantilla'!C42&gt;0,'a)Plantilla'!D42/30,0)</f>
        <v>0</v>
      </c>
      <c r="F118" s="7">
        <f>SUM(G118:BN118)</f>
        <v>0</v>
      </c>
      <c r="G118" s="2">
        <f>IF(TipoProgramaPersonalTecnico=1,$E118*'a)Plantilla'!$C42*Programa!D$13,IF(TipoProgramaPersonalTecnico=2,$E118*G117,$E118/Hjor*G117))</f>
        <v>0</v>
      </c>
      <c r="H118" s="2">
        <f>IF(TipoProgramaPersonalTecnico=1,$E118*'a)Plantilla'!$C42*Programa!D$14,IF(TipoProgramaPersonalTecnico=2,$E118*H117,$E118/Hjor*H117))</f>
        <v>0</v>
      </c>
      <c r="I118" s="2">
        <f>IF(TipoProgramaPersonalTecnico=1,$E118*'a)Plantilla'!$C42*Programa!D$15,IF(TipoProgramaPersonalTecnico=2,$E118*I117,$E118/Hjor*I117))</f>
        <v>0</v>
      </c>
      <c r="J118" s="2">
        <f>IF(TipoProgramaPersonalTecnico=1,$E118*'a)Plantilla'!$C42*Programa!D$16,IF(TipoProgramaPersonalTecnico=2,$E118*J117,$E118/Hjor*J117))</f>
        <v>0</v>
      </c>
      <c r="K118" s="2">
        <f>IF(TipoProgramaPersonalTecnico=1,$E118*'a)Plantilla'!$C42*Programa!D$17,IF(TipoProgramaPersonalTecnico=2,$E118*K117,$E118/Hjor*K117))</f>
        <v>0</v>
      </c>
      <c r="L118" s="2">
        <f>IF(TipoProgramaPersonalTecnico=1,$E118*'a)Plantilla'!$C42*Programa!D$18,IF(TipoProgramaPersonalTecnico=2,$E118*L117,$E118/Hjor*L117))</f>
        <v>0</v>
      </c>
      <c r="M118" s="2">
        <f>IF(TipoProgramaPersonalTecnico=1,$E118*'a)Plantilla'!$C42*Programa!D$19,IF(TipoProgramaPersonalTecnico=2,$E118*M117,$E118/Hjor*M117))</f>
        <v>0</v>
      </c>
      <c r="N118" s="2">
        <f>IF(TipoProgramaPersonalTecnico=1,$E118*'a)Plantilla'!$C42*Programa!D$20,IF(TipoProgramaPersonalTecnico=2,$E118*N117,$E118/Hjor*N117))</f>
        <v>0</v>
      </c>
      <c r="O118" s="2">
        <f>IF(TipoProgramaPersonalTecnico=1,$E118*'a)Plantilla'!$C42*Programa!D$21,IF(TipoProgramaPersonalTecnico=2,$E118*O117,$E118/Hjor*O117))</f>
        <v>0</v>
      </c>
      <c r="P118" s="2">
        <f>IF(TipoProgramaPersonalTecnico=1,$E118*'a)Plantilla'!$C42*Programa!D$22,IF(TipoProgramaPersonalTecnico=2,$E118*P117,$E118/Hjor*P117))</f>
        <v>0</v>
      </c>
      <c r="Q118" s="2">
        <f>IF(TipoProgramaPersonalTecnico=1,$E118*'a)Plantilla'!$C42*Programa!D$23,IF(TipoProgramaPersonalTecnico=2,$E118*Q117,$E118/Hjor*Q117))</f>
        <v>0</v>
      </c>
      <c r="R118" s="12">
        <f>IF(TipoProgramaPersonalTecnico=1,$E118*'a)Plantilla'!$C42*Programa!D$24,IF(TipoProgramaPersonalTecnico=2,$E118*R117,$E118/Hjor*R117))</f>
        <v>0</v>
      </c>
      <c r="S118" s="7">
        <f>IF(TipoProgramaPersonalTecnico=1,$E118*'a)Plantilla'!$C42*Programa!D$25,IF(TipoProgramaPersonalTecnico=2,$E118*S117,$E118/Hjor*S117))</f>
        <v>0</v>
      </c>
      <c r="T118" s="2">
        <f>IF(TipoProgramaPersonalTecnico=1,$E118*'a)Plantilla'!$C42*Programa!D$26,IF(TipoProgramaPersonalTecnico=2,$E118*T117,$E118/Hjor*T117))</f>
        <v>0</v>
      </c>
      <c r="U118" s="2">
        <f>IF(TipoProgramaPersonalTecnico=1,$E118*'a)Plantilla'!$C42*Programa!D$27,IF(TipoProgramaPersonalTecnico=2,$E118*U117,$E118/Hjor*U117))</f>
        <v>0</v>
      </c>
      <c r="V118" s="2">
        <f>IF(TipoProgramaPersonalTecnico=1,$E118*'a)Plantilla'!$C42*Programa!D$28,IF(TipoProgramaPersonalTecnico=2,$E118*V117,$E118/Hjor*V117))</f>
        <v>0</v>
      </c>
      <c r="W118" s="2">
        <f>IF(TipoProgramaPersonalTecnico=1,$E118*'a)Plantilla'!$C42*Programa!D$29,IF(TipoProgramaPersonalTecnico=2,$E118*W117,$E118/Hjor*W117))</f>
        <v>0</v>
      </c>
      <c r="X118" s="2">
        <f>IF(TipoProgramaPersonalTecnico=1,$E118*'a)Plantilla'!$C42*Programa!D$30,IF(TipoProgramaPersonalTecnico=2,$E118*X117,$E118/Hjor*X117))</f>
        <v>0</v>
      </c>
      <c r="Y118" s="2">
        <f>IF(TipoProgramaPersonalTecnico=1,$E118*'a)Plantilla'!$C42*Programa!D$31,IF(TipoProgramaPersonalTecnico=2,$E118*Y117,$E118/Hjor*Y117))</f>
        <v>0</v>
      </c>
      <c r="Z118" s="2">
        <f>IF(TipoProgramaPersonalTecnico=1,$E118*'a)Plantilla'!$C42*Programa!D$32,IF(TipoProgramaPersonalTecnico=2,$E118*Z117,$E118/Hjor*Z117))</f>
        <v>0</v>
      </c>
      <c r="AA118" s="2">
        <f>IF(TipoProgramaPersonalTecnico=1,$E118*'a)Plantilla'!$C42*Programa!D$33,IF(TipoProgramaPersonalTecnico=2,$E118*AA117,$E118/Hjor*AA117))</f>
        <v>0</v>
      </c>
      <c r="AB118" s="2">
        <f>IF(TipoProgramaPersonalTecnico=1,$E118*'a)Plantilla'!$C42*Programa!D$34,IF(TipoProgramaPersonalTecnico=2,$E118*AB117,$E118/Hjor*AB117))</f>
        <v>0</v>
      </c>
      <c r="AC118" s="2">
        <f>IF(TipoProgramaPersonalTecnico=1,$E118*'a)Plantilla'!$C42*Programa!D$35,IF(TipoProgramaPersonalTecnico=2,$E118*AC117,$E118/Hjor*AC117))</f>
        <v>0</v>
      </c>
      <c r="AD118" s="12">
        <f>IF(TipoProgramaPersonalTecnico=1,$E118*'a)Plantilla'!$C42*Programa!D$36,IF(TipoProgramaPersonalTecnico=2,$E118*AD117,$E118/Hjor*AD117))</f>
        <v>0</v>
      </c>
      <c r="AE118" s="7">
        <f>IF(TipoProgramaPersonalTecnico=1,$E118*'a)Plantilla'!$C42*Programa!D$37,IF(TipoProgramaPersonalTecnico=2,$E118*AE117,$E118/Hjor*AE117))</f>
        <v>0</v>
      </c>
      <c r="AF118" s="2">
        <f>IF(TipoProgramaPersonalTecnico=1,$E118*'a)Plantilla'!$C42*Programa!D$38,IF(TipoProgramaPersonalTecnico=2,$E118*AF117,$E118/Hjor*AF117))</f>
        <v>0</v>
      </c>
      <c r="AG118" s="2">
        <f>IF(TipoProgramaPersonalTecnico=1,$E118*'a)Plantilla'!$C42*Programa!D$39,IF(TipoProgramaPersonalTecnico=2,$E118*AG117,$E118/Hjor*AG117))</f>
        <v>0</v>
      </c>
      <c r="AH118" s="2">
        <f>IF(TipoProgramaPersonalTecnico=1,$E118*'a)Plantilla'!$C42*Programa!D$40,IF(TipoProgramaPersonalTecnico=2,$E118*AH117,$E118/Hjor*AH117))</f>
        <v>0</v>
      </c>
      <c r="AI118" s="2">
        <f>IF(TipoProgramaPersonalTecnico=1,$E118*'a)Plantilla'!$C42*Programa!D$41,IF(TipoProgramaPersonalTecnico=2,$E118*AI117,$E118/Hjor*AI117))</f>
        <v>0</v>
      </c>
      <c r="AJ118" s="2">
        <f>IF(TipoProgramaPersonalTecnico=1,$E118*'a)Plantilla'!$C42*Programa!D$42,IF(TipoProgramaPersonalTecnico=2,$E118*AJ117,$E118/Hjor*AJ117))</f>
        <v>0</v>
      </c>
      <c r="AK118" s="2">
        <f>IF(TipoProgramaPersonalTecnico=1,$E118*'a)Plantilla'!$C42*Programa!D$43,IF(TipoProgramaPersonalTecnico=2,$E118*AK117,$E118/Hjor*AK117))</f>
        <v>0</v>
      </c>
      <c r="AL118" s="2">
        <f>IF(TipoProgramaPersonalTecnico=1,$E118*'a)Plantilla'!$C42*Programa!D$44,IF(TipoProgramaPersonalTecnico=2,$E118*AL117,$E118/Hjor*AL117))</f>
        <v>0</v>
      </c>
      <c r="AM118" s="2">
        <f>IF(TipoProgramaPersonalTecnico=1,$E118*'a)Plantilla'!$C42*Programa!D$45,IF(TipoProgramaPersonalTecnico=2,$E118*AM117,$E118/Hjor*AM117))</f>
        <v>0</v>
      </c>
      <c r="AN118" s="2">
        <f>IF(TipoProgramaPersonalTecnico=1,$E118*'a)Plantilla'!$C42*Programa!D$46,IF(TipoProgramaPersonalTecnico=2,$E118*AN117,$E118/Hjor*AN117))</f>
        <v>0</v>
      </c>
      <c r="AO118" s="2">
        <f>IF(TipoProgramaPersonalTecnico=1,$E118*'a)Plantilla'!$C42*Programa!D$47,IF(TipoProgramaPersonalTecnico=2,$E118*AO117,$E118/Hjor*AO117))</f>
        <v>0</v>
      </c>
      <c r="AP118" s="12">
        <f>IF(TipoProgramaPersonalTecnico=1,$E118*'a)Plantilla'!$C42*Programa!D$48,IF(TipoProgramaPersonalTecnico=2,$E118*AP117,$E118/Hjor*AP117))</f>
        <v>0</v>
      </c>
      <c r="AQ118" s="7">
        <f>IF(TipoProgramaPersonalTecnico=1,$E118*'a)Plantilla'!$C42*Programa!D$49,IF(TipoProgramaPersonalTecnico=2,$E118*AQ117,$E118/Hjor*AQ117))</f>
        <v>0</v>
      </c>
      <c r="AR118" s="2">
        <f>IF(TipoProgramaPersonalTecnico=1,$E118*'a)Plantilla'!$C42*Programa!D$50,IF(TipoProgramaPersonalTecnico=2,$E118*AR117,$E118/Hjor*AR117))</f>
        <v>0</v>
      </c>
      <c r="AS118" s="2">
        <f>IF(TipoProgramaPersonalTecnico=1,$E118*'a)Plantilla'!$C42*Programa!D$51,IF(TipoProgramaPersonalTecnico=2,$E118*AS117,$E118/Hjor*AS117))</f>
        <v>0</v>
      </c>
      <c r="AT118" s="2">
        <f>IF(TipoProgramaPersonalTecnico=1,$E118*'a)Plantilla'!$C42*Programa!D$52,IF(TipoProgramaPersonalTecnico=2,$E118*AT117,$E118/Hjor*AT117))</f>
        <v>0</v>
      </c>
      <c r="AU118" s="2">
        <f>IF(TipoProgramaPersonalTecnico=1,$E118*'a)Plantilla'!$C42*Programa!D$53,IF(TipoProgramaPersonalTecnico=2,$E118*AU117,$E118/Hjor*AU117))</f>
        <v>0</v>
      </c>
      <c r="AV118" s="2">
        <f>IF(TipoProgramaPersonalTecnico=1,$E118*'a)Plantilla'!$C42*Programa!D$54,IF(TipoProgramaPersonalTecnico=2,$E118*AV117,$E118/Hjor*AV117))</f>
        <v>0</v>
      </c>
      <c r="AW118" s="2">
        <f>IF(TipoProgramaPersonalTecnico=1,$E118*'a)Plantilla'!$C42*Programa!D$55,IF(TipoProgramaPersonalTecnico=2,$E118*AW117,$E118/Hjor*AW117))</f>
        <v>0</v>
      </c>
      <c r="AX118" s="2">
        <f>IF(TipoProgramaPersonalTecnico=1,$E118*'a)Plantilla'!$C42*Programa!D$56,IF(TipoProgramaPersonalTecnico=2,$E118*AX117,$E118/Hjor*AX117))</f>
        <v>0</v>
      </c>
      <c r="AY118" s="2">
        <f>IF(TipoProgramaPersonalTecnico=1,$E118*'a)Plantilla'!$C42*Programa!D$57,IF(TipoProgramaPersonalTecnico=2,$E118*AY117,$E118/Hjor*AY117))</f>
        <v>0</v>
      </c>
      <c r="AZ118" s="2">
        <f>IF(TipoProgramaPersonalTecnico=1,$E118*'a)Plantilla'!$C42*Programa!D$58,IF(TipoProgramaPersonalTecnico=2,$E118*AZ117,$E118/Hjor*AZ117))</f>
        <v>0</v>
      </c>
      <c r="BA118" s="55">
        <f>IF(TipoProgramaPersonalTecnico=1,$E118*'a)Plantilla'!$C42*Programa!D$59,IF(TipoProgramaPersonalTecnico=2,$E118*BA117,$E118/Hjor*BA117))</f>
        <v>0</v>
      </c>
      <c r="BB118" s="56">
        <f>IF(TipoProgramaPersonalTecnico=1,$E118*'a)Plantilla'!$C42*Programa!D$60,IF(TipoProgramaPersonalTecnico=2,$E118*BB117,$E118/Hjor*BB117))</f>
        <v>0</v>
      </c>
      <c r="BC118" s="53">
        <f>IF(TipoProgramaPersonalTecnico=1,$E118*'a)Plantilla'!$C42*Programa!D$61,IF(TipoProgramaPersonalTecnico=2,$E118*BC117,$E118/Hjor*BC117))</f>
        <v>0</v>
      </c>
      <c r="BD118" s="2">
        <f>IF(TipoProgramaPersonalTecnico=1,$E118*'a)Plantilla'!$C42*Programa!D$62,IF(TipoProgramaPersonalTecnico=2,$E118*BD117,$E118/Hjor*BD117))</f>
        <v>0</v>
      </c>
      <c r="BE118" s="2">
        <f>IF(TipoProgramaPersonalTecnico=1,$E118*'a)Plantilla'!$C42*Programa!D$63,IF(TipoProgramaPersonalTecnico=2,$E118*BE117,$E118/Hjor*BE117))</f>
        <v>0</v>
      </c>
      <c r="BF118" s="2">
        <f>IF(TipoProgramaPersonalTecnico=1,$E118*'a)Plantilla'!$C42*Programa!D$64,IF(TipoProgramaPersonalTecnico=2,$E118*BF117,$E118/Hjor*BF117))</f>
        <v>0</v>
      </c>
      <c r="BG118" s="2">
        <f>IF(TipoProgramaPersonalTecnico=1,$E118*'a)Plantilla'!$C42*Programa!D$65,IF(TipoProgramaPersonalTecnico=2,$E118*BG117,$E118/Hjor*BG117))</f>
        <v>0</v>
      </c>
      <c r="BH118" s="2">
        <f>IF(TipoProgramaPersonalTecnico=1,$E118*'a)Plantilla'!$C42*Programa!D$66,IF(TipoProgramaPersonalTecnico=2,$E118*BH117,$E118/Hjor*BH117))</f>
        <v>0</v>
      </c>
      <c r="BI118" s="2">
        <f>IF(TipoProgramaPersonalTecnico=1,$E118*'a)Plantilla'!$C42*Programa!D$67,IF(TipoProgramaPersonalTecnico=2,$E118*BI117,$E118/Hjor*BI117))</f>
        <v>0</v>
      </c>
      <c r="BJ118" s="2">
        <f>IF(TipoProgramaPersonalTecnico=1,$E118*'a)Plantilla'!$C42*Programa!D$68,IF(TipoProgramaPersonalTecnico=2,$E118*BJ117,$E118/Hjor*BJ117))</f>
        <v>0</v>
      </c>
      <c r="BK118" s="2">
        <f>IF(TipoProgramaPersonalTecnico=1,$E118*'a)Plantilla'!$C42*Programa!D$69,IF(TipoProgramaPersonalTecnico=2,$E118*BK117,$E118/Hjor*BK117))</f>
        <v>0</v>
      </c>
      <c r="BL118" s="2">
        <f>IF(TipoProgramaPersonalTecnico=1,$E118*'a)Plantilla'!$C42*Programa!D$70,IF(TipoProgramaPersonalTecnico=2,$E118*BL117,$E118/Hjor*BL117))</f>
        <v>0</v>
      </c>
      <c r="BM118" s="2">
        <f>IF(TipoProgramaPersonalTecnico=1,$E118*'a)Plantilla'!$C42*Programa!D$71,IF(TipoProgramaPersonalTecnico=2,$E118*BM117,$E118/Hjor*BM117))</f>
        <v>0</v>
      </c>
      <c r="BN118" s="12">
        <f>IF(TipoProgramaPersonalTecnico=1,$E118*'a)Plantilla'!$C42*Programa!D$72,IF(TipoProgramaPersonalTecnico=2,$E118*BN117,$E118/Hjor*BN117))</f>
        <v>0</v>
      </c>
    </row>
    <row r="119" spans="1:66" ht="7.5" customHeight="1">
      <c r="A119" s="67"/>
      <c r="B119" s="19"/>
      <c r="C119" s="127"/>
      <c r="D119" s="54"/>
      <c r="E119" s="19"/>
      <c r="F119" s="19"/>
      <c r="G119" s="1" t="s">
        <v>168</v>
      </c>
      <c r="H119" s="1" t="s">
        <v>168</v>
      </c>
      <c r="I119" s="1" t="s">
        <v>168</v>
      </c>
      <c r="J119" s="1" t="s">
        <v>168</v>
      </c>
      <c r="K119" s="1" t="s">
        <v>168</v>
      </c>
      <c r="L119" s="1" t="s">
        <v>168</v>
      </c>
      <c r="M119" s="1" t="s">
        <v>168</v>
      </c>
      <c r="N119" s="1" t="s">
        <v>168</v>
      </c>
      <c r="O119" s="1" t="s">
        <v>168</v>
      </c>
      <c r="P119" s="1" t="s">
        <v>168</v>
      </c>
      <c r="Q119" s="1" t="s">
        <v>168</v>
      </c>
      <c r="R119" s="8" t="s">
        <v>168</v>
      </c>
      <c r="S119" s="13" t="s">
        <v>168</v>
      </c>
      <c r="T119" s="1" t="s">
        <v>168</v>
      </c>
      <c r="U119" s="1" t="s">
        <v>168</v>
      </c>
      <c r="V119" s="1" t="s">
        <v>168</v>
      </c>
      <c r="W119" s="1" t="s">
        <v>168</v>
      </c>
      <c r="X119" s="1" t="s">
        <v>168</v>
      </c>
      <c r="Y119" s="1" t="s">
        <v>168</v>
      </c>
      <c r="Z119" s="1" t="s">
        <v>168</v>
      </c>
      <c r="AA119" s="1" t="s">
        <v>168</v>
      </c>
      <c r="AB119" s="1" t="s">
        <v>168</v>
      </c>
      <c r="AC119" s="1" t="s">
        <v>168</v>
      </c>
      <c r="AD119" s="8" t="s">
        <v>168</v>
      </c>
      <c r="AE119" s="13" t="s">
        <v>168</v>
      </c>
      <c r="AF119" s="1" t="s">
        <v>168</v>
      </c>
      <c r="AG119" s="1" t="s">
        <v>168</v>
      </c>
      <c r="AH119" s="1" t="s">
        <v>168</v>
      </c>
      <c r="AI119" s="1" t="s">
        <v>168</v>
      </c>
      <c r="AJ119" s="1" t="s">
        <v>168</v>
      </c>
      <c r="AK119" s="1" t="s">
        <v>168</v>
      </c>
      <c r="AL119" s="1" t="s">
        <v>168</v>
      </c>
      <c r="AM119" s="1" t="s">
        <v>168</v>
      </c>
      <c r="AN119" s="1" t="s">
        <v>168</v>
      </c>
      <c r="AO119" s="1" t="s">
        <v>168</v>
      </c>
      <c r="AP119" s="8" t="s">
        <v>168</v>
      </c>
      <c r="AQ119" s="13" t="s">
        <v>168</v>
      </c>
      <c r="AR119" s="1" t="s">
        <v>168</v>
      </c>
      <c r="AS119" s="1" t="s">
        <v>168</v>
      </c>
      <c r="AT119" s="1" t="s">
        <v>168</v>
      </c>
      <c r="AU119" s="1" t="s">
        <v>168</v>
      </c>
      <c r="AV119" s="1" t="s">
        <v>168</v>
      </c>
      <c r="AW119" s="1" t="s">
        <v>168</v>
      </c>
      <c r="AX119" s="1" t="s">
        <v>168</v>
      </c>
      <c r="AY119" s="1" t="s">
        <v>168</v>
      </c>
      <c r="AZ119" s="1" t="s">
        <v>168</v>
      </c>
      <c r="BA119" s="1" t="s">
        <v>168</v>
      </c>
      <c r="BB119" s="8" t="s">
        <v>168</v>
      </c>
      <c r="BC119" s="13" t="s">
        <v>168</v>
      </c>
      <c r="BD119" s="1" t="s">
        <v>168</v>
      </c>
      <c r="BE119" s="1" t="s">
        <v>168</v>
      </c>
      <c r="BF119" s="1" t="s">
        <v>168</v>
      </c>
      <c r="BG119" s="1" t="s">
        <v>168</v>
      </c>
      <c r="BH119" s="1" t="s">
        <v>168</v>
      </c>
      <c r="BI119" s="1" t="s">
        <v>168</v>
      </c>
      <c r="BJ119" s="1" t="s">
        <v>168</v>
      </c>
      <c r="BK119" s="1" t="s">
        <v>168</v>
      </c>
      <c r="BL119" s="1" t="s">
        <v>168</v>
      </c>
      <c r="BM119" s="1" t="s">
        <v>168</v>
      </c>
      <c r="BN119" s="8" t="s">
        <v>168</v>
      </c>
    </row>
    <row r="120" spans="1:66">
      <c r="A120" s="67"/>
      <c r="B120" s="46"/>
      <c r="C120" s="127"/>
      <c r="D120" s="52"/>
      <c r="E120" s="7"/>
      <c r="F120" s="7"/>
      <c r="G120" s="3">
        <f>'d)Pers.Técnico'!E86</f>
        <v>0</v>
      </c>
      <c r="H120" s="3">
        <f>'d)Pers.Técnico'!F86</f>
        <v>0</v>
      </c>
      <c r="I120" s="3">
        <f>'d)Pers.Técnico'!G86</f>
        <v>0</v>
      </c>
      <c r="J120" s="3">
        <f>'d)Pers.Técnico'!H86</f>
        <v>0</v>
      </c>
      <c r="K120" s="3">
        <f>'d)Pers.Técnico'!I86</f>
        <v>0</v>
      </c>
      <c r="L120" s="3">
        <f>'d)Pers.Técnico'!J86</f>
        <v>0</v>
      </c>
      <c r="M120" s="3">
        <f>'d)Pers.Técnico'!K86</f>
        <v>0</v>
      </c>
      <c r="N120" s="3">
        <f>'d)Pers.Técnico'!L86</f>
        <v>0</v>
      </c>
      <c r="O120" s="3">
        <f>'d)Pers.Técnico'!M86</f>
        <v>0</v>
      </c>
      <c r="P120" s="3">
        <f>'d)Pers.Técnico'!N86</f>
        <v>0</v>
      </c>
      <c r="Q120" s="3">
        <f>'d)Pers.Técnico'!O86</f>
        <v>0</v>
      </c>
      <c r="R120" s="14">
        <f>'d)Pers.Técnico'!P86</f>
        <v>0</v>
      </c>
      <c r="S120" s="20">
        <f>'d)Pers.Técnico'!Q86</f>
        <v>0</v>
      </c>
      <c r="T120" s="3">
        <f>'d)Pers.Técnico'!R86</f>
        <v>0</v>
      </c>
      <c r="U120" s="3">
        <f>'d)Pers.Técnico'!S86</f>
        <v>0</v>
      </c>
      <c r="V120" s="3">
        <f>'d)Pers.Técnico'!T86</f>
        <v>0</v>
      </c>
      <c r="W120" s="3">
        <f>'d)Pers.Técnico'!U86</f>
        <v>0</v>
      </c>
      <c r="X120" s="3">
        <f>'d)Pers.Técnico'!V86</f>
        <v>0</v>
      </c>
      <c r="Y120" s="3">
        <f>'d)Pers.Técnico'!W86</f>
        <v>0</v>
      </c>
      <c r="Z120" s="3">
        <f>'d)Pers.Técnico'!X86</f>
        <v>0</v>
      </c>
      <c r="AA120" s="3">
        <f>'d)Pers.Técnico'!Y86</f>
        <v>0</v>
      </c>
      <c r="AB120" s="3">
        <f>'d)Pers.Técnico'!Z86</f>
        <v>0</v>
      </c>
      <c r="AC120" s="3">
        <f>'d)Pers.Técnico'!AA86</f>
        <v>0</v>
      </c>
      <c r="AD120" s="14">
        <f>'d)Pers.Técnico'!AB86</f>
        <v>0</v>
      </c>
      <c r="AE120" s="20">
        <f>'d)Pers.Técnico'!AC86</f>
        <v>0</v>
      </c>
      <c r="AF120" s="3">
        <f>'d)Pers.Técnico'!AD86</f>
        <v>0</v>
      </c>
      <c r="AG120" s="3">
        <f>'d)Pers.Técnico'!AE86</f>
        <v>0</v>
      </c>
      <c r="AH120" s="3">
        <f>'d)Pers.Técnico'!AF86</f>
        <v>0</v>
      </c>
      <c r="AI120" s="3">
        <f>'d)Pers.Técnico'!AG86</f>
        <v>0</v>
      </c>
      <c r="AJ120" s="3">
        <f>'d)Pers.Técnico'!AH86</f>
        <v>0</v>
      </c>
      <c r="AK120" s="3">
        <f>'d)Pers.Técnico'!AI86</f>
        <v>0</v>
      </c>
      <c r="AL120" s="3">
        <f>'d)Pers.Técnico'!AJ86</f>
        <v>0</v>
      </c>
      <c r="AM120" s="3">
        <f>'d)Pers.Técnico'!AK86</f>
        <v>0</v>
      </c>
      <c r="AN120" s="3">
        <f>'d)Pers.Técnico'!AL86</f>
        <v>0</v>
      </c>
      <c r="AO120" s="3">
        <f>'d)Pers.Técnico'!AM86</f>
        <v>0</v>
      </c>
      <c r="AP120" s="14">
        <f>'d)Pers.Técnico'!AN86</f>
        <v>0</v>
      </c>
      <c r="AQ120" s="20">
        <f>'d)Pers.Técnico'!AO86</f>
        <v>0</v>
      </c>
      <c r="AR120" s="3">
        <f>'d)Pers.Técnico'!AP86</f>
        <v>0</v>
      </c>
      <c r="AS120" s="3">
        <f>'d)Pers.Técnico'!AQ86</f>
        <v>0</v>
      </c>
      <c r="AT120" s="3">
        <f>'d)Pers.Técnico'!AR86</f>
        <v>0</v>
      </c>
      <c r="AU120" s="3">
        <f>'d)Pers.Técnico'!AS86</f>
        <v>0</v>
      </c>
      <c r="AV120" s="3">
        <f>'d)Pers.Técnico'!AT86</f>
        <v>0</v>
      </c>
      <c r="AW120" s="3">
        <f>'d)Pers.Técnico'!AU86</f>
        <v>0</v>
      </c>
      <c r="AX120" s="3">
        <f>'d)Pers.Técnico'!AV86</f>
        <v>0</v>
      </c>
      <c r="AY120" s="3">
        <f>'d)Pers.Técnico'!AW86</f>
        <v>0</v>
      </c>
      <c r="AZ120" s="3">
        <f>'d)Pers.Técnico'!AX86</f>
        <v>0</v>
      </c>
      <c r="BA120" s="1">
        <f>'d)Pers.Técnico'!AY86</f>
        <v>0</v>
      </c>
      <c r="BB120" s="60">
        <f>'d)Pers.Técnico'!AZ86</f>
        <v>0</v>
      </c>
      <c r="BC120" s="61">
        <f>'d)Pers.Técnico'!BA86</f>
        <v>0</v>
      </c>
      <c r="BD120" s="3">
        <f>'d)Pers.Técnico'!BB86</f>
        <v>0</v>
      </c>
      <c r="BE120" s="3">
        <f>'d)Pers.Técnico'!BC86</f>
        <v>0</v>
      </c>
      <c r="BF120" s="3">
        <f>'d)Pers.Técnico'!BD86</f>
        <v>0</v>
      </c>
      <c r="BG120" s="3">
        <f>'d)Pers.Técnico'!BE86</f>
        <v>0</v>
      </c>
      <c r="BH120" s="3">
        <f>'d)Pers.Técnico'!BF86</f>
        <v>0</v>
      </c>
      <c r="BI120" s="3">
        <f>'d)Pers.Técnico'!BG86</f>
        <v>0</v>
      </c>
      <c r="BJ120" s="3">
        <f>'d)Pers.Técnico'!BH86</f>
        <v>0</v>
      </c>
      <c r="BK120" s="3">
        <f>'d)Pers.Técnico'!BI86</f>
        <v>0</v>
      </c>
      <c r="BL120" s="3">
        <f>'d)Pers.Técnico'!BJ86</f>
        <v>0</v>
      </c>
      <c r="BM120" s="3">
        <f>'d)Pers.Técnico'!BK86</f>
        <v>0</v>
      </c>
      <c r="BN120" s="14">
        <f>'d)Pers.Técnico'!BL86</f>
        <v>0</v>
      </c>
    </row>
    <row r="121" spans="1:66">
      <c r="A121" s="67"/>
      <c r="B121" s="46" t="str">
        <f>+'d)Pers.Técnico'!B86</f>
        <v/>
      </c>
      <c r="C121" s="127" t="str">
        <f>'d)Pers.Técnico'!C86</f>
        <v/>
      </c>
      <c r="D121" s="52">
        <f>SUM(G120:BN120)</f>
        <v>0</v>
      </c>
      <c r="E121" s="7">
        <f>IF('a)Plantilla'!C43&gt;0,'a)Plantilla'!D43/30,0)</f>
        <v>0</v>
      </c>
      <c r="F121" s="7">
        <f>SUM(G121:BN121)</f>
        <v>0</v>
      </c>
      <c r="G121" s="2">
        <f>IF(TipoProgramaPersonalTecnico=1,$E121*'a)Plantilla'!$C43*Programa!D$13,IF(TipoProgramaPersonalTecnico=2,$E121*G120,$E121/Hjor*G120))</f>
        <v>0</v>
      </c>
      <c r="H121" s="2">
        <f>IF(TipoProgramaPersonalTecnico=1,$E121*'a)Plantilla'!$C43*Programa!D$14,IF(TipoProgramaPersonalTecnico=2,$E121*H120,$E121/Hjor*H120))</f>
        <v>0</v>
      </c>
      <c r="I121" s="2">
        <f>IF(TipoProgramaPersonalTecnico=1,$E121*'a)Plantilla'!$C43*Programa!D$15,IF(TipoProgramaPersonalTecnico=2,$E121*I120,$E121/Hjor*I120))</f>
        <v>0</v>
      </c>
      <c r="J121" s="2">
        <f>IF(TipoProgramaPersonalTecnico=1,$E121*'a)Plantilla'!$C43*Programa!D$16,IF(TipoProgramaPersonalTecnico=2,$E121*J120,$E121/Hjor*J120))</f>
        <v>0</v>
      </c>
      <c r="K121" s="2">
        <f>IF(TipoProgramaPersonalTecnico=1,$E121*'a)Plantilla'!$C43*Programa!D$17,IF(TipoProgramaPersonalTecnico=2,$E121*K120,$E121/Hjor*K120))</f>
        <v>0</v>
      </c>
      <c r="L121" s="2">
        <f>IF(TipoProgramaPersonalTecnico=1,$E121*'a)Plantilla'!$C43*Programa!D$18,IF(TipoProgramaPersonalTecnico=2,$E121*L120,$E121/Hjor*L120))</f>
        <v>0</v>
      </c>
      <c r="M121" s="2">
        <f>IF(TipoProgramaPersonalTecnico=1,$E121*'a)Plantilla'!$C43*Programa!D$19,IF(TipoProgramaPersonalTecnico=2,$E121*M120,$E121/Hjor*M120))</f>
        <v>0</v>
      </c>
      <c r="N121" s="2">
        <f>IF(TipoProgramaPersonalTecnico=1,$E121*'a)Plantilla'!$C43*Programa!D$20,IF(TipoProgramaPersonalTecnico=2,$E121*N120,$E121/Hjor*N120))</f>
        <v>0</v>
      </c>
      <c r="O121" s="2">
        <f>IF(TipoProgramaPersonalTecnico=1,$E121*'a)Plantilla'!$C43*Programa!D$21,IF(TipoProgramaPersonalTecnico=2,$E121*O120,$E121/Hjor*O120))</f>
        <v>0</v>
      </c>
      <c r="P121" s="2">
        <f>IF(TipoProgramaPersonalTecnico=1,$E121*'a)Plantilla'!$C43*Programa!D$22,IF(TipoProgramaPersonalTecnico=2,$E121*P120,$E121/Hjor*P120))</f>
        <v>0</v>
      </c>
      <c r="Q121" s="2">
        <f>IF(TipoProgramaPersonalTecnico=1,$E121*'a)Plantilla'!$C43*Programa!D$23,IF(TipoProgramaPersonalTecnico=2,$E121*Q120,$E121/Hjor*Q120))</f>
        <v>0</v>
      </c>
      <c r="R121" s="12">
        <f>IF(TipoProgramaPersonalTecnico=1,$E121*'a)Plantilla'!$C43*Programa!D$24,IF(TipoProgramaPersonalTecnico=2,$E121*R120,$E121/Hjor*R120))</f>
        <v>0</v>
      </c>
      <c r="S121" s="7">
        <f>IF(TipoProgramaPersonalTecnico=1,$E121*'a)Plantilla'!$C43*Programa!D$25,IF(TipoProgramaPersonalTecnico=2,$E121*S120,$E121/Hjor*S120))</f>
        <v>0</v>
      </c>
      <c r="T121" s="2">
        <f>IF(TipoProgramaPersonalTecnico=1,$E121*'a)Plantilla'!$C43*Programa!D$26,IF(TipoProgramaPersonalTecnico=2,$E121*T120,$E121/Hjor*T120))</f>
        <v>0</v>
      </c>
      <c r="U121" s="2">
        <f>IF(TipoProgramaPersonalTecnico=1,$E121*'a)Plantilla'!$C43*Programa!D$27,IF(TipoProgramaPersonalTecnico=2,$E121*U120,$E121/Hjor*U120))</f>
        <v>0</v>
      </c>
      <c r="V121" s="2">
        <f>IF(TipoProgramaPersonalTecnico=1,$E121*'a)Plantilla'!$C43*Programa!D$28,IF(TipoProgramaPersonalTecnico=2,$E121*V120,$E121/Hjor*V120))</f>
        <v>0</v>
      </c>
      <c r="W121" s="2">
        <f>IF(TipoProgramaPersonalTecnico=1,$E121*'a)Plantilla'!$C43*Programa!D$29,IF(TipoProgramaPersonalTecnico=2,$E121*W120,$E121/Hjor*W120))</f>
        <v>0</v>
      </c>
      <c r="X121" s="2">
        <f>IF(TipoProgramaPersonalTecnico=1,$E121*'a)Plantilla'!$C43*Programa!D$30,IF(TipoProgramaPersonalTecnico=2,$E121*X120,$E121/Hjor*X120))</f>
        <v>0</v>
      </c>
      <c r="Y121" s="2">
        <f>IF(TipoProgramaPersonalTecnico=1,$E121*'a)Plantilla'!$C43*Programa!D$31,IF(TipoProgramaPersonalTecnico=2,$E121*Y120,$E121/Hjor*Y120))</f>
        <v>0</v>
      </c>
      <c r="Z121" s="2">
        <f>IF(TipoProgramaPersonalTecnico=1,$E121*'a)Plantilla'!$C43*Programa!D$32,IF(TipoProgramaPersonalTecnico=2,$E121*Z120,$E121/Hjor*Z120))</f>
        <v>0</v>
      </c>
      <c r="AA121" s="2">
        <f>IF(TipoProgramaPersonalTecnico=1,$E121*'a)Plantilla'!$C43*Programa!D$33,IF(TipoProgramaPersonalTecnico=2,$E121*AA120,$E121/Hjor*AA120))</f>
        <v>0</v>
      </c>
      <c r="AB121" s="2">
        <f>IF(TipoProgramaPersonalTecnico=1,$E121*'a)Plantilla'!$C43*Programa!D$34,IF(TipoProgramaPersonalTecnico=2,$E121*AB120,$E121/Hjor*AB120))</f>
        <v>0</v>
      </c>
      <c r="AC121" s="2">
        <f>IF(TipoProgramaPersonalTecnico=1,$E121*'a)Plantilla'!$C43*Programa!D$35,IF(TipoProgramaPersonalTecnico=2,$E121*AC120,$E121/Hjor*AC120))</f>
        <v>0</v>
      </c>
      <c r="AD121" s="12">
        <f>IF(TipoProgramaPersonalTecnico=1,$E121*'a)Plantilla'!$C43*Programa!D$36,IF(TipoProgramaPersonalTecnico=2,$E121*AD120,$E121/Hjor*AD120))</f>
        <v>0</v>
      </c>
      <c r="AE121" s="7">
        <f>IF(TipoProgramaPersonalTecnico=1,$E121*'a)Plantilla'!$C43*Programa!D$37,IF(TipoProgramaPersonalTecnico=2,$E121*AE120,$E121/Hjor*AE120))</f>
        <v>0</v>
      </c>
      <c r="AF121" s="2">
        <f>IF(TipoProgramaPersonalTecnico=1,$E121*'a)Plantilla'!$C43*Programa!D$38,IF(TipoProgramaPersonalTecnico=2,$E121*AF120,$E121/Hjor*AF120))</f>
        <v>0</v>
      </c>
      <c r="AG121" s="2">
        <f>IF(TipoProgramaPersonalTecnico=1,$E121*'a)Plantilla'!$C43*Programa!D$39,IF(TipoProgramaPersonalTecnico=2,$E121*AG120,$E121/Hjor*AG120))</f>
        <v>0</v>
      </c>
      <c r="AH121" s="2">
        <f>IF(TipoProgramaPersonalTecnico=1,$E121*'a)Plantilla'!$C43*Programa!D$40,IF(TipoProgramaPersonalTecnico=2,$E121*AH120,$E121/Hjor*AH120))</f>
        <v>0</v>
      </c>
      <c r="AI121" s="2">
        <f>IF(TipoProgramaPersonalTecnico=1,$E121*'a)Plantilla'!$C43*Programa!D$41,IF(TipoProgramaPersonalTecnico=2,$E121*AI120,$E121/Hjor*AI120))</f>
        <v>0</v>
      </c>
      <c r="AJ121" s="2">
        <f>IF(TipoProgramaPersonalTecnico=1,$E121*'a)Plantilla'!$C43*Programa!D$42,IF(TipoProgramaPersonalTecnico=2,$E121*AJ120,$E121/Hjor*AJ120))</f>
        <v>0</v>
      </c>
      <c r="AK121" s="2">
        <f>IF(TipoProgramaPersonalTecnico=1,$E121*'a)Plantilla'!$C43*Programa!D$43,IF(TipoProgramaPersonalTecnico=2,$E121*AK120,$E121/Hjor*AK120))</f>
        <v>0</v>
      </c>
      <c r="AL121" s="2">
        <f>IF(TipoProgramaPersonalTecnico=1,$E121*'a)Plantilla'!$C43*Programa!D$44,IF(TipoProgramaPersonalTecnico=2,$E121*AL120,$E121/Hjor*AL120))</f>
        <v>0</v>
      </c>
      <c r="AM121" s="2">
        <f>IF(TipoProgramaPersonalTecnico=1,$E121*'a)Plantilla'!$C43*Programa!D$45,IF(TipoProgramaPersonalTecnico=2,$E121*AM120,$E121/Hjor*AM120))</f>
        <v>0</v>
      </c>
      <c r="AN121" s="2">
        <f>IF(TipoProgramaPersonalTecnico=1,$E121*'a)Plantilla'!$C43*Programa!D$46,IF(TipoProgramaPersonalTecnico=2,$E121*AN120,$E121/Hjor*AN120))</f>
        <v>0</v>
      </c>
      <c r="AO121" s="2">
        <f>IF(TipoProgramaPersonalTecnico=1,$E121*'a)Plantilla'!$C43*Programa!D$47,IF(TipoProgramaPersonalTecnico=2,$E121*AO120,$E121/Hjor*AO120))</f>
        <v>0</v>
      </c>
      <c r="AP121" s="12">
        <f>IF(TipoProgramaPersonalTecnico=1,$E121*'a)Plantilla'!$C43*Programa!D$48,IF(TipoProgramaPersonalTecnico=2,$E121*AP120,$E121/Hjor*AP120))</f>
        <v>0</v>
      </c>
      <c r="AQ121" s="7">
        <f>IF(TipoProgramaPersonalTecnico=1,$E121*'a)Plantilla'!$C43*Programa!D$49,IF(TipoProgramaPersonalTecnico=2,$E121*AQ120,$E121/Hjor*AQ120))</f>
        <v>0</v>
      </c>
      <c r="AR121" s="2">
        <f>IF(TipoProgramaPersonalTecnico=1,$E121*'a)Plantilla'!$C43*Programa!D$50,IF(TipoProgramaPersonalTecnico=2,$E121*AR120,$E121/Hjor*AR120))</f>
        <v>0</v>
      </c>
      <c r="AS121" s="2">
        <f>IF(TipoProgramaPersonalTecnico=1,$E121*'a)Plantilla'!$C43*Programa!D$51,IF(TipoProgramaPersonalTecnico=2,$E121*AS120,$E121/Hjor*AS120))</f>
        <v>0</v>
      </c>
      <c r="AT121" s="2">
        <f>IF(TipoProgramaPersonalTecnico=1,$E121*'a)Plantilla'!$C43*Programa!D$52,IF(TipoProgramaPersonalTecnico=2,$E121*AT120,$E121/Hjor*AT120))</f>
        <v>0</v>
      </c>
      <c r="AU121" s="2">
        <f>IF(TipoProgramaPersonalTecnico=1,$E121*'a)Plantilla'!$C43*Programa!D$53,IF(TipoProgramaPersonalTecnico=2,$E121*AU120,$E121/Hjor*AU120))</f>
        <v>0</v>
      </c>
      <c r="AV121" s="2">
        <f>IF(TipoProgramaPersonalTecnico=1,$E121*'a)Plantilla'!$C43*Programa!D$54,IF(TipoProgramaPersonalTecnico=2,$E121*AV120,$E121/Hjor*AV120))</f>
        <v>0</v>
      </c>
      <c r="AW121" s="2">
        <f>IF(TipoProgramaPersonalTecnico=1,$E121*'a)Plantilla'!$C43*Programa!D$55,IF(TipoProgramaPersonalTecnico=2,$E121*AW120,$E121/Hjor*AW120))</f>
        <v>0</v>
      </c>
      <c r="AX121" s="2">
        <f>IF(TipoProgramaPersonalTecnico=1,$E121*'a)Plantilla'!$C43*Programa!D$56,IF(TipoProgramaPersonalTecnico=2,$E121*AX120,$E121/Hjor*AX120))</f>
        <v>0</v>
      </c>
      <c r="AY121" s="2">
        <f>IF(TipoProgramaPersonalTecnico=1,$E121*'a)Plantilla'!$C43*Programa!D$57,IF(TipoProgramaPersonalTecnico=2,$E121*AY120,$E121/Hjor*AY120))</f>
        <v>0</v>
      </c>
      <c r="AZ121" s="2">
        <f>IF(TipoProgramaPersonalTecnico=1,$E121*'a)Plantilla'!$C43*Programa!D$58,IF(TipoProgramaPersonalTecnico=2,$E121*AZ120,$E121/Hjor*AZ120))</f>
        <v>0</v>
      </c>
      <c r="BA121" s="55">
        <f>IF(TipoProgramaPersonalTecnico=1,$E121*'a)Plantilla'!$C43*Programa!D$59,IF(TipoProgramaPersonalTecnico=2,$E121*BA120,$E121/Hjor*BA120))</f>
        <v>0</v>
      </c>
      <c r="BB121" s="56">
        <f>IF(TipoProgramaPersonalTecnico=1,$E121*'a)Plantilla'!$C43*Programa!D$60,IF(TipoProgramaPersonalTecnico=2,$E121*BB120,$E121/Hjor*BB120))</f>
        <v>0</v>
      </c>
      <c r="BC121" s="53">
        <f>IF(TipoProgramaPersonalTecnico=1,$E121*'a)Plantilla'!$C43*Programa!D$61,IF(TipoProgramaPersonalTecnico=2,$E121*BC120,$E121/Hjor*BC120))</f>
        <v>0</v>
      </c>
      <c r="BD121" s="2">
        <f>IF(TipoProgramaPersonalTecnico=1,$E121*'a)Plantilla'!$C43*Programa!D$62,IF(TipoProgramaPersonalTecnico=2,$E121*BD120,$E121/Hjor*BD120))</f>
        <v>0</v>
      </c>
      <c r="BE121" s="2">
        <f>IF(TipoProgramaPersonalTecnico=1,$E121*'a)Plantilla'!$C43*Programa!D$63,IF(TipoProgramaPersonalTecnico=2,$E121*BE120,$E121/Hjor*BE120))</f>
        <v>0</v>
      </c>
      <c r="BF121" s="2">
        <f>IF(TipoProgramaPersonalTecnico=1,$E121*'a)Plantilla'!$C43*Programa!D$64,IF(TipoProgramaPersonalTecnico=2,$E121*BF120,$E121/Hjor*BF120))</f>
        <v>0</v>
      </c>
      <c r="BG121" s="2">
        <f>IF(TipoProgramaPersonalTecnico=1,$E121*'a)Plantilla'!$C43*Programa!D$65,IF(TipoProgramaPersonalTecnico=2,$E121*BG120,$E121/Hjor*BG120))</f>
        <v>0</v>
      </c>
      <c r="BH121" s="2">
        <f>IF(TipoProgramaPersonalTecnico=1,$E121*'a)Plantilla'!$C43*Programa!D$66,IF(TipoProgramaPersonalTecnico=2,$E121*BH120,$E121/Hjor*BH120))</f>
        <v>0</v>
      </c>
      <c r="BI121" s="2">
        <f>IF(TipoProgramaPersonalTecnico=1,$E121*'a)Plantilla'!$C43*Programa!D$67,IF(TipoProgramaPersonalTecnico=2,$E121*BI120,$E121/Hjor*BI120))</f>
        <v>0</v>
      </c>
      <c r="BJ121" s="2">
        <f>IF(TipoProgramaPersonalTecnico=1,$E121*'a)Plantilla'!$C43*Programa!D$68,IF(TipoProgramaPersonalTecnico=2,$E121*BJ120,$E121/Hjor*BJ120))</f>
        <v>0</v>
      </c>
      <c r="BK121" s="2">
        <f>IF(TipoProgramaPersonalTecnico=1,$E121*'a)Plantilla'!$C43*Programa!D$69,IF(TipoProgramaPersonalTecnico=2,$E121*BK120,$E121/Hjor*BK120))</f>
        <v>0</v>
      </c>
      <c r="BL121" s="2">
        <f>IF(TipoProgramaPersonalTecnico=1,$E121*'a)Plantilla'!$C43*Programa!D$70,IF(TipoProgramaPersonalTecnico=2,$E121*BL120,$E121/Hjor*BL120))</f>
        <v>0</v>
      </c>
      <c r="BM121" s="2">
        <f>IF(TipoProgramaPersonalTecnico=1,$E121*'a)Plantilla'!$C43*Programa!D$71,IF(TipoProgramaPersonalTecnico=2,$E121*BM120,$E121/Hjor*BM120))</f>
        <v>0</v>
      </c>
      <c r="BN121" s="12">
        <f>IF(TipoProgramaPersonalTecnico=1,$E121*'a)Plantilla'!$C43*Programa!D$72,IF(TipoProgramaPersonalTecnico=2,$E121*BN120,$E121/Hjor*BN120))</f>
        <v>0</v>
      </c>
    </row>
    <row r="122" spans="1:66" ht="7.5" customHeight="1">
      <c r="A122" s="67"/>
      <c r="B122" s="19"/>
      <c r="C122" s="127"/>
      <c r="D122" s="54"/>
      <c r="E122" s="19"/>
      <c r="F122" s="19"/>
      <c r="G122" s="1" t="s">
        <v>168</v>
      </c>
      <c r="H122" s="1" t="s">
        <v>168</v>
      </c>
      <c r="I122" s="1" t="s">
        <v>168</v>
      </c>
      <c r="J122" s="1" t="s">
        <v>168</v>
      </c>
      <c r="K122" s="1" t="s">
        <v>168</v>
      </c>
      <c r="L122" s="1" t="s">
        <v>168</v>
      </c>
      <c r="M122" s="1" t="s">
        <v>168</v>
      </c>
      <c r="N122" s="1" t="s">
        <v>168</v>
      </c>
      <c r="O122" s="1" t="s">
        <v>168</v>
      </c>
      <c r="P122" s="1" t="s">
        <v>168</v>
      </c>
      <c r="Q122" s="1" t="s">
        <v>168</v>
      </c>
      <c r="R122" s="8" t="s">
        <v>168</v>
      </c>
      <c r="S122" s="13" t="s">
        <v>168</v>
      </c>
      <c r="T122" s="1" t="s">
        <v>168</v>
      </c>
      <c r="U122" s="1" t="s">
        <v>168</v>
      </c>
      <c r="V122" s="1" t="s">
        <v>168</v>
      </c>
      <c r="W122" s="1" t="s">
        <v>168</v>
      </c>
      <c r="X122" s="1" t="s">
        <v>168</v>
      </c>
      <c r="Y122" s="1" t="s">
        <v>168</v>
      </c>
      <c r="Z122" s="1" t="s">
        <v>168</v>
      </c>
      <c r="AA122" s="1" t="s">
        <v>168</v>
      </c>
      <c r="AB122" s="1" t="s">
        <v>168</v>
      </c>
      <c r="AC122" s="1" t="s">
        <v>168</v>
      </c>
      <c r="AD122" s="8" t="s">
        <v>168</v>
      </c>
      <c r="AE122" s="13" t="s">
        <v>168</v>
      </c>
      <c r="AF122" s="1" t="s">
        <v>168</v>
      </c>
      <c r="AG122" s="1" t="s">
        <v>168</v>
      </c>
      <c r="AH122" s="1" t="s">
        <v>168</v>
      </c>
      <c r="AI122" s="1" t="s">
        <v>168</v>
      </c>
      <c r="AJ122" s="1" t="s">
        <v>168</v>
      </c>
      <c r="AK122" s="1" t="s">
        <v>168</v>
      </c>
      <c r="AL122" s="1" t="s">
        <v>168</v>
      </c>
      <c r="AM122" s="1" t="s">
        <v>168</v>
      </c>
      <c r="AN122" s="1" t="s">
        <v>168</v>
      </c>
      <c r="AO122" s="1" t="s">
        <v>168</v>
      </c>
      <c r="AP122" s="8" t="s">
        <v>168</v>
      </c>
      <c r="AQ122" s="13" t="s">
        <v>168</v>
      </c>
      <c r="AR122" s="1" t="s">
        <v>168</v>
      </c>
      <c r="AS122" s="1" t="s">
        <v>168</v>
      </c>
      <c r="AT122" s="1" t="s">
        <v>168</v>
      </c>
      <c r="AU122" s="1" t="s">
        <v>168</v>
      </c>
      <c r="AV122" s="1" t="s">
        <v>168</v>
      </c>
      <c r="AW122" s="1" t="s">
        <v>168</v>
      </c>
      <c r="AX122" s="1" t="s">
        <v>168</v>
      </c>
      <c r="AY122" s="1" t="s">
        <v>168</v>
      </c>
      <c r="AZ122" s="1" t="s">
        <v>168</v>
      </c>
      <c r="BA122" s="1" t="s">
        <v>168</v>
      </c>
      <c r="BB122" s="8" t="s">
        <v>168</v>
      </c>
      <c r="BC122" s="13" t="s">
        <v>168</v>
      </c>
      <c r="BD122" s="1" t="s">
        <v>168</v>
      </c>
      <c r="BE122" s="1" t="s">
        <v>168</v>
      </c>
      <c r="BF122" s="1" t="s">
        <v>168</v>
      </c>
      <c r="BG122" s="1" t="s">
        <v>168</v>
      </c>
      <c r="BH122" s="1" t="s">
        <v>168</v>
      </c>
      <c r="BI122" s="1" t="s">
        <v>168</v>
      </c>
      <c r="BJ122" s="1" t="s">
        <v>168</v>
      </c>
      <c r="BK122" s="1" t="s">
        <v>168</v>
      </c>
      <c r="BL122" s="1" t="s">
        <v>168</v>
      </c>
      <c r="BM122" s="1" t="s">
        <v>168</v>
      </c>
      <c r="BN122" s="8" t="s">
        <v>168</v>
      </c>
    </row>
    <row r="123" spans="1:66">
      <c r="A123" s="67"/>
      <c r="B123" s="46"/>
      <c r="C123" s="127"/>
      <c r="D123" s="52"/>
      <c r="E123" s="7"/>
      <c r="F123" s="7"/>
      <c r="G123" s="3">
        <f>'d)Pers.Técnico'!E88</f>
        <v>0</v>
      </c>
      <c r="H123" s="3">
        <f>'d)Pers.Técnico'!F88</f>
        <v>0</v>
      </c>
      <c r="I123" s="3">
        <f>'d)Pers.Técnico'!G88</f>
        <v>0</v>
      </c>
      <c r="J123" s="3">
        <f>'d)Pers.Técnico'!H88</f>
        <v>0</v>
      </c>
      <c r="K123" s="3">
        <f>'d)Pers.Técnico'!I88</f>
        <v>0</v>
      </c>
      <c r="L123" s="3">
        <f>'d)Pers.Técnico'!J88</f>
        <v>0</v>
      </c>
      <c r="M123" s="3">
        <f>'d)Pers.Técnico'!K88</f>
        <v>0</v>
      </c>
      <c r="N123" s="3">
        <f>'d)Pers.Técnico'!L88</f>
        <v>0</v>
      </c>
      <c r="O123" s="3">
        <f>'d)Pers.Técnico'!M88</f>
        <v>0</v>
      </c>
      <c r="P123" s="3">
        <f>'d)Pers.Técnico'!N88</f>
        <v>0</v>
      </c>
      <c r="Q123" s="3">
        <f>'d)Pers.Técnico'!O88</f>
        <v>0</v>
      </c>
      <c r="R123" s="14">
        <f>'d)Pers.Técnico'!P88</f>
        <v>0</v>
      </c>
      <c r="S123" s="20">
        <f>'d)Pers.Técnico'!Q88</f>
        <v>0</v>
      </c>
      <c r="T123" s="3">
        <f>'d)Pers.Técnico'!R88</f>
        <v>0</v>
      </c>
      <c r="U123" s="3">
        <f>'d)Pers.Técnico'!S88</f>
        <v>0</v>
      </c>
      <c r="V123" s="3">
        <f>'d)Pers.Técnico'!T88</f>
        <v>0</v>
      </c>
      <c r="W123" s="3">
        <f>'d)Pers.Técnico'!U88</f>
        <v>0</v>
      </c>
      <c r="X123" s="3">
        <f>'d)Pers.Técnico'!V88</f>
        <v>0</v>
      </c>
      <c r="Y123" s="3">
        <f>'d)Pers.Técnico'!W88</f>
        <v>0</v>
      </c>
      <c r="Z123" s="3">
        <f>'d)Pers.Técnico'!X88</f>
        <v>0</v>
      </c>
      <c r="AA123" s="3">
        <f>'d)Pers.Técnico'!Y88</f>
        <v>0</v>
      </c>
      <c r="AB123" s="3">
        <f>'d)Pers.Técnico'!Z88</f>
        <v>0</v>
      </c>
      <c r="AC123" s="3">
        <f>'d)Pers.Técnico'!AA88</f>
        <v>0</v>
      </c>
      <c r="AD123" s="14">
        <f>'d)Pers.Técnico'!AB88</f>
        <v>0</v>
      </c>
      <c r="AE123" s="20">
        <f>'d)Pers.Técnico'!AC88</f>
        <v>0</v>
      </c>
      <c r="AF123" s="3">
        <f>'d)Pers.Técnico'!AD88</f>
        <v>0</v>
      </c>
      <c r="AG123" s="3">
        <f>'d)Pers.Técnico'!AE88</f>
        <v>0</v>
      </c>
      <c r="AH123" s="3">
        <f>'d)Pers.Técnico'!AF88</f>
        <v>0</v>
      </c>
      <c r="AI123" s="3">
        <f>'d)Pers.Técnico'!AG88</f>
        <v>0</v>
      </c>
      <c r="AJ123" s="3">
        <f>'d)Pers.Técnico'!AH88</f>
        <v>0</v>
      </c>
      <c r="AK123" s="3">
        <f>'d)Pers.Técnico'!AI88</f>
        <v>0</v>
      </c>
      <c r="AL123" s="3">
        <f>'d)Pers.Técnico'!AJ88</f>
        <v>0</v>
      </c>
      <c r="AM123" s="3">
        <f>'d)Pers.Técnico'!AK88</f>
        <v>0</v>
      </c>
      <c r="AN123" s="3">
        <f>'d)Pers.Técnico'!AL88</f>
        <v>0</v>
      </c>
      <c r="AO123" s="3">
        <f>'d)Pers.Técnico'!AM88</f>
        <v>0</v>
      </c>
      <c r="AP123" s="14">
        <f>'d)Pers.Técnico'!AN88</f>
        <v>0</v>
      </c>
      <c r="AQ123" s="20">
        <f>'d)Pers.Técnico'!AO88</f>
        <v>0</v>
      </c>
      <c r="AR123" s="3">
        <f>'d)Pers.Técnico'!AP88</f>
        <v>0</v>
      </c>
      <c r="AS123" s="3">
        <f>'d)Pers.Técnico'!AQ88</f>
        <v>0</v>
      </c>
      <c r="AT123" s="3">
        <f>'d)Pers.Técnico'!AR88</f>
        <v>0</v>
      </c>
      <c r="AU123" s="3">
        <f>'d)Pers.Técnico'!AS88</f>
        <v>0</v>
      </c>
      <c r="AV123" s="3">
        <f>'d)Pers.Técnico'!AT88</f>
        <v>0</v>
      </c>
      <c r="AW123" s="3">
        <f>'d)Pers.Técnico'!AU88</f>
        <v>0</v>
      </c>
      <c r="AX123" s="3">
        <f>'d)Pers.Técnico'!AV88</f>
        <v>0</v>
      </c>
      <c r="AY123" s="3">
        <f>'d)Pers.Técnico'!AW88</f>
        <v>0</v>
      </c>
      <c r="AZ123" s="3">
        <f>'d)Pers.Técnico'!AX88</f>
        <v>0</v>
      </c>
      <c r="BA123" s="1">
        <f>'d)Pers.Técnico'!AY88</f>
        <v>0</v>
      </c>
      <c r="BB123" s="60">
        <f>'d)Pers.Técnico'!AZ88</f>
        <v>0</v>
      </c>
      <c r="BC123" s="61">
        <f>'d)Pers.Técnico'!BA88</f>
        <v>0</v>
      </c>
      <c r="BD123" s="3">
        <f>'d)Pers.Técnico'!BB88</f>
        <v>0</v>
      </c>
      <c r="BE123" s="3">
        <f>'d)Pers.Técnico'!BC88</f>
        <v>0</v>
      </c>
      <c r="BF123" s="3">
        <f>'d)Pers.Técnico'!BD88</f>
        <v>0</v>
      </c>
      <c r="BG123" s="3">
        <f>'d)Pers.Técnico'!BE88</f>
        <v>0</v>
      </c>
      <c r="BH123" s="3">
        <f>'d)Pers.Técnico'!BF88</f>
        <v>0</v>
      </c>
      <c r="BI123" s="3">
        <f>'d)Pers.Técnico'!BG88</f>
        <v>0</v>
      </c>
      <c r="BJ123" s="3">
        <f>'d)Pers.Técnico'!BH88</f>
        <v>0</v>
      </c>
      <c r="BK123" s="3">
        <f>'d)Pers.Técnico'!BI88</f>
        <v>0</v>
      </c>
      <c r="BL123" s="3">
        <f>'d)Pers.Técnico'!BJ88</f>
        <v>0</v>
      </c>
      <c r="BM123" s="3">
        <f>'d)Pers.Técnico'!BK88</f>
        <v>0</v>
      </c>
      <c r="BN123" s="14">
        <f>'d)Pers.Técnico'!BL88</f>
        <v>0</v>
      </c>
    </row>
    <row r="124" spans="1:66">
      <c r="A124" s="67"/>
      <c r="B124" s="46" t="str">
        <f>+'d)Pers.Técnico'!B88</f>
        <v/>
      </c>
      <c r="C124" s="127" t="str">
        <f>'d)Pers.Técnico'!C88</f>
        <v/>
      </c>
      <c r="D124" s="52">
        <f>SUM(G123:BN123)</f>
        <v>0</v>
      </c>
      <c r="E124" s="7">
        <f>IF('a)Plantilla'!C44&gt;0,'a)Plantilla'!D44/30,0)</f>
        <v>0</v>
      </c>
      <c r="F124" s="7">
        <f>SUM(G124:BN124)</f>
        <v>0</v>
      </c>
      <c r="G124" s="2">
        <f>IF(TipoProgramaPersonalTecnico=1,$E124*'a)Plantilla'!$C44*Programa!D$13,IF(TipoProgramaPersonalTecnico=2,$E124*G123,$E124/Hjor*G123))</f>
        <v>0</v>
      </c>
      <c r="H124" s="2">
        <f>IF(TipoProgramaPersonalTecnico=1,$E124*'a)Plantilla'!$C44*Programa!D$14,IF(TipoProgramaPersonalTecnico=2,$E124*H123,$E124/Hjor*H123))</f>
        <v>0</v>
      </c>
      <c r="I124" s="2">
        <f>IF(TipoProgramaPersonalTecnico=1,$E124*'a)Plantilla'!$C44*Programa!D$15,IF(TipoProgramaPersonalTecnico=2,$E124*I123,$E124/Hjor*I123))</f>
        <v>0</v>
      </c>
      <c r="J124" s="2">
        <f>IF(TipoProgramaPersonalTecnico=1,$E124*'a)Plantilla'!$C44*Programa!D$16,IF(TipoProgramaPersonalTecnico=2,$E124*J123,$E124/Hjor*J123))</f>
        <v>0</v>
      </c>
      <c r="K124" s="2">
        <f>IF(TipoProgramaPersonalTecnico=1,$E124*'a)Plantilla'!$C44*Programa!D$17,IF(TipoProgramaPersonalTecnico=2,$E124*K123,$E124/Hjor*K123))</f>
        <v>0</v>
      </c>
      <c r="L124" s="2">
        <f>IF(TipoProgramaPersonalTecnico=1,$E124*'a)Plantilla'!$C44*Programa!D$18,IF(TipoProgramaPersonalTecnico=2,$E124*L123,$E124/Hjor*L123))</f>
        <v>0</v>
      </c>
      <c r="M124" s="2">
        <f>IF(TipoProgramaPersonalTecnico=1,$E124*'a)Plantilla'!$C44*Programa!D$19,IF(TipoProgramaPersonalTecnico=2,$E124*M123,$E124/Hjor*M123))</f>
        <v>0</v>
      </c>
      <c r="N124" s="2">
        <f>IF(TipoProgramaPersonalTecnico=1,$E124*'a)Plantilla'!$C44*Programa!D$20,IF(TipoProgramaPersonalTecnico=2,$E124*N123,$E124/Hjor*N123))</f>
        <v>0</v>
      </c>
      <c r="O124" s="2">
        <f>IF(TipoProgramaPersonalTecnico=1,$E124*'a)Plantilla'!$C44*Programa!D$21,IF(TipoProgramaPersonalTecnico=2,$E124*O123,$E124/Hjor*O123))</f>
        <v>0</v>
      </c>
      <c r="P124" s="2">
        <f>IF(TipoProgramaPersonalTecnico=1,$E124*'a)Plantilla'!$C44*Programa!D$22,IF(TipoProgramaPersonalTecnico=2,$E124*P123,$E124/Hjor*P123))</f>
        <v>0</v>
      </c>
      <c r="Q124" s="2">
        <f>IF(TipoProgramaPersonalTecnico=1,$E124*'a)Plantilla'!$C44*Programa!D$23,IF(TipoProgramaPersonalTecnico=2,$E124*Q123,$E124/Hjor*Q123))</f>
        <v>0</v>
      </c>
      <c r="R124" s="12">
        <f>IF(TipoProgramaPersonalTecnico=1,$E124*'a)Plantilla'!$C44*Programa!D$24,IF(TipoProgramaPersonalTecnico=2,$E124*R123,$E124/Hjor*R123))</f>
        <v>0</v>
      </c>
      <c r="S124" s="7">
        <f>IF(TipoProgramaPersonalTecnico=1,$E124*'a)Plantilla'!$C44*Programa!D$25,IF(TipoProgramaPersonalTecnico=2,$E124*S123,$E124/Hjor*S123))</f>
        <v>0</v>
      </c>
      <c r="T124" s="2">
        <f>IF(TipoProgramaPersonalTecnico=1,$E124*'a)Plantilla'!$C44*Programa!D$26,IF(TipoProgramaPersonalTecnico=2,$E124*T123,$E124/Hjor*T123))</f>
        <v>0</v>
      </c>
      <c r="U124" s="2">
        <f>IF(TipoProgramaPersonalTecnico=1,$E124*'a)Plantilla'!$C44*Programa!D$27,IF(TipoProgramaPersonalTecnico=2,$E124*U123,$E124/Hjor*U123))</f>
        <v>0</v>
      </c>
      <c r="V124" s="2">
        <f>IF(TipoProgramaPersonalTecnico=1,$E124*'a)Plantilla'!$C44*Programa!D$28,IF(TipoProgramaPersonalTecnico=2,$E124*V123,$E124/Hjor*V123))</f>
        <v>0</v>
      </c>
      <c r="W124" s="2">
        <f>IF(TipoProgramaPersonalTecnico=1,$E124*'a)Plantilla'!$C44*Programa!D$29,IF(TipoProgramaPersonalTecnico=2,$E124*W123,$E124/Hjor*W123))</f>
        <v>0</v>
      </c>
      <c r="X124" s="2">
        <f>IF(TipoProgramaPersonalTecnico=1,$E124*'a)Plantilla'!$C44*Programa!D$30,IF(TipoProgramaPersonalTecnico=2,$E124*X123,$E124/Hjor*X123))</f>
        <v>0</v>
      </c>
      <c r="Y124" s="2">
        <f>IF(TipoProgramaPersonalTecnico=1,$E124*'a)Plantilla'!$C44*Programa!D$31,IF(TipoProgramaPersonalTecnico=2,$E124*Y123,$E124/Hjor*Y123))</f>
        <v>0</v>
      </c>
      <c r="Z124" s="2">
        <f>IF(TipoProgramaPersonalTecnico=1,$E124*'a)Plantilla'!$C44*Programa!D$32,IF(TipoProgramaPersonalTecnico=2,$E124*Z123,$E124/Hjor*Z123))</f>
        <v>0</v>
      </c>
      <c r="AA124" s="2">
        <f>IF(TipoProgramaPersonalTecnico=1,$E124*'a)Plantilla'!$C44*Programa!D$33,IF(TipoProgramaPersonalTecnico=2,$E124*AA123,$E124/Hjor*AA123))</f>
        <v>0</v>
      </c>
      <c r="AB124" s="2">
        <f>IF(TipoProgramaPersonalTecnico=1,$E124*'a)Plantilla'!$C44*Programa!D$34,IF(TipoProgramaPersonalTecnico=2,$E124*AB123,$E124/Hjor*AB123))</f>
        <v>0</v>
      </c>
      <c r="AC124" s="2">
        <f>IF(TipoProgramaPersonalTecnico=1,$E124*'a)Plantilla'!$C44*Programa!D$35,IF(TipoProgramaPersonalTecnico=2,$E124*AC123,$E124/Hjor*AC123))</f>
        <v>0</v>
      </c>
      <c r="AD124" s="12">
        <f>IF(TipoProgramaPersonalTecnico=1,$E124*'a)Plantilla'!$C44*Programa!D$36,IF(TipoProgramaPersonalTecnico=2,$E124*AD123,$E124/Hjor*AD123))</f>
        <v>0</v>
      </c>
      <c r="AE124" s="7">
        <f>IF(TipoProgramaPersonalTecnico=1,$E124*'a)Plantilla'!$C44*Programa!D$37,IF(TipoProgramaPersonalTecnico=2,$E124*AE123,$E124/Hjor*AE123))</f>
        <v>0</v>
      </c>
      <c r="AF124" s="2">
        <f>IF(TipoProgramaPersonalTecnico=1,$E124*'a)Plantilla'!$C44*Programa!D$38,IF(TipoProgramaPersonalTecnico=2,$E124*AF123,$E124/Hjor*AF123))</f>
        <v>0</v>
      </c>
      <c r="AG124" s="2">
        <f>IF(TipoProgramaPersonalTecnico=1,$E124*'a)Plantilla'!$C44*Programa!D$39,IF(TipoProgramaPersonalTecnico=2,$E124*AG123,$E124/Hjor*AG123))</f>
        <v>0</v>
      </c>
      <c r="AH124" s="2">
        <f>IF(TipoProgramaPersonalTecnico=1,$E124*'a)Plantilla'!$C44*Programa!D$40,IF(TipoProgramaPersonalTecnico=2,$E124*AH123,$E124/Hjor*AH123))</f>
        <v>0</v>
      </c>
      <c r="AI124" s="2">
        <f>IF(TipoProgramaPersonalTecnico=1,$E124*'a)Plantilla'!$C44*Programa!D$41,IF(TipoProgramaPersonalTecnico=2,$E124*AI123,$E124/Hjor*AI123))</f>
        <v>0</v>
      </c>
      <c r="AJ124" s="2">
        <f>IF(TipoProgramaPersonalTecnico=1,$E124*'a)Plantilla'!$C44*Programa!D$42,IF(TipoProgramaPersonalTecnico=2,$E124*AJ123,$E124/Hjor*AJ123))</f>
        <v>0</v>
      </c>
      <c r="AK124" s="2">
        <f>IF(TipoProgramaPersonalTecnico=1,$E124*'a)Plantilla'!$C44*Programa!D$43,IF(TipoProgramaPersonalTecnico=2,$E124*AK123,$E124/Hjor*AK123))</f>
        <v>0</v>
      </c>
      <c r="AL124" s="2">
        <f>IF(TipoProgramaPersonalTecnico=1,$E124*'a)Plantilla'!$C44*Programa!D$44,IF(TipoProgramaPersonalTecnico=2,$E124*AL123,$E124/Hjor*AL123))</f>
        <v>0</v>
      </c>
      <c r="AM124" s="2">
        <f>IF(TipoProgramaPersonalTecnico=1,$E124*'a)Plantilla'!$C44*Programa!D$45,IF(TipoProgramaPersonalTecnico=2,$E124*AM123,$E124/Hjor*AM123))</f>
        <v>0</v>
      </c>
      <c r="AN124" s="2">
        <f>IF(TipoProgramaPersonalTecnico=1,$E124*'a)Plantilla'!$C44*Programa!D$46,IF(TipoProgramaPersonalTecnico=2,$E124*AN123,$E124/Hjor*AN123))</f>
        <v>0</v>
      </c>
      <c r="AO124" s="2">
        <f>IF(TipoProgramaPersonalTecnico=1,$E124*'a)Plantilla'!$C44*Programa!D$47,IF(TipoProgramaPersonalTecnico=2,$E124*AO123,$E124/Hjor*AO123))</f>
        <v>0</v>
      </c>
      <c r="AP124" s="12">
        <f>IF(TipoProgramaPersonalTecnico=1,$E124*'a)Plantilla'!$C44*Programa!D$48,IF(TipoProgramaPersonalTecnico=2,$E124*AP123,$E124/Hjor*AP123))</f>
        <v>0</v>
      </c>
      <c r="AQ124" s="7">
        <f>IF(TipoProgramaPersonalTecnico=1,$E124*'a)Plantilla'!$C44*Programa!D$49,IF(TipoProgramaPersonalTecnico=2,$E124*AQ123,$E124/Hjor*AQ123))</f>
        <v>0</v>
      </c>
      <c r="AR124" s="2">
        <f>IF(TipoProgramaPersonalTecnico=1,$E124*'a)Plantilla'!$C44*Programa!D$50,IF(TipoProgramaPersonalTecnico=2,$E124*AR123,$E124/Hjor*AR123))</f>
        <v>0</v>
      </c>
      <c r="AS124" s="2">
        <f>IF(TipoProgramaPersonalTecnico=1,$E124*'a)Plantilla'!$C44*Programa!D$51,IF(TipoProgramaPersonalTecnico=2,$E124*AS123,$E124/Hjor*AS123))</f>
        <v>0</v>
      </c>
      <c r="AT124" s="2">
        <f>IF(TipoProgramaPersonalTecnico=1,$E124*'a)Plantilla'!$C44*Programa!D$52,IF(TipoProgramaPersonalTecnico=2,$E124*AT123,$E124/Hjor*AT123))</f>
        <v>0</v>
      </c>
      <c r="AU124" s="2">
        <f>IF(TipoProgramaPersonalTecnico=1,$E124*'a)Plantilla'!$C44*Programa!D$53,IF(TipoProgramaPersonalTecnico=2,$E124*AU123,$E124/Hjor*AU123))</f>
        <v>0</v>
      </c>
      <c r="AV124" s="2">
        <f>IF(TipoProgramaPersonalTecnico=1,$E124*'a)Plantilla'!$C44*Programa!D$54,IF(TipoProgramaPersonalTecnico=2,$E124*AV123,$E124/Hjor*AV123))</f>
        <v>0</v>
      </c>
      <c r="AW124" s="2">
        <f>IF(TipoProgramaPersonalTecnico=1,$E124*'a)Plantilla'!$C44*Programa!D$55,IF(TipoProgramaPersonalTecnico=2,$E124*AW123,$E124/Hjor*AW123))</f>
        <v>0</v>
      </c>
      <c r="AX124" s="2">
        <f>IF(TipoProgramaPersonalTecnico=1,$E124*'a)Plantilla'!$C44*Programa!D$56,IF(TipoProgramaPersonalTecnico=2,$E124*AX123,$E124/Hjor*AX123))</f>
        <v>0</v>
      </c>
      <c r="AY124" s="2">
        <f>IF(TipoProgramaPersonalTecnico=1,$E124*'a)Plantilla'!$C44*Programa!D$57,IF(TipoProgramaPersonalTecnico=2,$E124*AY123,$E124/Hjor*AY123))</f>
        <v>0</v>
      </c>
      <c r="AZ124" s="2">
        <f>IF(TipoProgramaPersonalTecnico=1,$E124*'a)Plantilla'!$C44*Programa!D$58,IF(TipoProgramaPersonalTecnico=2,$E124*AZ123,$E124/Hjor*AZ123))</f>
        <v>0</v>
      </c>
      <c r="BA124" s="55">
        <f>IF(TipoProgramaPersonalTecnico=1,$E124*'a)Plantilla'!$C44*Programa!D$59,IF(TipoProgramaPersonalTecnico=2,$E124*BA123,$E124/Hjor*BA123))</f>
        <v>0</v>
      </c>
      <c r="BB124" s="56">
        <f>IF(TipoProgramaPersonalTecnico=1,$E124*'a)Plantilla'!$C44*Programa!D$60,IF(TipoProgramaPersonalTecnico=2,$E124*BB123,$E124/Hjor*BB123))</f>
        <v>0</v>
      </c>
      <c r="BC124" s="53">
        <f>IF(TipoProgramaPersonalTecnico=1,$E124*'a)Plantilla'!$C44*Programa!D$61,IF(TipoProgramaPersonalTecnico=2,$E124*BC123,$E124/Hjor*BC123))</f>
        <v>0</v>
      </c>
      <c r="BD124" s="2">
        <f>IF(TipoProgramaPersonalTecnico=1,$E124*'a)Plantilla'!$C44*Programa!D$62,IF(TipoProgramaPersonalTecnico=2,$E124*BD123,$E124/Hjor*BD123))</f>
        <v>0</v>
      </c>
      <c r="BE124" s="2">
        <f>IF(TipoProgramaPersonalTecnico=1,$E124*'a)Plantilla'!$C44*Programa!D$63,IF(TipoProgramaPersonalTecnico=2,$E124*BE123,$E124/Hjor*BE123))</f>
        <v>0</v>
      </c>
      <c r="BF124" s="2">
        <f>IF(TipoProgramaPersonalTecnico=1,$E124*'a)Plantilla'!$C44*Programa!D$64,IF(TipoProgramaPersonalTecnico=2,$E124*BF123,$E124/Hjor*BF123))</f>
        <v>0</v>
      </c>
      <c r="BG124" s="2">
        <f>IF(TipoProgramaPersonalTecnico=1,$E124*'a)Plantilla'!$C44*Programa!D$65,IF(TipoProgramaPersonalTecnico=2,$E124*BG123,$E124/Hjor*BG123))</f>
        <v>0</v>
      </c>
      <c r="BH124" s="2">
        <f>IF(TipoProgramaPersonalTecnico=1,$E124*'a)Plantilla'!$C44*Programa!D$66,IF(TipoProgramaPersonalTecnico=2,$E124*BH123,$E124/Hjor*BH123))</f>
        <v>0</v>
      </c>
      <c r="BI124" s="2">
        <f>IF(TipoProgramaPersonalTecnico=1,$E124*'a)Plantilla'!$C44*Programa!D$67,IF(TipoProgramaPersonalTecnico=2,$E124*BI123,$E124/Hjor*BI123))</f>
        <v>0</v>
      </c>
      <c r="BJ124" s="2">
        <f>IF(TipoProgramaPersonalTecnico=1,$E124*'a)Plantilla'!$C44*Programa!D$68,IF(TipoProgramaPersonalTecnico=2,$E124*BJ123,$E124/Hjor*BJ123))</f>
        <v>0</v>
      </c>
      <c r="BK124" s="2">
        <f>IF(TipoProgramaPersonalTecnico=1,$E124*'a)Plantilla'!$C44*Programa!D$69,IF(TipoProgramaPersonalTecnico=2,$E124*BK123,$E124/Hjor*BK123))</f>
        <v>0</v>
      </c>
      <c r="BL124" s="2">
        <f>IF(TipoProgramaPersonalTecnico=1,$E124*'a)Plantilla'!$C44*Programa!D$70,IF(TipoProgramaPersonalTecnico=2,$E124*BL123,$E124/Hjor*BL123))</f>
        <v>0</v>
      </c>
      <c r="BM124" s="2">
        <f>IF(TipoProgramaPersonalTecnico=1,$E124*'a)Plantilla'!$C44*Programa!D$71,IF(TipoProgramaPersonalTecnico=2,$E124*BM123,$E124/Hjor*BM123))</f>
        <v>0</v>
      </c>
      <c r="BN124" s="12">
        <f>IF(TipoProgramaPersonalTecnico=1,$E124*'a)Plantilla'!$C44*Programa!D$72,IF(TipoProgramaPersonalTecnico=2,$E124*BN123,$E124/Hjor*BN123))</f>
        <v>0</v>
      </c>
    </row>
    <row r="125" spans="1:66" ht="7.5" customHeight="1">
      <c r="A125" s="67"/>
      <c r="B125" s="19"/>
      <c r="C125" s="127"/>
      <c r="D125" s="54"/>
      <c r="E125" s="19"/>
      <c r="F125" s="19"/>
      <c r="G125" s="1" t="s">
        <v>168</v>
      </c>
      <c r="H125" s="1" t="s">
        <v>168</v>
      </c>
      <c r="I125" s="1" t="s">
        <v>168</v>
      </c>
      <c r="J125" s="1" t="s">
        <v>168</v>
      </c>
      <c r="K125" s="1" t="s">
        <v>168</v>
      </c>
      <c r="L125" s="1" t="s">
        <v>168</v>
      </c>
      <c r="M125" s="1" t="s">
        <v>168</v>
      </c>
      <c r="N125" s="1" t="s">
        <v>168</v>
      </c>
      <c r="O125" s="1" t="s">
        <v>168</v>
      </c>
      <c r="P125" s="1" t="s">
        <v>168</v>
      </c>
      <c r="Q125" s="1" t="s">
        <v>168</v>
      </c>
      <c r="R125" s="8" t="s">
        <v>168</v>
      </c>
      <c r="S125" s="13" t="s">
        <v>168</v>
      </c>
      <c r="T125" s="1" t="s">
        <v>168</v>
      </c>
      <c r="U125" s="1" t="s">
        <v>168</v>
      </c>
      <c r="V125" s="1" t="s">
        <v>168</v>
      </c>
      <c r="W125" s="1" t="s">
        <v>168</v>
      </c>
      <c r="X125" s="1" t="s">
        <v>168</v>
      </c>
      <c r="Y125" s="1" t="s">
        <v>168</v>
      </c>
      <c r="Z125" s="1" t="s">
        <v>168</v>
      </c>
      <c r="AA125" s="1" t="s">
        <v>168</v>
      </c>
      <c r="AB125" s="1" t="s">
        <v>168</v>
      </c>
      <c r="AC125" s="1" t="s">
        <v>168</v>
      </c>
      <c r="AD125" s="8" t="s">
        <v>168</v>
      </c>
      <c r="AE125" s="13" t="s">
        <v>168</v>
      </c>
      <c r="AF125" s="1" t="s">
        <v>168</v>
      </c>
      <c r="AG125" s="1" t="s">
        <v>168</v>
      </c>
      <c r="AH125" s="1" t="s">
        <v>168</v>
      </c>
      <c r="AI125" s="1" t="s">
        <v>168</v>
      </c>
      <c r="AJ125" s="1" t="s">
        <v>168</v>
      </c>
      <c r="AK125" s="1" t="s">
        <v>168</v>
      </c>
      <c r="AL125" s="1" t="s">
        <v>168</v>
      </c>
      <c r="AM125" s="1" t="s">
        <v>168</v>
      </c>
      <c r="AN125" s="1" t="s">
        <v>168</v>
      </c>
      <c r="AO125" s="1" t="s">
        <v>168</v>
      </c>
      <c r="AP125" s="8" t="s">
        <v>168</v>
      </c>
      <c r="AQ125" s="13" t="s">
        <v>168</v>
      </c>
      <c r="AR125" s="1" t="s">
        <v>168</v>
      </c>
      <c r="AS125" s="1" t="s">
        <v>168</v>
      </c>
      <c r="AT125" s="1" t="s">
        <v>168</v>
      </c>
      <c r="AU125" s="1" t="s">
        <v>168</v>
      </c>
      <c r="AV125" s="1" t="s">
        <v>168</v>
      </c>
      <c r="AW125" s="1" t="s">
        <v>168</v>
      </c>
      <c r="AX125" s="1" t="s">
        <v>168</v>
      </c>
      <c r="AY125" s="1" t="s">
        <v>168</v>
      </c>
      <c r="AZ125" s="1" t="s">
        <v>168</v>
      </c>
      <c r="BA125" s="1" t="s">
        <v>168</v>
      </c>
      <c r="BB125" s="8" t="s">
        <v>168</v>
      </c>
      <c r="BC125" s="13" t="s">
        <v>168</v>
      </c>
      <c r="BD125" s="1" t="s">
        <v>168</v>
      </c>
      <c r="BE125" s="1" t="s">
        <v>168</v>
      </c>
      <c r="BF125" s="1" t="s">
        <v>168</v>
      </c>
      <c r="BG125" s="1" t="s">
        <v>168</v>
      </c>
      <c r="BH125" s="1" t="s">
        <v>168</v>
      </c>
      <c r="BI125" s="1" t="s">
        <v>168</v>
      </c>
      <c r="BJ125" s="1" t="s">
        <v>168</v>
      </c>
      <c r="BK125" s="1" t="s">
        <v>168</v>
      </c>
      <c r="BL125" s="1" t="s">
        <v>168</v>
      </c>
      <c r="BM125" s="1" t="s">
        <v>168</v>
      </c>
      <c r="BN125" s="8" t="s">
        <v>168</v>
      </c>
    </row>
    <row r="126" spans="1:66">
      <c r="A126" s="67"/>
      <c r="B126" s="46"/>
      <c r="C126" s="127"/>
      <c r="D126" s="52"/>
      <c r="E126" s="7"/>
      <c r="F126" s="7"/>
      <c r="G126" s="3">
        <f>'d)Pers.Técnico'!E90</f>
        <v>0</v>
      </c>
      <c r="H126" s="3">
        <f>'d)Pers.Técnico'!F90</f>
        <v>0</v>
      </c>
      <c r="I126" s="3">
        <f>'d)Pers.Técnico'!G90</f>
        <v>0</v>
      </c>
      <c r="J126" s="3">
        <f>'d)Pers.Técnico'!H90</f>
        <v>0</v>
      </c>
      <c r="K126" s="3">
        <f>'d)Pers.Técnico'!I90</f>
        <v>0</v>
      </c>
      <c r="L126" s="3">
        <f>'d)Pers.Técnico'!J90</f>
        <v>0</v>
      </c>
      <c r="M126" s="3">
        <f>'d)Pers.Técnico'!K90</f>
        <v>0</v>
      </c>
      <c r="N126" s="3">
        <f>'d)Pers.Técnico'!L90</f>
        <v>0</v>
      </c>
      <c r="O126" s="3">
        <f>'d)Pers.Técnico'!M90</f>
        <v>0</v>
      </c>
      <c r="P126" s="3">
        <f>'d)Pers.Técnico'!N90</f>
        <v>0</v>
      </c>
      <c r="Q126" s="3">
        <f>'d)Pers.Técnico'!O90</f>
        <v>0</v>
      </c>
      <c r="R126" s="14">
        <f>'d)Pers.Técnico'!P90</f>
        <v>0</v>
      </c>
      <c r="S126" s="20">
        <f>'d)Pers.Técnico'!Q90</f>
        <v>0</v>
      </c>
      <c r="T126" s="3">
        <f>'d)Pers.Técnico'!R90</f>
        <v>0</v>
      </c>
      <c r="U126" s="3">
        <f>'d)Pers.Técnico'!S90</f>
        <v>0</v>
      </c>
      <c r="V126" s="3">
        <f>'d)Pers.Técnico'!T90</f>
        <v>0</v>
      </c>
      <c r="W126" s="3">
        <f>'d)Pers.Técnico'!U90</f>
        <v>0</v>
      </c>
      <c r="X126" s="3">
        <f>'d)Pers.Técnico'!V90</f>
        <v>0</v>
      </c>
      <c r="Y126" s="3">
        <f>'d)Pers.Técnico'!W90</f>
        <v>0</v>
      </c>
      <c r="Z126" s="3">
        <f>'d)Pers.Técnico'!X90</f>
        <v>0</v>
      </c>
      <c r="AA126" s="3">
        <f>'d)Pers.Técnico'!Y90</f>
        <v>0</v>
      </c>
      <c r="AB126" s="3">
        <f>'d)Pers.Técnico'!Z90</f>
        <v>0</v>
      </c>
      <c r="AC126" s="3">
        <f>'d)Pers.Técnico'!AA90</f>
        <v>0</v>
      </c>
      <c r="AD126" s="14">
        <f>'d)Pers.Técnico'!AB90</f>
        <v>0</v>
      </c>
      <c r="AE126" s="20">
        <f>'d)Pers.Técnico'!AC90</f>
        <v>0</v>
      </c>
      <c r="AF126" s="3">
        <f>'d)Pers.Técnico'!AD90</f>
        <v>0</v>
      </c>
      <c r="AG126" s="3">
        <f>'d)Pers.Técnico'!AE90</f>
        <v>0</v>
      </c>
      <c r="AH126" s="3">
        <f>'d)Pers.Técnico'!AF90</f>
        <v>0</v>
      </c>
      <c r="AI126" s="3">
        <f>'d)Pers.Técnico'!AG90</f>
        <v>0</v>
      </c>
      <c r="AJ126" s="3">
        <f>'d)Pers.Técnico'!AH90</f>
        <v>0</v>
      </c>
      <c r="AK126" s="3">
        <f>'d)Pers.Técnico'!AI90</f>
        <v>0</v>
      </c>
      <c r="AL126" s="3">
        <f>'d)Pers.Técnico'!AJ90</f>
        <v>0</v>
      </c>
      <c r="AM126" s="3">
        <f>'d)Pers.Técnico'!AK90</f>
        <v>0</v>
      </c>
      <c r="AN126" s="3">
        <f>'d)Pers.Técnico'!AL90</f>
        <v>0</v>
      </c>
      <c r="AO126" s="3">
        <f>'d)Pers.Técnico'!AM90</f>
        <v>0</v>
      </c>
      <c r="AP126" s="14">
        <f>'d)Pers.Técnico'!AN90</f>
        <v>0</v>
      </c>
      <c r="AQ126" s="20">
        <f>'d)Pers.Técnico'!AO90</f>
        <v>0</v>
      </c>
      <c r="AR126" s="3">
        <f>'d)Pers.Técnico'!AP90</f>
        <v>0</v>
      </c>
      <c r="AS126" s="3">
        <f>'d)Pers.Técnico'!AQ90</f>
        <v>0</v>
      </c>
      <c r="AT126" s="3">
        <f>'d)Pers.Técnico'!AR90</f>
        <v>0</v>
      </c>
      <c r="AU126" s="3">
        <f>'d)Pers.Técnico'!AS90</f>
        <v>0</v>
      </c>
      <c r="AV126" s="3">
        <f>'d)Pers.Técnico'!AT90</f>
        <v>0</v>
      </c>
      <c r="AW126" s="3">
        <f>'d)Pers.Técnico'!AU90</f>
        <v>0</v>
      </c>
      <c r="AX126" s="3">
        <f>'d)Pers.Técnico'!AV90</f>
        <v>0</v>
      </c>
      <c r="AY126" s="3">
        <f>'d)Pers.Técnico'!AW90</f>
        <v>0</v>
      </c>
      <c r="AZ126" s="3">
        <f>'d)Pers.Técnico'!AX90</f>
        <v>0</v>
      </c>
      <c r="BA126" s="1">
        <f>'d)Pers.Técnico'!AY90</f>
        <v>0</v>
      </c>
      <c r="BB126" s="60">
        <f>'d)Pers.Técnico'!AZ90</f>
        <v>0</v>
      </c>
      <c r="BC126" s="61">
        <f>'d)Pers.Técnico'!BA90</f>
        <v>0</v>
      </c>
      <c r="BD126" s="3">
        <f>'d)Pers.Técnico'!BB90</f>
        <v>0</v>
      </c>
      <c r="BE126" s="3">
        <f>'d)Pers.Técnico'!BC90</f>
        <v>0</v>
      </c>
      <c r="BF126" s="3">
        <f>'d)Pers.Técnico'!BD90</f>
        <v>0</v>
      </c>
      <c r="BG126" s="3">
        <f>'d)Pers.Técnico'!BE90</f>
        <v>0</v>
      </c>
      <c r="BH126" s="3">
        <f>'d)Pers.Técnico'!BF90</f>
        <v>0</v>
      </c>
      <c r="BI126" s="3">
        <f>'d)Pers.Técnico'!BG90</f>
        <v>0</v>
      </c>
      <c r="BJ126" s="3">
        <f>'d)Pers.Técnico'!BH90</f>
        <v>0</v>
      </c>
      <c r="BK126" s="3">
        <f>'d)Pers.Técnico'!BI90</f>
        <v>0</v>
      </c>
      <c r="BL126" s="3">
        <f>'d)Pers.Técnico'!BJ90</f>
        <v>0</v>
      </c>
      <c r="BM126" s="3">
        <f>'d)Pers.Técnico'!BK90</f>
        <v>0</v>
      </c>
      <c r="BN126" s="14">
        <f>'d)Pers.Técnico'!BL90</f>
        <v>0</v>
      </c>
    </row>
    <row r="127" spans="1:66">
      <c r="A127" s="67"/>
      <c r="B127" s="46" t="str">
        <f>+'d)Pers.Técnico'!B90</f>
        <v/>
      </c>
      <c r="C127" s="127" t="str">
        <f>'d)Pers.Técnico'!C90</f>
        <v/>
      </c>
      <c r="D127" s="52">
        <f>SUM(G126:BN126)</f>
        <v>0</v>
      </c>
      <c r="E127" s="7">
        <f>IF('a)Plantilla'!C45&gt;0,'a)Plantilla'!D45/30,0)</f>
        <v>0</v>
      </c>
      <c r="F127" s="7">
        <f>SUM(G127:BN127)</f>
        <v>0</v>
      </c>
      <c r="G127" s="2">
        <f>IF(TipoProgramaPersonalTecnico=1,$E127*'a)Plantilla'!$C45*Programa!D$13,IF(TipoProgramaPersonalTecnico=2,$E127*G126,$E127/Hjor*G126))</f>
        <v>0</v>
      </c>
      <c r="H127" s="2">
        <f>IF(TipoProgramaPersonalTecnico=1,$E127*'a)Plantilla'!$C45*Programa!D$14,IF(TipoProgramaPersonalTecnico=2,$E127*H126,$E127/Hjor*H126))</f>
        <v>0</v>
      </c>
      <c r="I127" s="2">
        <f>IF(TipoProgramaPersonalTecnico=1,$E127*'a)Plantilla'!$C45*Programa!D$15,IF(TipoProgramaPersonalTecnico=2,$E127*I126,$E127/Hjor*I126))</f>
        <v>0</v>
      </c>
      <c r="J127" s="2">
        <f>IF(TipoProgramaPersonalTecnico=1,$E127*'a)Plantilla'!$C45*Programa!D$16,IF(TipoProgramaPersonalTecnico=2,$E127*J126,$E127/Hjor*J126))</f>
        <v>0</v>
      </c>
      <c r="K127" s="2">
        <f>IF(TipoProgramaPersonalTecnico=1,$E127*'a)Plantilla'!$C45*Programa!D$17,IF(TipoProgramaPersonalTecnico=2,$E127*K126,$E127/Hjor*K126))</f>
        <v>0</v>
      </c>
      <c r="L127" s="2">
        <f>IF(TipoProgramaPersonalTecnico=1,$E127*'a)Plantilla'!$C45*Programa!D$18,IF(TipoProgramaPersonalTecnico=2,$E127*L126,$E127/Hjor*L126))</f>
        <v>0</v>
      </c>
      <c r="M127" s="2">
        <f>IF(TipoProgramaPersonalTecnico=1,$E127*'a)Plantilla'!$C45*Programa!D$19,IF(TipoProgramaPersonalTecnico=2,$E127*M126,$E127/Hjor*M126))</f>
        <v>0</v>
      </c>
      <c r="N127" s="2">
        <f>IF(TipoProgramaPersonalTecnico=1,$E127*'a)Plantilla'!$C45*Programa!D$20,IF(TipoProgramaPersonalTecnico=2,$E127*N126,$E127/Hjor*N126))</f>
        <v>0</v>
      </c>
      <c r="O127" s="2">
        <f>IF(TipoProgramaPersonalTecnico=1,$E127*'a)Plantilla'!$C45*Programa!D$21,IF(TipoProgramaPersonalTecnico=2,$E127*O126,$E127/Hjor*O126))</f>
        <v>0</v>
      </c>
      <c r="P127" s="2">
        <f>IF(TipoProgramaPersonalTecnico=1,$E127*'a)Plantilla'!$C45*Programa!D$22,IF(TipoProgramaPersonalTecnico=2,$E127*P126,$E127/Hjor*P126))</f>
        <v>0</v>
      </c>
      <c r="Q127" s="2">
        <f>IF(TipoProgramaPersonalTecnico=1,$E127*'a)Plantilla'!$C45*Programa!D$23,IF(TipoProgramaPersonalTecnico=2,$E127*Q126,$E127/Hjor*Q126))</f>
        <v>0</v>
      </c>
      <c r="R127" s="12">
        <f>IF(TipoProgramaPersonalTecnico=1,$E127*'a)Plantilla'!$C45*Programa!D$24,IF(TipoProgramaPersonalTecnico=2,$E127*R126,$E127/Hjor*R126))</f>
        <v>0</v>
      </c>
      <c r="S127" s="7">
        <f>IF(TipoProgramaPersonalTecnico=1,$E127*'a)Plantilla'!$C45*Programa!D$25,IF(TipoProgramaPersonalTecnico=2,$E127*S126,$E127/Hjor*S126))</f>
        <v>0</v>
      </c>
      <c r="T127" s="2">
        <f>IF(TipoProgramaPersonalTecnico=1,$E127*'a)Plantilla'!$C45*Programa!D$26,IF(TipoProgramaPersonalTecnico=2,$E127*T126,$E127/Hjor*T126))</f>
        <v>0</v>
      </c>
      <c r="U127" s="2">
        <f>IF(TipoProgramaPersonalTecnico=1,$E127*'a)Plantilla'!$C45*Programa!D$27,IF(TipoProgramaPersonalTecnico=2,$E127*U126,$E127/Hjor*U126))</f>
        <v>0</v>
      </c>
      <c r="V127" s="2">
        <f>IF(TipoProgramaPersonalTecnico=1,$E127*'a)Plantilla'!$C45*Programa!D$28,IF(TipoProgramaPersonalTecnico=2,$E127*V126,$E127/Hjor*V126))</f>
        <v>0</v>
      </c>
      <c r="W127" s="2">
        <f>IF(TipoProgramaPersonalTecnico=1,$E127*'a)Plantilla'!$C45*Programa!D$29,IF(TipoProgramaPersonalTecnico=2,$E127*W126,$E127/Hjor*W126))</f>
        <v>0</v>
      </c>
      <c r="X127" s="2">
        <f>IF(TipoProgramaPersonalTecnico=1,$E127*'a)Plantilla'!$C45*Programa!D$30,IF(TipoProgramaPersonalTecnico=2,$E127*X126,$E127/Hjor*X126))</f>
        <v>0</v>
      </c>
      <c r="Y127" s="2">
        <f>IF(TipoProgramaPersonalTecnico=1,$E127*'a)Plantilla'!$C45*Programa!D$31,IF(TipoProgramaPersonalTecnico=2,$E127*Y126,$E127/Hjor*Y126))</f>
        <v>0</v>
      </c>
      <c r="Z127" s="2">
        <f>IF(TipoProgramaPersonalTecnico=1,$E127*'a)Plantilla'!$C45*Programa!D$32,IF(TipoProgramaPersonalTecnico=2,$E127*Z126,$E127/Hjor*Z126))</f>
        <v>0</v>
      </c>
      <c r="AA127" s="2">
        <f>IF(TipoProgramaPersonalTecnico=1,$E127*'a)Plantilla'!$C45*Programa!D$33,IF(TipoProgramaPersonalTecnico=2,$E127*AA126,$E127/Hjor*AA126))</f>
        <v>0</v>
      </c>
      <c r="AB127" s="2">
        <f>IF(TipoProgramaPersonalTecnico=1,$E127*'a)Plantilla'!$C45*Programa!D$34,IF(TipoProgramaPersonalTecnico=2,$E127*AB126,$E127/Hjor*AB126))</f>
        <v>0</v>
      </c>
      <c r="AC127" s="2">
        <f>IF(TipoProgramaPersonalTecnico=1,$E127*'a)Plantilla'!$C45*Programa!D$35,IF(TipoProgramaPersonalTecnico=2,$E127*AC126,$E127/Hjor*AC126))</f>
        <v>0</v>
      </c>
      <c r="AD127" s="12">
        <f>IF(TipoProgramaPersonalTecnico=1,$E127*'a)Plantilla'!$C45*Programa!D$36,IF(TipoProgramaPersonalTecnico=2,$E127*AD126,$E127/Hjor*AD126))</f>
        <v>0</v>
      </c>
      <c r="AE127" s="7">
        <f>IF(TipoProgramaPersonalTecnico=1,$E127*'a)Plantilla'!$C45*Programa!D$37,IF(TipoProgramaPersonalTecnico=2,$E127*AE126,$E127/Hjor*AE126))</f>
        <v>0</v>
      </c>
      <c r="AF127" s="2">
        <f>IF(TipoProgramaPersonalTecnico=1,$E127*'a)Plantilla'!$C45*Programa!D$38,IF(TipoProgramaPersonalTecnico=2,$E127*AF126,$E127/Hjor*AF126))</f>
        <v>0</v>
      </c>
      <c r="AG127" s="2">
        <f>IF(TipoProgramaPersonalTecnico=1,$E127*'a)Plantilla'!$C45*Programa!D$39,IF(TipoProgramaPersonalTecnico=2,$E127*AG126,$E127/Hjor*AG126))</f>
        <v>0</v>
      </c>
      <c r="AH127" s="2">
        <f>IF(TipoProgramaPersonalTecnico=1,$E127*'a)Plantilla'!$C45*Programa!D$40,IF(TipoProgramaPersonalTecnico=2,$E127*AH126,$E127/Hjor*AH126))</f>
        <v>0</v>
      </c>
      <c r="AI127" s="2">
        <f>IF(TipoProgramaPersonalTecnico=1,$E127*'a)Plantilla'!$C45*Programa!D$41,IF(TipoProgramaPersonalTecnico=2,$E127*AI126,$E127/Hjor*AI126))</f>
        <v>0</v>
      </c>
      <c r="AJ127" s="2">
        <f>IF(TipoProgramaPersonalTecnico=1,$E127*'a)Plantilla'!$C45*Programa!D$42,IF(TipoProgramaPersonalTecnico=2,$E127*AJ126,$E127/Hjor*AJ126))</f>
        <v>0</v>
      </c>
      <c r="AK127" s="2">
        <f>IF(TipoProgramaPersonalTecnico=1,$E127*'a)Plantilla'!$C45*Programa!D$43,IF(TipoProgramaPersonalTecnico=2,$E127*AK126,$E127/Hjor*AK126))</f>
        <v>0</v>
      </c>
      <c r="AL127" s="2">
        <f>IF(TipoProgramaPersonalTecnico=1,$E127*'a)Plantilla'!$C45*Programa!D$44,IF(TipoProgramaPersonalTecnico=2,$E127*AL126,$E127/Hjor*AL126))</f>
        <v>0</v>
      </c>
      <c r="AM127" s="2">
        <f>IF(TipoProgramaPersonalTecnico=1,$E127*'a)Plantilla'!$C45*Programa!D$45,IF(TipoProgramaPersonalTecnico=2,$E127*AM126,$E127/Hjor*AM126))</f>
        <v>0</v>
      </c>
      <c r="AN127" s="2">
        <f>IF(TipoProgramaPersonalTecnico=1,$E127*'a)Plantilla'!$C45*Programa!D$46,IF(TipoProgramaPersonalTecnico=2,$E127*AN126,$E127/Hjor*AN126))</f>
        <v>0</v>
      </c>
      <c r="AO127" s="2">
        <f>IF(TipoProgramaPersonalTecnico=1,$E127*'a)Plantilla'!$C45*Programa!D$47,IF(TipoProgramaPersonalTecnico=2,$E127*AO126,$E127/Hjor*AO126))</f>
        <v>0</v>
      </c>
      <c r="AP127" s="12">
        <f>IF(TipoProgramaPersonalTecnico=1,$E127*'a)Plantilla'!$C45*Programa!D$48,IF(TipoProgramaPersonalTecnico=2,$E127*AP126,$E127/Hjor*AP126))</f>
        <v>0</v>
      </c>
      <c r="AQ127" s="7">
        <f>IF(TipoProgramaPersonalTecnico=1,$E127*'a)Plantilla'!$C45*Programa!D$49,IF(TipoProgramaPersonalTecnico=2,$E127*AQ126,$E127/Hjor*AQ126))</f>
        <v>0</v>
      </c>
      <c r="AR127" s="2">
        <f>IF(TipoProgramaPersonalTecnico=1,$E127*'a)Plantilla'!$C45*Programa!D$50,IF(TipoProgramaPersonalTecnico=2,$E127*AR126,$E127/Hjor*AR126))</f>
        <v>0</v>
      </c>
      <c r="AS127" s="2">
        <f>IF(TipoProgramaPersonalTecnico=1,$E127*'a)Plantilla'!$C45*Programa!D$51,IF(TipoProgramaPersonalTecnico=2,$E127*AS126,$E127/Hjor*AS126))</f>
        <v>0</v>
      </c>
      <c r="AT127" s="2">
        <f>IF(TipoProgramaPersonalTecnico=1,$E127*'a)Plantilla'!$C45*Programa!D$52,IF(TipoProgramaPersonalTecnico=2,$E127*AT126,$E127/Hjor*AT126))</f>
        <v>0</v>
      </c>
      <c r="AU127" s="2">
        <f>IF(TipoProgramaPersonalTecnico=1,$E127*'a)Plantilla'!$C45*Programa!D$53,IF(TipoProgramaPersonalTecnico=2,$E127*AU126,$E127/Hjor*AU126))</f>
        <v>0</v>
      </c>
      <c r="AV127" s="2">
        <f>IF(TipoProgramaPersonalTecnico=1,$E127*'a)Plantilla'!$C45*Programa!D$54,IF(TipoProgramaPersonalTecnico=2,$E127*AV126,$E127/Hjor*AV126))</f>
        <v>0</v>
      </c>
      <c r="AW127" s="2">
        <f>IF(TipoProgramaPersonalTecnico=1,$E127*'a)Plantilla'!$C45*Programa!D$55,IF(TipoProgramaPersonalTecnico=2,$E127*AW126,$E127/Hjor*AW126))</f>
        <v>0</v>
      </c>
      <c r="AX127" s="2">
        <f>IF(TipoProgramaPersonalTecnico=1,$E127*'a)Plantilla'!$C45*Programa!D$56,IF(TipoProgramaPersonalTecnico=2,$E127*AX126,$E127/Hjor*AX126))</f>
        <v>0</v>
      </c>
      <c r="AY127" s="2">
        <f>IF(TipoProgramaPersonalTecnico=1,$E127*'a)Plantilla'!$C45*Programa!D$57,IF(TipoProgramaPersonalTecnico=2,$E127*AY126,$E127/Hjor*AY126))</f>
        <v>0</v>
      </c>
      <c r="AZ127" s="2">
        <f>IF(TipoProgramaPersonalTecnico=1,$E127*'a)Plantilla'!$C45*Programa!D$58,IF(TipoProgramaPersonalTecnico=2,$E127*AZ126,$E127/Hjor*AZ126))</f>
        <v>0</v>
      </c>
      <c r="BA127" s="55">
        <f>IF(TipoProgramaPersonalTecnico=1,$E127*'a)Plantilla'!$C45*Programa!D$59,IF(TipoProgramaPersonalTecnico=2,$E127*BA126,$E127/Hjor*BA126))</f>
        <v>0</v>
      </c>
      <c r="BB127" s="56">
        <f>IF(TipoProgramaPersonalTecnico=1,$E127*'a)Plantilla'!$C45*Programa!D$60,IF(TipoProgramaPersonalTecnico=2,$E127*BB126,$E127/Hjor*BB126))</f>
        <v>0</v>
      </c>
      <c r="BC127" s="53">
        <f>IF(TipoProgramaPersonalTecnico=1,$E127*'a)Plantilla'!$C45*Programa!D$61,IF(TipoProgramaPersonalTecnico=2,$E127*BC126,$E127/Hjor*BC126))</f>
        <v>0</v>
      </c>
      <c r="BD127" s="2">
        <f>IF(TipoProgramaPersonalTecnico=1,$E127*'a)Plantilla'!$C45*Programa!D$62,IF(TipoProgramaPersonalTecnico=2,$E127*BD126,$E127/Hjor*BD126))</f>
        <v>0</v>
      </c>
      <c r="BE127" s="2">
        <f>IF(TipoProgramaPersonalTecnico=1,$E127*'a)Plantilla'!$C45*Programa!D$63,IF(TipoProgramaPersonalTecnico=2,$E127*BE126,$E127/Hjor*BE126))</f>
        <v>0</v>
      </c>
      <c r="BF127" s="2">
        <f>IF(TipoProgramaPersonalTecnico=1,$E127*'a)Plantilla'!$C45*Programa!D$64,IF(TipoProgramaPersonalTecnico=2,$E127*BF126,$E127/Hjor*BF126))</f>
        <v>0</v>
      </c>
      <c r="BG127" s="2">
        <f>IF(TipoProgramaPersonalTecnico=1,$E127*'a)Plantilla'!$C45*Programa!D$65,IF(TipoProgramaPersonalTecnico=2,$E127*BG126,$E127/Hjor*BG126))</f>
        <v>0</v>
      </c>
      <c r="BH127" s="2">
        <f>IF(TipoProgramaPersonalTecnico=1,$E127*'a)Plantilla'!$C45*Programa!D$66,IF(TipoProgramaPersonalTecnico=2,$E127*BH126,$E127/Hjor*BH126))</f>
        <v>0</v>
      </c>
      <c r="BI127" s="2">
        <f>IF(TipoProgramaPersonalTecnico=1,$E127*'a)Plantilla'!$C45*Programa!D$67,IF(TipoProgramaPersonalTecnico=2,$E127*BI126,$E127/Hjor*BI126))</f>
        <v>0</v>
      </c>
      <c r="BJ127" s="2">
        <f>IF(TipoProgramaPersonalTecnico=1,$E127*'a)Plantilla'!$C45*Programa!D$68,IF(TipoProgramaPersonalTecnico=2,$E127*BJ126,$E127/Hjor*BJ126))</f>
        <v>0</v>
      </c>
      <c r="BK127" s="2">
        <f>IF(TipoProgramaPersonalTecnico=1,$E127*'a)Plantilla'!$C45*Programa!D$69,IF(TipoProgramaPersonalTecnico=2,$E127*BK126,$E127/Hjor*BK126))</f>
        <v>0</v>
      </c>
      <c r="BL127" s="2">
        <f>IF(TipoProgramaPersonalTecnico=1,$E127*'a)Plantilla'!$C45*Programa!D$70,IF(TipoProgramaPersonalTecnico=2,$E127*BL126,$E127/Hjor*BL126))</f>
        <v>0</v>
      </c>
      <c r="BM127" s="2">
        <f>IF(TipoProgramaPersonalTecnico=1,$E127*'a)Plantilla'!$C45*Programa!D$71,IF(TipoProgramaPersonalTecnico=2,$E127*BM126,$E127/Hjor*BM126))</f>
        <v>0</v>
      </c>
      <c r="BN127" s="12">
        <f>IF(TipoProgramaPersonalTecnico=1,$E127*'a)Plantilla'!$C45*Programa!D$72,IF(TipoProgramaPersonalTecnico=2,$E127*BN126,$E127/Hjor*BN126))</f>
        <v>0</v>
      </c>
    </row>
    <row r="128" spans="1:66" ht="7.5" customHeight="1">
      <c r="A128" s="67"/>
      <c r="B128" s="19"/>
      <c r="C128" s="127"/>
      <c r="D128" s="54"/>
      <c r="E128" s="19"/>
      <c r="F128" s="19"/>
      <c r="G128" s="1" t="s">
        <v>168</v>
      </c>
      <c r="H128" s="1" t="s">
        <v>168</v>
      </c>
      <c r="I128" s="1" t="s">
        <v>168</v>
      </c>
      <c r="J128" s="1" t="s">
        <v>168</v>
      </c>
      <c r="K128" s="1" t="s">
        <v>168</v>
      </c>
      <c r="L128" s="1" t="s">
        <v>168</v>
      </c>
      <c r="M128" s="1" t="s">
        <v>168</v>
      </c>
      <c r="N128" s="1" t="s">
        <v>168</v>
      </c>
      <c r="O128" s="1" t="s">
        <v>168</v>
      </c>
      <c r="P128" s="1" t="s">
        <v>168</v>
      </c>
      <c r="Q128" s="1" t="s">
        <v>168</v>
      </c>
      <c r="R128" s="8" t="s">
        <v>168</v>
      </c>
      <c r="S128" s="13" t="s">
        <v>168</v>
      </c>
      <c r="T128" s="1" t="s">
        <v>168</v>
      </c>
      <c r="U128" s="1" t="s">
        <v>168</v>
      </c>
      <c r="V128" s="1" t="s">
        <v>168</v>
      </c>
      <c r="W128" s="1" t="s">
        <v>168</v>
      </c>
      <c r="X128" s="1" t="s">
        <v>168</v>
      </c>
      <c r="Y128" s="1" t="s">
        <v>168</v>
      </c>
      <c r="Z128" s="1" t="s">
        <v>168</v>
      </c>
      <c r="AA128" s="1" t="s">
        <v>168</v>
      </c>
      <c r="AB128" s="1" t="s">
        <v>168</v>
      </c>
      <c r="AC128" s="1" t="s">
        <v>168</v>
      </c>
      <c r="AD128" s="8" t="s">
        <v>168</v>
      </c>
      <c r="AE128" s="13" t="s">
        <v>168</v>
      </c>
      <c r="AF128" s="1" t="s">
        <v>168</v>
      </c>
      <c r="AG128" s="1" t="s">
        <v>168</v>
      </c>
      <c r="AH128" s="1" t="s">
        <v>168</v>
      </c>
      <c r="AI128" s="1" t="s">
        <v>168</v>
      </c>
      <c r="AJ128" s="1" t="s">
        <v>168</v>
      </c>
      <c r="AK128" s="1" t="s">
        <v>168</v>
      </c>
      <c r="AL128" s="1" t="s">
        <v>168</v>
      </c>
      <c r="AM128" s="1" t="s">
        <v>168</v>
      </c>
      <c r="AN128" s="1" t="s">
        <v>168</v>
      </c>
      <c r="AO128" s="1" t="s">
        <v>168</v>
      </c>
      <c r="AP128" s="8" t="s">
        <v>168</v>
      </c>
      <c r="AQ128" s="13" t="s">
        <v>168</v>
      </c>
      <c r="AR128" s="1" t="s">
        <v>168</v>
      </c>
      <c r="AS128" s="1" t="s">
        <v>168</v>
      </c>
      <c r="AT128" s="1" t="s">
        <v>168</v>
      </c>
      <c r="AU128" s="1" t="s">
        <v>168</v>
      </c>
      <c r="AV128" s="1" t="s">
        <v>168</v>
      </c>
      <c r="AW128" s="1" t="s">
        <v>168</v>
      </c>
      <c r="AX128" s="1" t="s">
        <v>168</v>
      </c>
      <c r="AY128" s="1" t="s">
        <v>168</v>
      </c>
      <c r="AZ128" s="1" t="s">
        <v>168</v>
      </c>
      <c r="BA128" s="1" t="s">
        <v>168</v>
      </c>
      <c r="BB128" s="8" t="s">
        <v>168</v>
      </c>
      <c r="BC128" s="13" t="s">
        <v>168</v>
      </c>
      <c r="BD128" s="1" t="s">
        <v>168</v>
      </c>
      <c r="BE128" s="1" t="s">
        <v>168</v>
      </c>
      <c r="BF128" s="1" t="s">
        <v>168</v>
      </c>
      <c r="BG128" s="1" t="s">
        <v>168</v>
      </c>
      <c r="BH128" s="1" t="s">
        <v>168</v>
      </c>
      <c r="BI128" s="1" t="s">
        <v>168</v>
      </c>
      <c r="BJ128" s="1" t="s">
        <v>168</v>
      </c>
      <c r="BK128" s="1" t="s">
        <v>168</v>
      </c>
      <c r="BL128" s="1" t="s">
        <v>168</v>
      </c>
      <c r="BM128" s="1" t="s">
        <v>168</v>
      </c>
      <c r="BN128" s="8" t="s">
        <v>168</v>
      </c>
    </row>
    <row r="129" spans="1:66">
      <c r="A129" s="194"/>
      <c r="B129" s="136" t="s">
        <v>168</v>
      </c>
      <c r="C129" s="296"/>
      <c r="D129" s="287"/>
      <c r="E129" s="267" t="s">
        <v>152</v>
      </c>
      <c r="F129" s="80">
        <f>F127+F124+F121+F118+F115+F112+F109+F106</f>
        <v>1999.99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77"/>
      <c r="S129" s="8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77"/>
      <c r="AE129" s="8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77"/>
      <c r="AQ129" s="80"/>
      <c r="AR129" s="10"/>
      <c r="AS129" s="10"/>
      <c r="AT129" s="10"/>
      <c r="AU129" s="10"/>
      <c r="AV129" s="10"/>
      <c r="AW129" s="10"/>
      <c r="AX129" s="10"/>
      <c r="AY129" s="10"/>
      <c r="AZ129" s="10"/>
      <c r="BA129" s="241"/>
      <c r="BB129" s="51"/>
      <c r="BC129" s="199"/>
      <c r="BD129" s="10"/>
      <c r="BE129" s="51"/>
      <c r="BF129" s="51"/>
      <c r="BG129" s="51"/>
      <c r="BH129" s="51"/>
      <c r="BI129" s="51"/>
      <c r="BJ129" s="51"/>
      <c r="BK129" s="51"/>
      <c r="BL129" s="51"/>
      <c r="BM129" s="51"/>
      <c r="BN129" s="77"/>
    </row>
    <row r="130" spans="1:66">
      <c r="A130" s="214" t="str">
        <f>'d)Pers.Técnico'!A91</f>
        <v>Personal administrativo incluye: Prestaciones</v>
      </c>
      <c r="B130" s="200"/>
      <c r="C130" s="321"/>
      <c r="D130" s="433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12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12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12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310"/>
      <c r="BB130" s="15"/>
      <c r="BC130" s="380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12"/>
    </row>
    <row r="131" spans="1:66">
      <c r="A131" s="178"/>
      <c r="B131" s="4"/>
      <c r="C131" s="228"/>
      <c r="D131" s="244"/>
      <c r="E131" s="162"/>
      <c r="F131" s="162"/>
      <c r="G131" s="18">
        <f>'d)Pers.Técnico'!E93</f>
        <v>6.4</v>
      </c>
      <c r="H131" s="18">
        <f>'d)Pers.Técnico'!F93</f>
        <v>12</v>
      </c>
      <c r="I131" s="18">
        <f>'d)Pers.Técnico'!G93</f>
        <v>11.6</v>
      </c>
      <c r="J131" s="18">
        <f>'d)Pers.Técnico'!H93</f>
        <v>0</v>
      </c>
      <c r="K131" s="18">
        <f>'d)Pers.Técnico'!I93</f>
        <v>0</v>
      </c>
      <c r="L131" s="18">
        <f>'d)Pers.Técnico'!J93</f>
        <v>0</v>
      </c>
      <c r="M131" s="18">
        <f>'d)Pers.Técnico'!K93</f>
        <v>0</v>
      </c>
      <c r="N131" s="18">
        <f>'d)Pers.Técnico'!L93</f>
        <v>0</v>
      </c>
      <c r="O131" s="18">
        <f>'d)Pers.Técnico'!M93</f>
        <v>0</v>
      </c>
      <c r="P131" s="18">
        <f>'d)Pers.Técnico'!N93</f>
        <v>0</v>
      </c>
      <c r="Q131" s="18">
        <f>'d)Pers.Técnico'!O93</f>
        <v>0</v>
      </c>
      <c r="R131" s="115">
        <f>'d)Pers.Técnico'!P93</f>
        <v>0</v>
      </c>
      <c r="S131" s="149">
        <f>'d)Pers.Técnico'!Q93</f>
        <v>0</v>
      </c>
      <c r="T131" s="18">
        <f>'d)Pers.Técnico'!R93</f>
        <v>0</v>
      </c>
      <c r="U131" s="18">
        <f>'d)Pers.Técnico'!S93</f>
        <v>0</v>
      </c>
      <c r="V131" s="18">
        <f>'d)Pers.Técnico'!T93</f>
        <v>0</v>
      </c>
      <c r="W131" s="18">
        <f>'d)Pers.Técnico'!U93</f>
        <v>0</v>
      </c>
      <c r="X131" s="18">
        <f>'d)Pers.Técnico'!V93</f>
        <v>0</v>
      </c>
      <c r="Y131" s="18">
        <f>'d)Pers.Técnico'!W93</f>
        <v>0</v>
      </c>
      <c r="Z131" s="18">
        <f>'d)Pers.Técnico'!X93</f>
        <v>0</v>
      </c>
      <c r="AA131" s="18">
        <f>'d)Pers.Técnico'!Y93</f>
        <v>0</v>
      </c>
      <c r="AB131" s="18">
        <f>'d)Pers.Técnico'!Z93</f>
        <v>0</v>
      </c>
      <c r="AC131" s="18">
        <f>'d)Pers.Técnico'!AA93</f>
        <v>0</v>
      </c>
      <c r="AD131" s="115">
        <f>'d)Pers.Técnico'!AB93</f>
        <v>0</v>
      </c>
      <c r="AE131" s="149">
        <f>'d)Pers.Técnico'!AC93</f>
        <v>0</v>
      </c>
      <c r="AF131" s="18">
        <f>'d)Pers.Técnico'!AD93</f>
        <v>0</v>
      </c>
      <c r="AG131" s="18">
        <f>'d)Pers.Técnico'!AE93</f>
        <v>0</v>
      </c>
      <c r="AH131" s="18">
        <f>'d)Pers.Técnico'!AF93</f>
        <v>0</v>
      </c>
      <c r="AI131" s="18">
        <f>'d)Pers.Técnico'!AG93</f>
        <v>0</v>
      </c>
      <c r="AJ131" s="18">
        <f>'d)Pers.Técnico'!AH93</f>
        <v>0</v>
      </c>
      <c r="AK131" s="18">
        <f>'d)Pers.Técnico'!AI93</f>
        <v>0</v>
      </c>
      <c r="AL131" s="18">
        <f>'d)Pers.Técnico'!AJ93</f>
        <v>0</v>
      </c>
      <c r="AM131" s="18">
        <f>'d)Pers.Técnico'!AK93</f>
        <v>0</v>
      </c>
      <c r="AN131" s="18">
        <f>'d)Pers.Técnico'!AL93</f>
        <v>0</v>
      </c>
      <c r="AO131" s="18">
        <f>'d)Pers.Técnico'!AM93</f>
        <v>0</v>
      </c>
      <c r="AP131" s="115">
        <f>'d)Pers.Técnico'!AN93</f>
        <v>0</v>
      </c>
      <c r="AQ131" s="149">
        <f>'d)Pers.Técnico'!AO93</f>
        <v>0</v>
      </c>
      <c r="AR131" s="18">
        <f>'d)Pers.Técnico'!AP93</f>
        <v>0</v>
      </c>
      <c r="AS131" s="18">
        <f>'d)Pers.Técnico'!AQ93</f>
        <v>0</v>
      </c>
      <c r="AT131" s="18">
        <f>'d)Pers.Técnico'!AR93</f>
        <v>0</v>
      </c>
      <c r="AU131" s="18">
        <f>'d)Pers.Técnico'!AS93</f>
        <v>0</v>
      </c>
      <c r="AV131" s="18">
        <f>'d)Pers.Técnico'!AT93</f>
        <v>0</v>
      </c>
      <c r="AW131" s="18">
        <f>'d)Pers.Técnico'!AU93</f>
        <v>0</v>
      </c>
      <c r="AX131" s="18">
        <f>'d)Pers.Técnico'!AV93</f>
        <v>0</v>
      </c>
      <c r="AY131" s="18">
        <f>'d)Pers.Técnico'!AW93</f>
        <v>0</v>
      </c>
      <c r="AZ131" s="18">
        <f>'d)Pers.Técnico'!AX93</f>
        <v>0</v>
      </c>
      <c r="BA131" s="45">
        <f>'d)Pers.Técnico'!AY93</f>
        <v>0</v>
      </c>
      <c r="BB131" s="360">
        <f>'d)Pers.Técnico'!AZ93</f>
        <v>0</v>
      </c>
      <c r="BC131" s="391">
        <f>'d)Pers.Técnico'!BA93</f>
        <v>0</v>
      </c>
      <c r="BD131" s="18">
        <f>'d)Pers.Técnico'!BB93</f>
        <v>0</v>
      </c>
      <c r="BE131" s="18">
        <f>'d)Pers.Técnico'!BC93</f>
        <v>0</v>
      </c>
      <c r="BF131" s="18">
        <f>'d)Pers.Técnico'!BD93</f>
        <v>0</v>
      </c>
      <c r="BG131" s="18">
        <f>'d)Pers.Técnico'!BE93</f>
        <v>0</v>
      </c>
      <c r="BH131" s="18">
        <f>'d)Pers.Técnico'!BF93</f>
        <v>0</v>
      </c>
      <c r="BI131" s="18">
        <f>'d)Pers.Técnico'!BG93</f>
        <v>0</v>
      </c>
      <c r="BJ131" s="18">
        <f>'d)Pers.Técnico'!BH93</f>
        <v>0</v>
      </c>
      <c r="BK131" s="18">
        <f>'d)Pers.Técnico'!BI93</f>
        <v>0</v>
      </c>
      <c r="BL131" s="18">
        <f>'d)Pers.Técnico'!BJ93</f>
        <v>0</v>
      </c>
      <c r="BM131" s="18">
        <f>'d)Pers.Técnico'!BK93</f>
        <v>0</v>
      </c>
      <c r="BN131" s="115">
        <f>'d)Pers.Técnico'!BL93</f>
        <v>0</v>
      </c>
    </row>
    <row r="132" spans="1:66">
      <c r="A132" s="67" t="s">
        <v>168</v>
      </c>
      <c r="B132" s="46" t="str">
        <f>+'d)Pers.Técnico'!B93</f>
        <v>CONTADOR</v>
      </c>
      <c r="C132" s="127" t="str">
        <f>'d)Pers.Técnico'!C93</f>
        <v>horas-Hombre</v>
      </c>
      <c r="D132" s="52">
        <f>SUM(G131:BN131)</f>
        <v>30</v>
      </c>
      <c r="E132" s="7">
        <f>IF('a)Plantilla'!C46&gt;0,'a)Plantilla'!D46/30,0)</f>
        <v>533.33000000000004</v>
      </c>
      <c r="F132" s="7">
        <f>SUM(G132:BN132)</f>
        <v>1999.99</v>
      </c>
      <c r="G132" s="2">
        <f>IF(TipoProgramaPersonalTecnico=1,$E132*'a)Plantilla'!$C46*Programa!D$13,IF(TipoProgramaPersonalTecnico=2,$E132*G131,$E132/Hjor*G131))</f>
        <v>426.66</v>
      </c>
      <c r="H132" s="2">
        <f>IF(TipoProgramaPersonalTecnico=1,$E132*'a)Plantilla'!$C46*Programa!D$14,IF(TipoProgramaPersonalTecnico=2,$E132*H131,$E132/Hjor*H131))</f>
        <v>800</v>
      </c>
      <c r="I132" s="2">
        <f>IF(TipoProgramaPersonalTecnico=1,$E132*'a)Plantilla'!$C46*Programa!D$15,IF(TipoProgramaPersonalTecnico=2,$E132*I131,$E132/Hjor*I131))</f>
        <v>773.33</v>
      </c>
      <c r="J132" s="2">
        <f>IF(TipoProgramaPersonalTecnico=1,$E132*'a)Plantilla'!$C46*Programa!D$16,IF(TipoProgramaPersonalTecnico=2,$E132*J131,$E132/Hjor*J131))</f>
        <v>0</v>
      </c>
      <c r="K132" s="2">
        <f>IF(TipoProgramaPersonalTecnico=1,$E132*'a)Plantilla'!$C46*Programa!D$17,IF(TipoProgramaPersonalTecnico=2,$E132*K131,$E132/Hjor*K131))</f>
        <v>0</v>
      </c>
      <c r="L132" s="2">
        <f>IF(TipoProgramaPersonalTecnico=1,$E132*'a)Plantilla'!$C46*Programa!D$18,IF(TipoProgramaPersonalTecnico=2,$E132*L131,$E132/Hjor*L131))</f>
        <v>0</v>
      </c>
      <c r="M132" s="2">
        <f>IF(TipoProgramaPersonalTecnico=1,$E132*'a)Plantilla'!$C46*Programa!D$19,IF(TipoProgramaPersonalTecnico=2,$E132*M131,$E132/Hjor*M131))</f>
        <v>0</v>
      </c>
      <c r="N132" s="2">
        <f>IF(TipoProgramaPersonalTecnico=1,$E132*'a)Plantilla'!$C46*Programa!D$20,IF(TipoProgramaPersonalTecnico=2,$E132*N131,$E132/Hjor*N131))</f>
        <v>0</v>
      </c>
      <c r="O132" s="2">
        <f>IF(TipoProgramaPersonalTecnico=1,$E132*'a)Plantilla'!$C46*Programa!D$21,IF(TipoProgramaPersonalTecnico=2,$E132*O131,$E132/Hjor*O131))</f>
        <v>0</v>
      </c>
      <c r="P132" s="2">
        <f>IF(TipoProgramaPersonalTecnico=1,$E132*'a)Plantilla'!$C46*Programa!D$22,IF(TipoProgramaPersonalTecnico=2,$E132*P131,$E132/Hjor*P131))</f>
        <v>0</v>
      </c>
      <c r="Q132" s="2">
        <f>IF(TipoProgramaPersonalTecnico=1,$E132*'a)Plantilla'!$C46*Programa!D$23,IF(TipoProgramaPersonalTecnico=2,$E132*Q131,$E132/Hjor*Q131))</f>
        <v>0</v>
      </c>
      <c r="R132" s="12">
        <f>IF(TipoProgramaPersonalTecnico=1,$E132*'a)Plantilla'!$C46*Programa!D$24,IF(TipoProgramaPersonalTecnico=2,$E132*R131,$E132/Hjor*R131))</f>
        <v>0</v>
      </c>
      <c r="S132" s="7">
        <f>IF(TipoProgramaPersonalTecnico=1,$E132*'a)Plantilla'!$C46*Programa!D$25,IF(TipoProgramaPersonalTecnico=2,$E132*S131,$E132/Hjor*S131))</f>
        <v>0</v>
      </c>
      <c r="T132" s="2">
        <f>IF(TipoProgramaPersonalTecnico=1,$E132*'a)Plantilla'!$C46*Programa!D$26,IF(TipoProgramaPersonalTecnico=2,$E132*T131,$E132/Hjor*T131))</f>
        <v>0</v>
      </c>
      <c r="U132" s="2">
        <f>IF(TipoProgramaPersonalTecnico=1,$E132*'a)Plantilla'!$C46*Programa!D$27,IF(TipoProgramaPersonalTecnico=2,$E132*U131,$E132/Hjor*U131))</f>
        <v>0</v>
      </c>
      <c r="V132" s="2">
        <f>IF(TipoProgramaPersonalTecnico=1,$E132*'a)Plantilla'!$C46*Programa!D$28,IF(TipoProgramaPersonalTecnico=2,$E132*V131,$E132/Hjor*V131))</f>
        <v>0</v>
      </c>
      <c r="W132" s="2">
        <f>IF(TipoProgramaPersonalTecnico=1,$E132*'a)Plantilla'!$C46*Programa!D$29,IF(TipoProgramaPersonalTecnico=2,$E132*W131,$E132/Hjor*W131))</f>
        <v>0</v>
      </c>
      <c r="X132" s="2">
        <f>IF(TipoProgramaPersonalTecnico=1,$E132*'a)Plantilla'!$C46*Programa!D$30,IF(TipoProgramaPersonalTecnico=2,$E132*X131,$E132/Hjor*X131))</f>
        <v>0</v>
      </c>
      <c r="Y132" s="2">
        <f>IF(TipoProgramaPersonalTecnico=1,$E132*'a)Plantilla'!$C46*Programa!D$31,IF(TipoProgramaPersonalTecnico=2,$E132*Y131,$E132/Hjor*Y131))</f>
        <v>0</v>
      </c>
      <c r="Z132" s="2">
        <f>IF(TipoProgramaPersonalTecnico=1,$E132*'a)Plantilla'!$C46*Programa!D$32,IF(TipoProgramaPersonalTecnico=2,$E132*Z131,$E132/Hjor*Z131))</f>
        <v>0</v>
      </c>
      <c r="AA132" s="2">
        <f>IF(TipoProgramaPersonalTecnico=1,$E132*'a)Plantilla'!$C46*Programa!D$33,IF(TipoProgramaPersonalTecnico=2,$E132*AA131,$E132/Hjor*AA131))</f>
        <v>0</v>
      </c>
      <c r="AB132" s="2">
        <f>IF(TipoProgramaPersonalTecnico=1,$E132*'a)Plantilla'!$C46*Programa!D$34,IF(TipoProgramaPersonalTecnico=2,$E132*AB131,$E132/Hjor*AB131))</f>
        <v>0</v>
      </c>
      <c r="AC132" s="2">
        <f>IF(TipoProgramaPersonalTecnico=1,$E132*'a)Plantilla'!$C46*Programa!D$35,IF(TipoProgramaPersonalTecnico=2,$E132*AC131,$E132/Hjor*AC131))</f>
        <v>0</v>
      </c>
      <c r="AD132" s="12">
        <f>IF(TipoProgramaPersonalTecnico=1,$E132*'a)Plantilla'!$C46*Programa!D$36,IF(TipoProgramaPersonalTecnico=2,$E132*AD131,$E132/Hjor*AD131))</f>
        <v>0</v>
      </c>
      <c r="AE132" s="7">
        <f>IF(TipoProgramaPersonalTecnico=1,$E132*'a)Plantilla'!$C46*Programa!D$37,IF(TipoProgramaPersonalTecnico=2,$E132*AE131,$E132/Hjor*AE131))</f>
        <v>0</v>
      </c>
      <c r="AF132" s="2">
        <f>IF(TipoProgramaPersonalTecnico=1,$E132*'a)Plantilla'!$C46*Programa!D$38,IF(TipoProgramaPersonalTecnico=2,$E132*AF131,$E132/Hjor*AF131))</f>
        <v>0</v>
      </c>
      <c r="AG132" s="2">
        <f>IF(TipoProgramaPersonalTecnico=1,$E132*'a)Plantilla'!$C46*Programa!D$39,IF(TipoProgramaPersonalTecnico=2,$E132*AG131,$E132/Hjor*AG131))</f>
        <v>0</v>
      </c>
      <c r="AH132" s="2">
        <f>IF(TipoProgramaPersonalTecnico=1,$E132*'a)Plantilla'!$C46*Programa!D$40,IF(TipoProgramaPersonalTecnico=2,$E132*AH131,$E132/Hjor*AH131))</f>
        <v>0</v>
      </c>
      <c r="AI132" s="2">
        <f>IF(TipoProgramaPersonalTecnico=1,$E132*'a)Plantilla'!$C46*Programa!D$41,IF(TipoProgramaPersonalTecnico=2,$E132*AI131,$E132/Hjor*AI131))</f>
        <v>0</v>
      </c>
      <c r="AJ132" s="2">
        <f>IF(TipoProgramaPersonalTecnico=1,$E132*'a)Plantilla'!$C46*Programa!D$42,IF(TipoProgramaPersonalTecnico=2,$E132*AJ131,$E132/Hjor*AJ131))</f>
        <v>0</v>
      </c>
      <c r="AK132" s="2">
        <f>IF(TipoProgramaPersonalTecnico=1,$E132*'a)Plantilla'!$C46*Programa!D$43,IF(TipoProgramaPersonalTecnico=2,$E132*AK131,$E132/Hjor*AK131))</f>
        <v>0</v>
      </c>
      <c r="AL132" s="2">
        <f>IF(TipoProgramaPersonalTecnico=1,$E132*'a)Plantilla'!$C46*Programa!D$44,IF(TipoProgramaPersonalTecnico=2,$E132*AL131,$E132/Hjor*AL131))</f>
        <v>0</v>
      </c>
      <c r="AM132" s="2">
        <f>IF(TipoProgramaPersonalTecnico=1,$E132*'a)Plantilla'!$C46*Programa!D$45,IF(TipoProgramaPersonalTecnico=2,$E132*AM131,$E132/Hjor*AM131))</f>
        <v>0</v>
      </c>
      <c r="AN132" s="2">
        <f>IF(TipoProgramaPersonalTecnico=1,$E132*'a)Plantilla'!$C46*Programa!D$46,IF(TipoProgramaPersonalTecnico=2,$E132*AN131,$E132/Hjor*AN131))</f>
        <v>0</v>
      </c>
      <c r="AO132" s="2">
        <f>IF(TipoProgramaPersonalTecnico=1,$E132*'a)Plantilla'!$C46*Programa!D$47,IF(TipoProgramaPersonalTecnico=2,$E132*AO131,$E132/Hjor*AO131))</f>
        <v>0</v>
      </c>
      <c r="AP132" s="12">
        <f>IF(TipoProgramaPersonalTecnico=1,$E132*'a)Plantilla'!$C46*Programa!D$48,IF(TipoProgramaPersonalTecnico=2,$E132*AP131,$E132/Hjor*AP131))</f>
        <v>0</v>
      </c>
      <c r="AQ132" s="7">
        <f>IF(TipoProgramaPersonalTecnico=1,$E132*'a)Plantilla'!$C46*Programa!D$49,IF(TipoProgramaPersonalTecnico=2,$E132*AQ131,$E132/Hjor*AQ131))</f>
        <v>0</v>
      </c>
      <c r="AR132" s="2">
        <f>IF(TipoProgramaPersonalTecnico=1,$E132*'a)Plantilla'!$C46*Programa!D$50,IF(TipoProgramaPersonalTecnico=2,$E132*AR131,$E132/Hjor*AR131))</f>
        <v>0</v>
      </c>
      <c r="AS132" s="2">
        <f>IF(TipoProgramaPersonalTecnico=1,$E132*'a)Plantilla'!$C46*Programa!D$51,IF(TipoProgramaPersonalTecnico=2,$E132*AS131,$E132/Hjor*AS131))</f>
        <v>0</v>
      </c>
      <c r="AT132" s="2">
        <f>IF(TipoProgramaPersonalTecnico=1,$E132*'a)Plantilla'!$C46*Programa!D$52,IF(TipoProgramaPersonalTecnico=2,$E132*AT131,$E132/Hjor*AT131))</f>
        <v>0</v>
      </c>
      <c r="AU132" s="2">
        <f>IF(TipoProgramaPersonalTecnico=1,$E132*'a)Plantilla'!$C46*Programa!D$53,IF(TipoProgramaPersonalTecnico=2,$E132*AU131,$E132/Hjor*AU131))</f>
        <v>0</v>
      </c>
      <c r="AV132" s="2">
        <f>IF(TipoProgramaPersonalTecnico=1,$E132*'a)Plantilla'!$C46*Programa!D$54,IF(TipoProgramaPersonalTecnico=2,$E132*AV131,$E132/Hjor*AV131))</f>
        <v>0</v>
      </c>
      <c r="AW132" s="2">
        <f>IF(TipoProgramaPersonalTecnico=1,$E132*'a)Plantilla'!$C46*Programa!D$55,IF(TipoProgramaPersonalTecnico=2,$E132*AW131,$E132/Hjor*AW131))</f>
        <v>0</v>
      </c>
      <c r="AX132" s="2">
        <f>IF(TipoProgramaPersonalTecnico=1,$E132*'a)Plantilla'!$C46*Programa!D$56,IF(TipoProgramaPersonalTecnico=2,$E132*AX131,$E132/Hjor*AX131))</f>
        <v>0</v>
      </c>
      <c r="AY132" s="2">
        <f>IF(TipoProgramaPersonalTecnico=1,$E132*'a)Plantilla'!$C46*Programa!D$57,IF(TipoProgramaPersonalTecnico=2,$E132*AY131,$E132/Hjor*AY131))</f>
        <v>0</v>
      </c>
      <c r="AZ132" s="2">
        <f>IF(TipoProgramaPersonalTecnico=1,$E132*'a)Plantilla'!$C46*Programa!D$58,IF(TipoProgramaPersonalTecnico=2,$E132*AZ131,$E132/Hjor*AZ131))</f>
        <v>0</v>
      </c>
      <c r="BA132" s="55">
        <f>IF(TipoProgramaPersonalTecnico=1,$E132*'a)Plantilla'!$C46*Programa!D$59,IF(TipoProgramaPersonalTecnico=2,$E132*BA131,$E132/Hjor*BA131))</f>
        <v>0</v>
      </c>
      <c r="BB132" s="56">
        <f>IF(TipoProgramaPersonalTecnico=1,$E132*'a)Plantilla'!$C46*Programa!D$60,IF(TipoProgramaPersonalTecnico=2,$E132*BB131,$E132/Hjor*BB131))</f>
        <v>0</v>
      </c>
      <c r="BC132" s="53">
        <f>IF(TipoProgramaPersonalTecnico=1,$E132*'a)Plantilla'!$C46*Programa!D$61,IF(TipoProgramaPersonalTecnico=2,$E132*BC131,$E132/Hjor*BC131))</f>
        <v>0</v>
      </c>
      <c r="BD132" s="2">
        <f>IF(TipoProgramaPersonalTecnico=1,$E132*'a)Plantilla'!$C46*Programa!D$62,IF(TipoProgramaPersonalTecnico=2,$E132*BD131,$E132/Hjor*BD131))</f>
        <v>0</v>
      </c>
      <c r="BE132" s="2">
        <f>IF(TipoProgramaPersonalTecnico=1,$E132*'a)Plantilla'!$C46*Programa!D$63,IF(TipoProgramaPersonalTecnico=2,$E132*BE131,$E132/Hjor*BE131))</f>
        <v>0</v>
      </c>
      <c r="BF132" s="2">
        <f>IF(TipoProgramaPersonalTecnico=1,$E132*'a)Plantilla'!$C46*Programa!D$64,IF(TipoProgramaPersonalTecnico=2,$E132*BF131,$E132/Hjor*BF131))</f>
        <v>0</v>
      </c>
      <c r="BG132" s="2">
        <f>IF(TipoProgramaPersonalTecnico=1,$E132*'a)Plantilla'!$C46*Programa!D$65,IF(TipoProgramaPersonalTecnico=2,$E132*BG131,$E132/Hjor*BG131))</f>
        <v>0</v>
      </c>
      <c r="BH132" s="2">
        <f>IF(TipoProgramaPersonalTecnico=1,$E132*'a)Plantilla'!$C46*Programa!D$66,IF(TipoProgramaPersonalTecnico=2,$E132*BH131,$E132/Hjor*BH131))</f>
        <v>0</v>
      </c>
      <c r="BI132" s="2">
        <f>IF(TipoProgramaPersonalTecnico=1,$E132*'a)Plantilla'!$C46*Programa!D$67,IF(TipoProgramaPersonalTecnico=2,$E132*BI131,$E132/Hjor*BI131))</f>
        <v>0</v>
      </c>
      <c r="BJ132" s="2">
        <f>IF(TipoProgramaPersonalTecnico=1,$E132*'a)Plantilla'!$C46*Programa!D$68,IF(TipoProgramaPersonalTecnico=2,$E132*BJ131,$E132/Hjor*BJ131))</f>
        <v>0</v>
      </c>
      <c r="BK132" s="2">
        <f>IF(TipoProgramaPersonalTecnico=1,$E132*'a)Plantilla'!$C46*Programa!D$69,IF(TipoProgramaPersonalTecnico=2,$E132*BK131,$E132/Hjor*BK131))</f>
        <v>0</v>
      </c>
      <c r="BL132" s="2">
        <f>IF(TipoProgramaPersonalTecnico=1,$E132*'a)Plantilla'!$C46*Programa!D$70,IF(TipoProgramaPersonalTecnico=2,$E132*BL131,$E132/Hjor*BL131))</f>
        <v>0</v>
      </c>
      <c r="BM132" s="2">
        <f>IF(TipoProgramaPersonalTecnico=1,$E132*'a)Plantilla'!$C46*Programa!D$71,IF(TipoProgramaPersonalTecnico=2,$E132*BM131,$E132/Hjor*BM131))</f>
        <v>0</v>
      </c>
      <c r="BN132" s="12">
        <f>IF(TipoProgramaPersonalTecnico=1,$E132*'a)Plantilla'!$C46*Programa!D$72,IF(TipoProgramaPersonalTecnico=2,$E132*BN131,$E132/Hjor*BN131))</f>
        <v>0</v>
      </c>
    </row>
    <row r="133" spans="1:66" ht="7.5" customHeight="1">
      <c r="A133" s="67"/>
      <c r="B133" s="19"/>
      <c r="C133" s="127"/>
      <c r="D133" s="54"/>
      <c r="E133" s="19"/>
      <c r="F133" s="19"/>
      <c r="G133" s="1" t="s">
        <v>168</v>
      </c>
      <c r="H133" s="1" t="s">
        <v>168</v>
      </c>
      <c r="I133" s="1" t="s">
        <v>168</v>
      </c>
      <c r="J133" s="1" t="s">
        <v>168</v>
      </c>
      <c r="K133" s="1" t="s">
        <v>168</v>
      </c>
      <c r="L133" s="1" t="s">
        <v>168</v>
      </c>
      <c r="M133" s="1" t="s">
        <v>168</v>
      </c>
      <c r="N133" s="1" t="s">
        <v>168</v>
      </c>
      <c r="O133" s="1" t="s">
        <v>168</v>
      </c>
      <c r="P133" s="1" t="s">
        <v>168</v>
      </c>
      <c r="Q133" s="1" t="s">
        <v>168</v>
      </c>
      <c r="R133" s="8" t="s">
        <v>168</v>
      </c>
      <c r="S133" s="13" t="s">
        <v>168</v>
      </c>
      <c r="T133" s="1" t="s">
        <v>168</v>
      </c>
      <c r="U133" s="1" t="s">
        <v>168</v>
      </c>
      <c r="V133" s="1" t="s">
        <v>168</v>
      </c>
      <c r="W133" s="1" t="s">
        <v>168</v>
      </c>
      <c r="X133" s="1" t="s">
        <v>168</v>
      </c>
      <c r="Y133" s="1" t="s">
        <v>168</v>
      </c>
      <c r="Z133" s="1" t="s">
        <v>168</v>
      </c>
      <c r="AA133" s="1" t="s">
        <v>168</v>
      </c>
      <c r="AB133" s="1" t="s">
        <v>168</v>
      </c>
      <c r="AC133" s="1" t="s">
        <v>168</v>
      </c>
      <c r="AD133" s="8" t="s">
        <v>168</v>
      </c>
      <c r="AE133" s="13" t="s">
        <v>168</v>
      </c>
      <c r="AF133" s="1" t="s">
        <v>168</v>
      </c>
      <c r="AG133" s="1" t="s">
        <v>168</v>
      </c>
      <c r="AH133" s="1" t="s">
        <v>168</v>
      </c>
      <c r="AI133" s="1" t="s">
        <v>168</v>
      </c>
      <c r="AJ133" s="1" t="s">
        <v>168</v>
      </c>
      <c r="AK133" s="1" t="s">
        <v>168</v>
      </c>
      <c r="AL133" s="1" t="s">
        <v>168</v>
      </c>
      <c r="AM133" s="1" t="s">
        <v>168</v>
      </c>
      <c r="AN133" s="1" t="s">
        <v>168</v>
      </c>
      <c r="AO133" s="1" t="s">
        <v>168</v>
      </c>
      <c r="AP133" s="8" t="s">
        <v>168</v>
      </c>
      <c r="AQ133" s="13" t="s">
        <v>168</v>
      </c>
      <c r="AR133" s="1" t="s">
        <v>168</v>
      </c>
      <c r="AS133" s="1" t="s">
        <v>168</v>
      </c>
      <c r="AT133" s="1" t="s">
        <v>168</v>
      </c>
      <c r="AU133" s="1" t="s">
        <v>168</v>
      </c>
      <c r="AV133" s="1" t="s">
        <v>168</v>
      </c>
      <c r="AW133" s="1" t="s">
        <v>168</v>
      </c>
      <c r="AX133" s="1" t="s">
        <v>168</v>
      </c>
      <c r="AY133" s="1" t="s">
        <v>168</v>
      </c>
      <c r="AZ133" s="1" t="s">
        <v>168</v>
      </c>
      <c r="BA133" s="1" t="s">
        <v>168</v>
      </c>
      <c r="BB133" s="8" t="s">
        <v>168</v>
      </c>
      <c r="BC133" s="13" t="s">
        <v>168</v>
      </c>
      <c r="BD133" s="1" t="s">
        <v>168</v>
      </c>
      <c r="BE133" s="1" t="s">
        <v>168</v>
      </c>
      <c r="BF133" s="1" t="s">
        <v>168</v>
      </c>
      <c r="BG133" s="1" t="s">
        <v>168</v>
      </c>
      <c r="BH133" s="1" t="s">
        <v>168</v>
      </c>
      <c r="BI133" s="1" t="s">
        <v>168</v>
      </c>
      <c r="BJ133" s="1" t="s">
        <v>168</v>
      </c>
      <c r="BK133" s="1" t="s">
        <v>168</v>
      </c>
      <c r="BL133" s="1" t="s">
        <v>168</v>
      </c>
      <c r="BM133" s="1" t="s">
        <v>168</v>
      </c>
      <c r="BN133" s="8" t="s">
        <v>168</v>
      </c>
    </row>
    <row r="134" spans="1:66">
      <c r="A134" s="67"/>
      <c r="B134" s="46"/>
      <c r="C134" s="127"/>
      <c r="D134" s="52"/>
      <c r="E134" s="7"/>
      <c r="F134" s="7"/>
      <c r="G134" s="3">
        <f>'d)Pers.Técnico'!E95</f>
        <v>0</v>
      </c>
      <c r="H134" s="3">
        <f>'d)Pers.Técnico'!F95</f>
        <v>0</v>
      </c>
      <c r="I134" s="3">
        <f>'d)Pers.Técnico'!G95</f>
        <v>0</v>
      </c>
      <c r="J134" s="3">
        <f>'d)Pers.Técnico'!H95</f>
        <v>0</v>
      </c>
      <c r="K134" s="3">
        <f>'d)Pers.Técnico'!I95</f>
        <v>0</v>
      </c>
      <c r="L134" s="3">
        <f>'d)Pers.Técnico'!J95</f>
        <v>0</v>
      </c>
      <c r="M134" s="3">
        <f>'d)Pers.Técnico'!K95</f>
        <v>0</v>
      </c>
      <c r="N134" s="3">
        <f>'d)Pers.Técnico'!L95</f>
        <v>0</v>
      </c>
      <c r="O134" s="3">
        <f>'d)Pers.Técnico'!M95</f>
        <v>0</v>
      </c>
      <c r="P134" s="3">
        <f>'d)Pers.Técnico'!N95</f>
        <v>0</v>
      </c>
      <c r="Q134" s="3">
        <f>'d)Pers.Técnico'!O95</f>
        <v>0</v>
      </c>
      <c r="R134" s="14">
        <f>'d)Pers.Técnico'!P95</f>
        <v>0</v>
      </c>
      <c r="S134" s="20">
        <f>'d)Pers.Técnico'!Q95</f>
        <v>0</v>
      </c>
      <c r="T134" s="3">
        <f>'d)Pers.Técnico'!R95</f>
        <v>0</v>
      </c>
      <c r="U134" s="3">
        <f>'d)Pers.Técnico'!S95</f>
        <v>0</v>
      </c>
      <c r="V134" s="3">
        <f>'d)Pers.Técnico'!T95</f>
        <v>0</v>
      </c>
      <c r="W134" s="3">
        <f>'d)Pers.Técnico'!U95</f>
        <v>0</v>
      </c>
      <c r="X134" s="3">
        <f>'d)Pers.Técnico'!V95</f>
        <v>0</v>
      </c>
      <c r="Y134" s="3">
        <f>'d)Pers.Técnico'!W95</f>
        <v>0</v>
      </c>
      <c r="Z134" s="3">
        <f>'d)Pers.Técnico'!X95</f>
        <v>0</v>
      </c>
      <c r="AA134" s="3">
        <f>'d)Pers.Técnico'!Y95</f>
        <v>0</v>
      </c>
      <c r="AB134" s="3">
        <f>'d)Pers.Técnico'!Z95</f>
        <v>0</v>
      </c>
      <c r="AC134" s="3">
        <f>'d)Pers.Técnico'!AA95</f>
        <v>0</v>
      </c>
      <c r="AD134" s="14">
        <f>'d)Pers.Técnico'!AB95</f>
        <v>0</v>
      </c>
      <c r="AE134" s="20">
        <f>'d)Pers.Técnico'!AC95</f>
        <v>0</v>
      </c>
      <c r="AF134" s="3">
        <f>'d)Pers.Técnico'!AD95</f>
        <v>0</v>
      </c>
      <c r="AG134" s="3">
        <f>'d)Pers.Técnico'!AE95</f>
        <v>0</v>
      </c>
      <c r="AH134" s="3">
        <f>'d)Pers.Técnico'!AF95</f>
        <v>0</v>
      </c>
      <c r="AI134" s="3">
        <f>'d)Pers.Técnico'!AG95</f>
        <v>0</v>
      </c>
      <c r="AJ134" s="3">
        <f>'d)Pers.Técnico'!AH95</f>
        <v>0</v>
      </c>
      <c r="AK134" s="3">
        <f>'d)Pers.Técnico'!AI95</f>
        <v>0</v>
      </c>
      <c r="AL134" s="3">
        <f>'d)Pers.Técnico'!AJ95</f>
        <v>0</v>
      </c>
      <c r="AM134" s="3">
        <f>'d)Pers.Técnico'!AK95</f>
        <v>0</v>
      </c>
      <c r="AN134" s="3">
        <f>'d)Pers.Técnico'!AL95</f>
        <v>0</v>
      </c>
      <c r="AO134" s="3">
        <f>'d)Pers.Técnico'!AM95</f>
        <v>0</v>
      </c>
      <c r="AP134" s="14">
        <f>'d)Pers.Técnico'!AN95</f>
        <v>0</v>
      </c>
      <c r="AQ134" s="20">
        <f>'d)Pers.Técnico'!AO95</f>
        <v>0</v>
      </c>
      <c r="AR134" s="3">
        <f>'d)Pers.Técnico'!AP95</f>
        <v>0</v>
      </c>
      <c r="AS134" s="3">
        <f>'d)Pers.Técnico'!AQ95</f>
        <v>0</v>
      </c>
      <c r="AT134" s="3">
        <f>'d)Pers.Técnico'!AR95</f>
        <v>0</v>
      </c>
      <c r="AU134" s="3">
        <f>'d)Pers.Técnico'!AS95</f>
        <v>0</v>
      </c>
      <c r="AV134" s="3">
        <f>'d)Pers.Técnico'!AT95</f>
        <v>0</v>
      </c>
      <c r="AW134" s="3">
        <f>'d)Pers.Técnico'!AU95</f>
        <v>0</v>
      </c>
      <c r="AX134" s="3">
        <f>'d)Pers.Técnico'!AV95</f>
        <v>0</v>
      </c>
      <c r="AY134" s="3">
        <f>'d)Pers.Técnico'!AW95</f>
        <v>0</v>
      </c>
      <c r="AZ134" s="3">
        <f>'d)Pers.Técnico'!AX95</f>
        <v>0</v>
      </c>
      <c r="BA134" s="1">
        <f>'d)Pers.Técnico'!AY95</f>
        <v>0</v>
      </c>
      <c r="BB134" s="60">
        <f>'d)Pers.Técnico'!AZ95</f>
        <v>0</v>
      </c>
      <c r="BC134" s="61">
        <f>'d)Pers.Técnico'!BA95</f>
        <v>0</v>
      </c>
      <c r="BD134" s="3">
        <f>'d)Pers.Técnico'!BB95</f>
        <v>0</v>
      </c>
      <c r="BE134" s="3">
        <f>'d)Pers.Técnico'!BC95</f>
        <v>0</v>
      </c>
      <c r="BF134" s="3">
        <f>'d)Pers.Técnico'!BD95</f>
        <v>0</v>
      </c>
      <c r="BG134" s="3">
        <f>'d)Pers.Técnico'!BE95</f>
        <v>0</v>
      </c>
      <c r="BH134" s="3">
        <f>'d)Pers.Técnico'!BF95</f>
        <v>0</v>
      </c>
      <c r="BI134" s="3">
        <f>'d)Pers.Técnico'!BG95</f>
        <v>0</v>
      </c>
      <c r="BJ134" s="3">
        <f>'d)Pers.Técnico'!BH95</f>
        <v>0</v>
      </c>
      <c r="BK134" s="3">
        <f>'d)Pers.Técnico'!BI95</f>
        <v>0</v>
      </c>
      <c r="BL134" s="3">
        <f>'d)Pers.Técnico'!BJ95</f>
        <v>0</v>
      </c>
      <c r="BM134" s="3">
        <f>'d)Pers.Técnico'!BK95</f>
        <v>0</v>
      </c>
      <c r="BN134" s="14">
        <f>'d)Pers.Técnico'!BL95</f>
        <v>0</v>
      </c>
    </row>
    <row r="135" spans="1:66">
      <c r="A135" s="67"/>
      <c r="B135" s="46" t="str">
        <f>+'d)Pers.Técnico'!B95</f>
        <v/>
      </c>
      <c r="C135" s="127" t="str">
        <f>'d)Pers.Técnico'!C95</f>
        <v/>
      </c>
      <c r="D135" s="52">
        <f>SUM(G134:BN134)</f>
        <v>0</v>
      </c>
      <c r="E135" s="7">
        <f>IF('a)Plantilla'!C47&gt;0,'a)Plantilla'!D47/30,0)</f>
        <v>0</v>
      </c>
      <c r="F135" s="7">
        <f>SUM(G135:BN135)</f>
        <v>0</v>
      </c>
      <c r="G135" s="2">
        <f>IF(TipoProgramaPersonalTecnico=1,$E135*'a)Plantilla'!$C47*Programa!D$13,IF(TipoProgramaPersonalTecnico=2,$E135*G134,$E135/Hjor*G134))</f>
        <v>0</v>
      </c>
      <c r="H135" s="2">
        <f>IF(TipoProgramaPersonalTecnico=1,$E135*'a)Plantilla'!$C47*Programa!D$14,IF(TipoProgramaPersonalTecnico=2,$E135*H134,$E135/Hjor*H134))</f>
        <v>0</v>
      </c>
      <c r="I135" s="2">
        <f>IF(TipoProgramaPersonalTecnico=1,$E135*'a)Plantilla'!$C47*Programa!D$15,IF(TipoProgramaPersonalTecnico=2,$E135*I134,$E135/Hjor*I134))</f>
        <v>0</v>
      </c>
      <c r="J135" s="2">
        <f>IF(TipoProgramaPersonalTecnico=1,$E135*'a)Plantilla'!$C47*Programa!D$16,IF(TipoProgramaPersonalTecnico=2,$E135*J134,$E135/Hjor*J134))</f>
        <v>0</v>
      </c>
      <c r="K135" s="2">
        <f>IF(TipoProgramaPersonalTecnico=1,$E135*'a)Plantilla'!$C47*Programa!D$17,IF(TipoProgramaPersonalTecnico=2,$E135*K134,$E135/Hjor*K134))</f>
        <v>0</v>
      </c>
      <c r="L135" s="2">
        <f>IF(TipoProgramaPersonalTecnico=1,$E135*'a)Plantilla'!$C47*Programa!D$18,IF(TipoProgramaPersonalTecnico=2,$E135*L134,$E135/Hjor*L134))</f>
        <v>0</v>
      </c>
      <c r="M135" s="2">
        <f>IF(TipoProgramaPersonalTecnico=1,$E135*'a)Plantilla'!$C47*Programa!D$19,IF(TipoProgramaPersonalTecnico=2,$E135*M134,$E135/Hjor*M134))</f>
        <v>0</v>
      </c>
      <c r="N135" s="2">
        <f>IF(TipoProgramaPersonalTecnico=1,$E135*'a)Plantilla'!$C47*Programa!D$20,IF(TipoProgramaPersonalTecnico=2,$E135*N134,$E135/Hjor*N134))</f>
        <v>0</v>
      </c>
      <c r="O135" s="2">
        <f>IF(TipoProgramaPersonalTecnico=1,$E135*'a)Plantilla'!$C47*Programa!D$21,IF(TipoProgramaPersonalTecnico=2,$E135*O134,$E135/Hjor*O134))</f>
        <v>0</v>
      </c>
      <c r="P135" s="2">
        <f>IF(TipoProgramaPersonalTecnico=1,$E135*'a)Plantilla'!$C47*Programa!D$22,IF(TipoProgramaPersonalTecnico=2,$E135*P134,$E135/Hjor*P134))</f>
        <v>0</v>
      </c>
      <c r="Q135" s="2">
        <f>IF(TipoProgramaPersonalTecnico=1,$E135*'a)Plantilla'!$C47*Programa!D$23,IF(TipoProgramaPersonalTecnico=2,$E135*Q134,$E135/Hjor*Q134))</f>
        <v>0</v>
      </c>
      <c r="R135" s="12">
        <f>IF(TipoProgramaPersonalTecnico=1,$E135*'a)Plantilla'!$C47*Programa!D$24,IF(TipoProgramaPersonalTecnico=2,$E135*R134,$E135/Hjor*R134))</f>
        <v>0</v>
      </c>
      <c r="S135" s="7">
        <f>IF(TipoProgramaPersonalTecnico=1,$E135*'a)Plantilla'!$C47*Programa!D$25,IF(TipoProgramaPersonalTecnico=2,$E135*S134,$E135/Hjor*S134))</f>
        <v>0</v>
      </c>
      <c r="T135" s="2">
        <f>IF(TipoProgramaPersonalTecnico=1,$E135*'a)Plantilla'!$C47*Programa!D$26,IF(TipoProgramaPersonalTecnico=2,$E135*T134,$E135/Hjor*T134))</f>
        <v>0</v>
      </c>
      <c r="U135" s="2">
        <f>IF(TipoProgramaPersonalTecnico=1,$E135*'a)Plantilla'!$C47*Programa!D$27,IF(TipoProgramaPersonalTecnico=2,$E135*U134,$E135/Hjor*U134))</f>
        <v>0</v>
      </c>
      <c r="V135" s="2">
        <f>IF(TipoProgramaPersonalTecnico=1,$E135*'a)Plantilla'!$C47*Programa!D$28,IF(TipoProgramaPersonalTecnico=2,$E135*V134,$E135/Hjor*V134))</f>
        <v>0</v>
      </c>
      <c r="W135" s="2">
        <f>IF(TipoProgramaPersonalTecnico=1,$E135*'a)Plantilla'!$C47*Programa!D$29,IF(TipoProgramaPersonalTecnico=2,$E135*W134,$E135/Hjor*W134))</f>
        <v>0</v>
      </c>
      <c r="X135" s="2">
        <f>IF(TipoProgramaPersonalTecnico=1,$E135*'a)Plantilla'!$C47*Programa!D$30,IF(TipoProgramaPersonalTecnico=2,$E135*X134,$E135/Hjor*X134))</f>
        <v>0</v>
      </c>
      <c r="Y135" s="2">
        <f>IF(TipoProgramaPersonalTecnico=1,$E135*'a)Plantilla'!$C47*Programa!D$31,IF(TipoProgramaPersonalTecnico=2,$E135*Y134,$E135/Hjor*Y134))</f>
        <v>0</v>
      </c>
      <c r="Z135" s="2">
        <f>IF(TipoProgramaPersonalTecnico=1,$E135*'a)Plantilla'!$C47*Programa!D$32,IF(TipoProgramaPersonalTecnico=2,$E135*Z134,$E135/Hjor*Z134))</f>
        <v>0</v>
      </c>
      <c r="AA135" s="2">
        <f>IF(TipoProgramaPersonalTecnico=1,$E135*'a)Plantilla'!$C47*Programa!D$33,IF(TipoProgramaPersonalTecnico=2,$E135*AA134,$E135/Hjor*AA134))</f>
        <v>0</v>
      </c>
      <c r="AB135" s="2">
        <f>IF(TipoProgramaPersonalTecnico=1,$E135*'a)Plantilla'!$C47*Programa!D$34,IF(TipoProgramaPersonalTecnico=2,$E135*AB134,$E135/Hjor*AB134))</f>
        <v>0</v>
      </c>
      <c r="AC135" s="2">
        <f>IF(TipoProgramaPersonalTecnico=1,$E135*'a)Plantilla'!$C47*Programa!D$35,IF(TipoProgramaPersonalTecnico=2,$E135*AC134,$E135/Hjor*AC134))</f>
        <v>0</v>
      </c>
      <c r="AD135" s="12">
        <f>IF(TipoProgramaPersonalTecnico=1,$E135*'a)Plantilla'!$C47*Programa!D$36,IF(TipoProgramaPersonalTecnico=2,$E135*AD134,$E135/Hjor*AD134))</f>
        <v>0</v>
      </c>
      <c r="AE135" s="7">
        <f>IF(TipoProgramaPersonalTecnico=1,$E135*'a)Plantilla'!$C47*Programa!D$37,IF(TipoProgramaPersonalTecnico=2,$E135*AE134,$E135/Hjor*AE134))</f>
        <v>0</v>
      </c>
      <c r="AF135" s="2">
        <f>IF(TipoProgramaPersonalTecnico=1,$E135*'a)Plantilla'!$C47*Programa!D$38,IF(TipoProgramaPersonalTecnico=2,$E135*AF134,$E135/Hjor*AF134))</f>
        <v>0</v>
      </c>
      <c r="AG135" s="2">
        <f>IF(TipoProgramaPersonalTecnico=1,$E135*'a)Plantilla'!$C47*Programa!D$39,IF(TipoProgramaPersonalTecnico=2,$E135*AG134,$E135/Hjor*AG134))</f>
        <v>0</v>
      </c>
      <c r="AH135" s="2">
        <f>IF(TipoProgramaPersonalTecnico=1,$E135*'a)Plantilla'!$C47*Programa!D$40,IF(TipoProgramaPersonalTecnico=2,$E135*AH134,$E135/Hjor*AH134))</f>
        <v>0</v>
      </c>
      <c r="AI135" s="2">
        <f>IF(TipoProgramaPersonalTecnico=1,$E135*'a)Plantilla'!$C47*Programa!D$41,IF(TipoProgramaPersonalTecnico=2,$E135*AI134,$E135/Hjor*AI134))</f>
        <v>0</v>
      </c>
      <c r="AJ135" s="2">
        <f>IF(TipoProgramaPersonalTecnico=1,$E135*'a)Plantilla'!$C47*Programa!D$42,IF(TipoProgramaPersonalTecnico=2,$E135*AJ134,$E135/Hjor*AJ134))</f>
        <v>0</v>
      </c>
      <c r="AK135" s="2">
        <f>IF(TipoProgramaPersonalTecnico=1,$E135*'a)Plantilla'!$C47*Programa!D$43,IF(TipoProgramaPersonalTecnico=2,$E135*AK134,$E135/Hjor*AK134))</f>
        <v>0</v>
      </c>
      <c r="AL135" s="2">
        <f>IF(TipoProgramaPersonalTecnico=1,$E135*'a)Plantilla'!$C47*Programa!D$44,IF(TipoProgramaPersonalTecnico=2,$E135*AL134,$E135/Hjor*AL134))</f>
        <v>0</v>
      </c>
      <c r="AM135" s="2">
        <f>IF(TipoProgramaPersonalTecnico=1,$E135*'a)Plantilla'!$C47*Programa!D$45,IF(TipoProgramaPersonalTecnico=2,$E135*AM134,$E135/Hjor*AM134))</f>
        <v>0</v>
      </c>
      <c r="AN135" s="2">
        <f>IF(TipoProgramaPersonalTecnico=1,$E135*'a)Plantilla'!$C47*Programa!D$46,IF(TipoProgramaPersonalTecnico=2,$E135*AN134,$E135/Hjor*AN134))</f>
        <v>0</v>
      </c>
      <c r="AO135" s="2">
        <f>IF(TipoProgramaPersonalTecnico=1,$E135*'a)Plantilla'!$C47*Programa!D$47,IF(TipoProgramaPersonalTecnico=2,$E135*AO134,$E135/Hjor*AO134))</f>
        <v>0</v>
      </c>
      <c r="AP135" s="12">
        <f>IF(TipoProgramaPersonalTecnico=1,$E135*'a)Plantilla'!$C47*Programa!D$48,IF(TipoProgramaPersonalTecnico=2,$E135*AP134,$E135/Hjor*AP134))</f>
        <v>0</v>
      </c>
      <c r="AQ135" s="7">
        <f>IF(TipoProgramaPersonalTecnico=1,$E135*'a)Plantilla'!$C47*Programa!D$49,IF(TipoProgramaPersonalTecnico=2,$E135*AQ134,$E135/Hjor*AQ134))</f>
        <v>0</v>
      </c>
      <c r="AR135" s="2">
        <f>IF(TipoProgramaPersonalTecnico=1,$E135*'a)Plantilla'!$C47*Programa!D$50,IF(TipoProgramaPersonalTecnico=2,$E135*AR134,$E135/Hjor*AR134))</f>
        <v>0</v>
      </c>
      <c r="AS135" s="2">
        <f>IF(TipoProgramaPersonalTecnico=1,$E135*'a)Plantilla'!$C47*Programa!D$51,IF(TipoProgramaPersonalTecnico=2,$E135*AS134,$E135/Hjor*AS134))</f>
        <v>0</v>
      </c>
      <c r="AT135" s="2">
        <f>IF(TipoProgramaPersonalTecnico=1,$E135*'a)Plantilla'!$C47*Programa!D$52,IF(TipoProgramaPersonalTecnico=2,$E135*AT134,$E135/Hjor*AT134))</f>
        <v>0</v>
      </c>
      <c r="AU135" s="2">
        <f>IF(TipoProgramaPersonalTecnico=1,$E135*'a)Plantilla'!$C47*Programa!D$53,IF(TipoProgramaPersonalTecnico=2,$E135*AU134,$E135/Hjor*AU134))</f>
        <v>0</v>
      </c>
      <c r="AV135" s="2">
        <f>IF(TipoProgramaPersonalTecnico=1,$E135*'a)Plantilla'!$C47*Programa!D$54,IF(TipoProgramaPersonalTecnico=2,$E135*AV134,$E135/Hjor*AV134))</f>
        <v>0</v>
      </c>
      <c r="AW135" s="2">
        <f>IF(TipoProgramaPersonalTecnico=1,$E135*'a)Plantilla'!$C47*Programa!D$55,IF(TipoProgramaPersonalTecnico=2,$E135*AW134,$E135/Hjor*AW134))</f>
        <v>0</v>
      </c>
      <c r="AX135" s="2">
        <f>IF(TipoProgramaPersonalTecnico=1,$E135*'a)Plantilla'!$C47*Programa!D$56,IF(TipoProgramaPersonalTecnico=2,$E135*AX134,$E135/Hjor*AX134))</f>
        <v>0</v>
      </c>
      <c r="AY135" s="2">
        <f>IF(TipoProgramaPersonalTecnico=1,$E135*'a)Plantilla'!$C47*Programa!D$57,IF(TipoProgramaPersonalTecnico=2,$E135*AY134,$E135/Hjor*AY134))</f>
        <v>0</v>
      </c>
      <c r="AZ135" s="2">
        <f>IF(TipoProgramaPersonalTecnico=1,$E135*'a)Plantilla'!$C47*Programa!D$58,IF(TipoProgramaPersonalTecnico=2,$E135*AZ134,$E135/Hjor*AZ134))</f>
        <v>0</v>
      </c>
      <c r="BA135" s="55">
        <f>IF(TipoProgramaPersonalTecnico=1,$E135*'a)Plantilla'!$C47*Programa!D$59,IF(TipoProgramaPersonalTecnico=2,$E135*BA134,$E135/Hjor*BA134))</f>
        <v>0</v>
      </c>
      <c r="BB135" s="56">
        <f>IF(TipoProgramaPersonalTecnico=1,$E135*'a)Plantilla'!$C47*Programa!D$60,IF(TipoProgramaPersonalTecnico=2,$E135*BB134,$E135/Hjor*BB134))</f>
        <v>0</v>
      </c>
      <c r="BC135" s="53">
        <f>IF(TipoProgramaPersonalTecnico=1,$E135*'a)Plantilla'!$C47*Programa!D$61,IF(TipoProgramaPersonalTecnico=2,$E135*BC134,$E135/Hjor*BC134))</f>
        <v>0</v>
      </c>
      <c r="BD135" s="2">
        <f>IF(TipoProgramaPersonalTecnico=1,$E135*'a)Plantilla'!$C47*Programa!D$62,IF(TipoProgramaPersonalTecnico=2,$E135*BD134,$E135/Hjor*BD134))</f>
        <v>0</v>
      </c>
      <c r="BE135" s="2">
        <f>IF(TipoProgramaPersonalTecnico=1,$E135*'a)Plantilla'!$C47*Programa!D$63,IF(TipoProgramaPersonalTecnico=2,$E135*BE134,$E135/Hjor*BE134))</f>
        <v>0</v>
      </c>
      <c r="BF135" s="2">
        <f>IF(TipoProgramaPersonalTecnico=1,$E135*'a)Plantilla'!$C47*Programa!D$64,IF(TipoProgramaPersonalTecnico=2,$E135*BF134,$E135/Hjor*BF134))</f>
        <v>0</v>
      </c>
      <c r="BG135" s="2">
        <f>IF(TipoProgramaPersonalTecnico=1,$E135*'a)Plantilla'!$C47*Programa!D$65,IF(TipoProgramaPersonalTecnico=2,$E135*BG134,$E135/Hjor*BG134))</f>
        <v>0</v>
      </c>
      <c r="BH135" s="2">
        <f>IF(TipoProgramaPersonalTecnico=1,$E135*'a)Plantilla'!$C47*Programa!D$66,IF(TipoProgramaPersonalTecnico=2,$E135*BH134,$E135/Hjor*BH134))</f>
        <v>0</v>
      </c>
      <c r="BI135" s="2">
        <f>IF(TipoProgramaPersonalTecnico=1,$E135*'a)Plantilla'!$C47*Programa!D$67,IF(TipoProgramaPersonalTecnico=2,$E135*BI134,$E135/Hjor*BI134))</f>
        <v>0</v>
      </c>
      <c r="BJ135" s="2">
        <f>IF(TipoProgramaPersonalTecnico=1,$E135*'a)Plantilla'!$C47*Programa!D$68,IF(TipoProgramaPersonalTecnico=2,$E135*BJ134,$E135/Hjor*BJ134))</f>
        <v>0</v>
      </c>
      <c r="BK135" s="2">
        <f>IF(TipoProgramaPersonalTecnico=1,$E135*'a)Plantilla'!$C47*Programa!D$69,IF(TipoProgramaPersonalTecnico=2,$E135*BK134,$E135/Hjor*BK134))</f>
        <v>0</v>
      </c>
      <c r="BL135" s="2">
        <f>IF(TipoProgramaPersonalTecnico=1,$E135*'a)Plantilla'!$C47*Programa!D$70,IF(TipoProgramaPersonalTecnico=2,$E135*BL134,$E135/Hjor*BL134))</f>
        <v>0</v>
      </c>
      <c r="BM135" s="2">
        <f>IF(TipoProgramaPersonalTecnico=1,$E135*'a)Plantilla'!$C47*Programa!D$71,IF(TipoProgramaPersonalTecnico=2,$E135*BM134,$E135/Hjor*BM134))</f>
        <v>0</v>
      </c>
      <c r="BN135" s="12">
        <f>IF(TipoProgramaPersonalTecnico=1,$E135*'a)Plantilla'!$C47*Programa!D$72,IF(TipoProgramaPersonalTecnico=2,$E135*BN134,$E135/Hjor*BN134))</f>
        <v>0</v>
      </c>
    </row>
    <row r="136" spans="1:66" ht="7.5" customHeight="1">
      <c r="A136" s="67"/>
      <c r="B136" s="19"/>
      <c r="C136" s="127"/>
      <c r="D136" s="54"/>
      <c r="E136" s="19"/>
      <c r="F136" s="19"/>
      <c r="G136" s="1" t="s">
        <v>168</v>
      </c>
      <c r="H136" s="1" t="s">
        <v>168</v>
      </c>
      <c r="I136" s="1" t="s">
        <v>168</v>
      </c>
      <c r="J136" s="1" t="s">
        <v>168</v>
      </c>
      <c r="K136" s="1" t="s">
        <v>168</v>
      </c>
      <c r="L136" s="1" t="s">
        <v>168</v>
      </c>
      <c r="M136" s="1" t="s">
        <v>168</v>
      </c>
      <c r="N136" s="1" t="s">
        <v>168</v>
      </c>
      <c r="O136" s="1" t="s">
        <v>168</v>
      </c>
      <c r="P136" s="1" t="s">
        <v>168</v>
      </c>
      <c r="Q136" s="1" t="s">
        <v>168</v>
      </c>
      <c r="R136" s="8" t="s">
        <v>168</v>
      </c>
      <c r="S136" s="13" t="s">
        <v>168</v>
      </c>
      <c r="T136" s="1" t="s">
        <v>168</v>
      </c>
      <c r="U136" s="1" t="s">
        <v>168</v>
      </c>
      <c r="V136" s="1" t="s">
        <v>168</v>
      </c>
      <c r="W136" s="1" t="s">
        <v>168</v>
      </c>
      <c r="X136" s="1" t="s">
        <v>168</v>
      </c>
      <c r="Y136" s="1" t="s">
        <v>168</v>
      </c>
      <c r="Z136" s="1" t="s">
        <v>168</v>
      </c>
      <c r="AA136" s="1" t="s">
        <v>168</v>
      </c>
      <c r="AB136" s="1" t="s">
        <v>168</v>
      </c>
      <c r="AC136" s="1" t="s">
        <v>168</v>
      </c>
      <c r="AD136" s="8" t="s">
        <v>168</v>
      </c>
      <c r="AE136" s="13" t="s">
        <v>168</v>
      </c>
      <c r="AF136" s="1" t="s">
        <v>168</v>
      </c>
      <c r="AG136" s="1" t="s">
        <v>168</v>
      </c>
      <c r="AH136" s="1" t="s">
        <v>168</v>
      </c>
      <c r="AI136" s="1" t="s">
        <v>168</v>
      </c>
      <c r="AJ136" s="1" t="s">
        <v>168</v>
      </c>
      <c r="AK136" s="1" t="s">
        <v>168</v>
      </c>
      <c r="AL136" s="1" t="s">
        <v>168</v>
      </c>
      <c r="AM136" s="1" t="s">
        <v>168</v>
      </c>
      <c r="AN136" s="1" t="s">
        <v>168</v>
      </c>
      <c r="AO136" s="1" t="s">
        <v>168</v>
      </c>
      <c r="AP136" s="8" t="s">
        <v>168</v>
      </c>
      <c r="AQ136" s="13" t="s">
        <v>168</v>
      </c>
      <c r="AR136" s="1" t="s">
        <v>168</v>
      </c>
      <c r="AS136" s="1" t="s">
        <v>168</v>
      </c>
      <c r="AT136" s="1" t="s">
        <v>168</v>
      </c>
      <c r="AU136" s="1" t="s">
        <v>168</v>
      </c>
      <c r="AV136" s="1" t="s">
        <v>168</v>
      </c>
      <c r="AW136" s="1" t="s">
        <v>168</v>
      </c>
      <c r="AX136" s="1" t="s">
        <v>168</v>
      </c>
      <c r="AY136" s="1" t="s">
        <v>168</v>
      </c>
      <c r="AZ136" s="1" t="s">
        <v>168</v>
      </c>
      <c r="BA136" s="1" t="s">
        <v>168</v>
      </c>
      <c r="BB136" s="8" t="s">
        <v>168</v>
      </c>
      <c r="BC136" s="13" t="s">
        <v>168</v>
      </c>
      <c r="BD136" s="1" t="s">
        <v>168</v>
      </c>
      <c r="BE136" s="1" t="s">
        <v>168</v>
      </c>
      <c r="BF136" s="1" t="s">
        <v>168</v>
      </c>
      <c r="BG136" s="1" t="s">
        <v>168</v>
      </c>
      <c r="BH136" s="1" t="s">
        <v>168</v>
      </c>
      <c r="BI136" s="1" t="s">
        <v>168</v>
      </c>
      <c r="BJ136" s="1" t="s">
        <v>168</v>
      </c>
      <c r="BK136" s="1" t="s">
        <v>168</v>
      </c>
      <c r="BL136" s="1" t="s">
        <v>168</v>
      </c>
      <c r="BM136" s="1" t="s">
        <v>168</v>
      </c>
      <c r="BN136" s="8" t="s">
        <v>168</v>
      </c>
    </row>
    <row r="137" spans="1:66">
      <c r="A137" s="67"/>
      <c r="B137" s="46"/>
      <c r="C137" s="127"/>
      <c r="D137" s="52"/>
      <c r="E137" s="7"/>
      <c r="F137" s="7" t="s">
        <v>168</v>
      </c>
      <c r="G137" s="3">
        <f>'d)Pers.Técnico'!E97</f>
        <v>6.4</v>
      </c>
      <c r="H137" s="3">
        <f>'d)Pers.Técnico'!F97</f>
        <v>12</v>
      </c>
      <c r="I137" s="3">
        <f>'d)Pers.Técnico'!G97</f>
        <v>11.6</v>
      </c>
      <c r="J137" s="3">
        <f>'d)Pers.Técnico'!H97</f>
        <v>0</v>
      </c>
      <c r="K137" s="3">
        <f>'d)Pers.Técnico'!I97</f>
        <v>0</v>
      </c>
      <c r="L137" s="3">
        <f>'d)Pers.Técnico'!J97</f>
        <v>0</v>
      </c>
      <c r="M137" s="3">
        <f>'d)Pers.Técnico'!K97</f>
        <v>0</v>
      </c>
      <c r="N137" s="3">
        <f>'d)Pers.Técnico'!L97</f>
        <v>0</v>
      </c>
      <c r="O137" s="3">
        <f>'d)Pers.Técnico'!M97</f>
        <v>0</v>
      </c>
      <c r="P137" s="3">
        <f>'d)Pers.Técnico'!N97</f>
        <v>0</v>
      </c>
      <c r="Q137" s="3">
        <f>'d)Pers.Técnico'!O97</f>
        <v>0</v>
      </c>
      <c r="R137" s="14">
        <f>'d)Pers.Técnico'!P97</f>
        <v>0</v>
      </c>
      <c r="S137" s="20">
        <f>'d)Pers.Técnico'!Q97</f>
        <v>0</v>
      </c>
      <c r="T137" s="3">
        <f>'d)Pers.Técnico'!R97</f>
        <v>0</v>
      </c>
      <c r="U137" s="3">
        <f>'d)Pers.Técnico'!S97</f>
        <v>0</v>
      </c>
      <c r="V137" s="3">
        <f>'d)Pers.Técnico'!T97</f>
        <v>0</v>
      </c>
      <c r="W137" s="3">
        <f>'d)Pers.Técnico'!U97</f>
        <v>0</v>
      </c>
      <c r="X137" s="3">
        <f>'d)Pers.Técnico'!V97</f>
        <v>0</v>
      </c>
      <c r="Y137" s="3">
        <f>'d)Pers.Técnico'!W97</f>
        <v>0</v>
      </c>
      <c r="Z137" s="3">
        <f>'d)Pers.Técnico'!X97</f>
        <v>0</v>
      </c>
      <c r="AA137" s="3">
        <f>'d)Pers.Técnico'!Y97</f>
        <v>0</v>
      </c>
      <c r="AB137" s="3">
        <f>'d)Pers.Técnico'!Z97</f>
        <v>0</v>
      </c>
      <c r="AC137" s="3">
        <f>'d)Pers.Técnico'!AA97</f>
        <v>0</v>
      </c>
      <c r="AD137" s="14">
        <f>'d)Pers.Técnico'!AB97</f>
        <v>0</v>
      </c>
      <c r="AE137" s="20">
        <f>'d)Pers.Técnico'!AC97</f>
        <v>0</v>
      </c>
      <c r="AF137" s="3">
        <f>'d)Pers.Técnico'!AD97</f>
        <v>0</v>
      </c>
      <c r="AG137" s="3">
        <f>'d)Pers.Técnico'!AE97</f>
        <v>0</v>
      </c>
      <c r="AH137" s="3">
        <f>'d)Pers.Técnico'!AF97</f>
        <v>0</v>
      </c>
      <c r="AI137" s="3">
        <f>'d)Pers.Técnico'!AG97</f>
        <v>0</v>
      </c>
      <c r="AJ137" s="3">
        <f>'d)Pers.Técnico'!AH97</f>
        <v>0</v>
      </c>
      <c r="AK137" s="3">
        <f>'d)Pers.Técnico'!AI97</f>
        <v>0</v>
      </c>
      <c r="AL137" s="3">
        <f>'d)Pers.Técnico'!AJ97</f>
        <v>0</v>
      </c>
      <c r="AM137" s="3">
        <f>'d)Pers.Técnico'!AK97</f>
        <v>0</v>
      </c>
      <c r="AN137" s="3">
        <f>'d)Pers.Técnico'!AL97</f>
        <v>0</v>
      </c>
      <c r="AO137" s="3">
        <f>'d)Pers.Técnico'!AM97</f>
        <v>0</v>
      </c>
      <c r="AP137" s="14">
        <f>'d)Pers.Técnico'!AN97</f>
        <v>0</v>
      </c>
      <c r="AQ137" s="20">
        <f>'d)Pers.Técnico'!AO97</f>
        <v>0</v>
      </c>
      <c r="AR137" s="3">
        <f>'d)Pers.Técnico'!AP97</f>
        <v>0</v>
      </c>
      <c r="AS137" s="3">
        <f>'d)Pers.Técnico'!AQ97</f>
        <v>0</v>
      </c>
      <c r="AT137" s="3">
        <f>'d)Pers.Técnico'!AR97</f>
        <v>0</v>
      </c>
      <c r="AU137" s="3">
        <f>'d)Pers.Técnico'!AS97</f>
        <v>0</v>
      </c>
      <c r="AV137" s="3">
        <f>'d)Pers.Técnico'!AT97</f>
        <v>0</v>
      </c>
      <c r="AW137" s="3">
        <f>'d)Pers.Técnico'!AU97</f>
        <v>0</v>
      </c>
      <c r="AX137" s="3">
        <f>'d)Pers.Técnico'!AV97</f>
        <v>0</v>
      </c>
      <c r="AY137" s="3">
        <f>'d)Pers.Técnico'!AW97</f>
        <v>0</v>
      </c>
      <c r="AZ137" s="3">
        <f>'d)Pers.Técnico'!AX97</f>
        <v>0</v>
      </c>
      <c r="BA137" s="1">
        <f>'d)Pers.Técnico'!AY97</f>
        <v>0</v>
      </c>
      <c r="BB137" s="60">
        <f>'d)Pers.Técnico'!AZ97</f>
        <v>0</v>
      </c>
      <c r="BC137" s="61">
        <f>'d)Pers.Técnico'!BA97</f>
        <v>0</v>
      </c>
      <c r="BD137" s="3">
        <f>'d)Pers.Técnico'!BB97</f>
        <v>0</v>
      </c>
      <c r="BE137" s="3">
        <f>'d)Pers.Técnico'!BC97</f>
        <v>0</v>
      </c>
      <c r="BF137" s="3">
        <f>'d)Pers.Técnico'!BD97</f>
        <v>0</v>
      </c>
      <c r="BG137" s="3">
        <f>'d)Pers.Técnico'!BE97</f>
        <v>0</v>
      </c>
      <c r="BH137" s="3">
        <f>'d)Pers.Técnico'!BF97</f>
        <v>0</v>
      </c>
      <c r="BI137" s="3">
        <f>'d)Pers.Técnico'!BG97</f>
        <v>0</v>
      </c>
      <c r="BJ137" s="3">
        <f>'d)Pers.Técnico'!BH97</f>
        <v>0</v>
      </c>
      <c r="BK137" s="3">
        <f>'d)Pers.Técnico'!BI97</f>
        <v>0</v>
      </c>
      <c r="BL137" s="3">
        <f>'d)Pers.Técnico'!BJ97</f>
        <v>0</v>
      </c>
      <c r="BM137" s="3">
        <f>'d)Pers.Técnico'!BK97</f>
        <v>0</v>
      </c>
      <c r="BN137" s="14">
        <f>'d)Pers.Técnico'!BL97</f>
        <v>0</v>
      </c>
    </row>
    <row r="138" spans="1:66">
      <c r="A138" s="67"/>
      <c r="B138" s="46" t="str">
        <f>+'d)Pers.Técnico'!B97</f>
        <v>SECRETARIA</v>
      </c>
      <c r="C138" s="127" t="str">
        <f>'d)Pers.Técnico'!C97</f>
        <v>horas-Hombre</v>
      </c>
      <c r="D138" s="52">
        <f>SUM(G137:BN137)</f>
        <v>30</v>
      </c>
      <c r="E138" s="7">
        <f>IF('a)Plantilla'!C48&gt;0,'a)Plantilla'!D48/30,0)</f>
        <v>233.33</v>
      </c>
      <c r="F138" s="7">
        <f>SUM(G138:BN138)</f>
        <v>874.99</v>
      </c>
      <c r="G138" s="2">
        <f>IF(TipoProgramaPersonalTecnico=1,$E138*'a)Plantilla'!$C48*Programa!D$13,IF(TipoProgramaPersonalTecnico=2,$E138*G137,$E138/Hjor*G137))</f>
        <v>186.66</v>
      </c>
      <c r="H138" s="2">
        <f>IF(TipoProgramaPersonalTecnico=1,$E138*'a)Plantilla'!$C48*Programa!D$14,IF(TipoProgramaPersonalTecnico=2,$E138*H137,$E138/Hjor*H137))</f>
        <v>350</v>
      </c>
      <c r="I138" s="2">
        <f>IF(TipoProgramaPersonalTecnico=1,$E138*'a)Plantilla'!$C48*Programa!D$15,IF(TipoProgramaPersonalTecnico=2,$E138*I137,$E138/Hjor*I137))</f>
        <v>338.33</v>
      </c>
      <c r="J138" s="2">
        <f>IF(TipoProgramaPersonalTecnico=1,$E138*'a)Plantilla'!$C48*Programa!D$16,IF(TipoProgramaPersonalTecnico=2,$E138*J137,$E138/Hjor*J137))</f>
        <v>0</v>
      </c>
      <c r="K138" s="2">
        <f>IF(TipoProgramaPersonalTecnico=1,$E138*'a)Plantilla'!$C48*Programa!D$17,IF(TipoProgramaPersonalTecnico=2,$E138*K137,$E138/Hjor*K137))</f>
        <v>0</v>
      </c>
      <c r="L138" s="2">
        <f>IF(TipoProgramaPersonalTecnico=1,$E138*'a)Plantilla'!$C48*Programa!D$18,IF(TipoProgramaPersonalTecnico=2,$E138*L137,$E138/Hjor*L137))</f>
        <v>0</v>
      </c>
      <c r="M138" s="2">
        <f>IF(TipoProgramaPersonalTecnico=1,$E138*'a)Plantilla'!$C48*Programa!D$19,IF(TipoProgramaPersonalTecnico=2,$E138*M137,$E138/Hjor*M137))</f>
        <v>0</v>
      </c>
      <c r="N138" s="2">
        <f>IF(TipoProgramaPersonalTecnico=1,$E138*'a)Plantilla'!$C48*Programa!D$20,IF(TipoProgramaPersonalTecnico=2,$E138*N137,$E138/Hjor*N137))</f>
        <v>0</v>
      </c>
      <c r="O138" s="2">
        <f>IF(TipoProgramaPersonalTecnico=1,$E138*'a)Plantilla'!$C48*Programa!D$21,IF(TipoProgramaPersonalTecnico=2,$E138*O137,$E138/Hjor*O137))</f>
        <v>0</v>
      </c>
      <c r="P138" s="2">
        <f>IF(TipoProgramaPersonalTecnico=1,$E138*'a)Plantilla'!$C48*Programa!D$22,IF(TipoProgramaPersonalTecnico=2,$E138*P137,$E138/Hjor*P137))</f>
        <v>0</v>
      </c>
      <c r="Q138" s="2">
        <f>IF(TipoProgramaPersonalTecnico=1,$E138*'a)Plantilla'!$C48*Programa!D$23,IF(TipoProgramaPersonalTecnico=2,$E138*Q137,$E138/Hjor*Q137))</f>
        <v>0</v>
      </c>
      <c r="R138" s="12">
        <f>IF(TipoProgramaPersonalTecnico=1,$E138*'a)Plantilla'!$C48*Programa!D$24,IF(TipoProgramaPersonalTecnico=2,$E138*R137,$E138/Hjor*R137))</f>
        <v>0</v>
      </c>
      <c r="S138" s="7">
        <f>IF(TipoProgramaPersonalTecnico=1,$E138*'a)Plantilla'!$C48*Programa!D$25,IF(TipoProgramaPersonalTecnico=2,$E138*S137,$E138/Hjor*S137))</f>
        <v>0</v>
      </c>
      <c r="T138" s="2">
        <f>IF(TipoProgramaPersonalTecnico=1,$E138*'a)Plantilla'!$C48*Programa!D$26,IF(TipoProgramaPersonalTecnico=2,$E138*T137,$E138/Hjor*T137))</f>
        <v>0</v>
      </c>
      <c r="U138" s="2">
        <f>IF(TipoProgramaPersonalTecnico=1,$E138*'a)Plantilla'!$C48*Programa!D$27,IF(TipoProgramaPersonalTecnico=2,$E138*U137,$E138/Hjor*U137))</f>
        <v>0</v>
      </c>
      <c r="V138" s="2">
        <f>IF(TipoProgramaPersonalTecnico=1,$E138*'a)Plantilla'!$C48*Programa!D$28,IF(TipoProgramaPersonalTecnico=2,$E138*V137,$E138/Hjor*V137))</f>
        <v>0</v>
      </c>
      <c r="W138" s="2">
        <f>IF(TipoProgramaPersonalTecnico=1,$E138*'a)Plantilla'!$C48*Programa!D$29,IF(TipoProgramaPersonalTecnico=2,$E138*W137,$E138/Hjor*W137))</f>
        <v>0</v>
      </c>
      <c r="X138" s="2">
        <f>IF(TipoProgramaPersonalTecnico=1,$E138*'a)Plantilla'!$C48*Programa!D$30,IF(TipoProgramaPersonalTecnico=2,$E138*X137,$E138/Hjor*X137))</f>
        <v>0</v>
      </c>
      <c r="Y138" s="2">
        <f>IF(TipoProgramaPersonalTecnico=1,$E138*'a)Plantilla'!$C48*Programa!D$31,IF(TipoProgramaPersonalTecnico=2,$E138*Y137,$E138/Hjor*Y137))</f>
        <v>0</v>
      </c>
      <c r="Z138" s="2">
        <f>IF(TipoProgramaPersonalTecnico=1,$E138*'a)Plantilla'!$C48*Programa!D$32,IF(TipoProgramaPersonalTecnico=2,$E138*Z137,$E138/Hjor*Z137))</f>
        <v>0</v>
      </c>
      <c r="AA138" s="2">
        <f>IF(TipoProgramaPersonalTecnico=1,$E138*'a)Plantilla'!$C48*Programa!D$33,IF(TipoProgramaPersonalTecnico=2,$E138*AA137,$E138/Hjor*AA137))</f>
        <v>0</v>
      </c>
      <c r="AB138" s="2">
        <f>IF(TipoProgramaPersonalTecnico=1,$E138*'a)Plantilla'!$C48*Programa!D$34,IF(TipoProgramaPersonalTecnico=2,$E138*AB137,$E138/Hjor*AB137))</f>
        <v>0</v>
      </c>
      <c r="AC138" s="2">
        <f>IF(TipoProgramaPersonalTecnico=1,$E138*'a)Plantilla'!$C48*Programa!D$35,IF(TipoProgramaPersonalTecnico=2,$E138*AC137,$E138/Hjor*AC137))</f>
        <v>0</v>
      </c>
      <c r="AD138" s="12">
        <f>IF(TipoProgramaPersonalTecnico=1,$E138*'a)Plantilla'!$C48*Programa!D$36,IF(TipoProgramaPersonalTecnico=2,$E138*AD137,$E138/Hjor*AD137))</f>
        <v>0</v>
      </c>
      <c r="AE138" s="7">
        <f>IF(TipoProgramaPersonalTecnico=1,$E138*'a)Plantilla'!$C48*Programa!D$37,IF(TipoProgramaPersonalTecnico=2,$E138*AE137,$E138/Hjor*AE137))</f>
        <v>0</v>
      </c>
      <c r="AF138" s="2">
        <f>IF(TipoProgramaPersonalTecnico=1,$E138*'a)Plantilla'!$C48*Programa!D$38,IF(TipoProgramaPersonalTecnico=2,$E138*AF137,$E138/Hjor*AF137))</f>
        <v>0</v>
      </c>
      <c r="AG138" s="2">
        <f>IF(TipoProgramaPersonalTecnico=1,$E138*'a)Plantilla'!$C48*Programa!D$39,IF(TipoProgramaPersonalTecnico=2,$E138*AG137,$E138/Hjor*AG137))</f>
        <v>0</v>
      </c>
      <c r="AH138" s="2">
        <f>IF(TipoProgramaPersonalTecnico=1,$E138*'a)Plantilla'!$C48*Programa!D$40,IF(TipoProgramaPersonalTecnico=2,$E138*AH137,$E138/Hjor*AH137))</f>
        <v>0</v>
      </c>
      <c r="AI138" s="2">
        <f>IF(TipoProgramaPersonalTecnico=1,$E138*'a)Plantilla'!$C48*Programa!D$41,IF(TipoProgramaPersonalTecnico=2,$E138*AI137,$E138/Hjor*AI137))</f>
        <v>0</v>
      </c>
      <c r="AJ138" s="2">
        <f>IF(TipoProgramaPersonalTecnico=1,$E138*'a)Plantilla'!$C48*Programa!D$42,IF(TipoProgramaPersonalTecnico=2,$E138*AJ137,$E138/Hjor*AJ137))</f>
        <v>0</v>
      </c>
      <c r="AK138" s="2">
        <f>IF(TipoProgramaPersonalTecnico=1,$E138*'a)Plantilla'!$C48*Programa!D$43,IF(TipoProgramaPersonalTecnico=2,$E138*AK137,$E138/Hjor*AK137))</f>
        <v>0</v>
      </c>
      <c r="AL138" s="2">
        <f>IF(TipoProgramaPersonalTecnico=1,$E138*'a)Plantilla'!$C48*Programa!D$44,IF(TipoProgramaPersonalTecnico=2,$E138*AL137,$E138/Hjor*AL137))</f>
        <v>0</v>
      </c>
      <c r="AM138" s="2">
        <f>IF(TipoProgramaPersonalTecnico=1,$E138*'a)Plantilla'!$C48*Programa!D$45,IF(TipoProgramaPersonalTecnico=2,$E138*AM137,$E138/Hjor*AM137))</f>
        <v>0</v>
      </c>
      <c r="AN138" s="2">
        <f>IF(TipoProgramaPersonalTecnico=1,$E138*'a)Plantilla'!$C48*Programa!D$46,IF(TipoProgramaPersonalTecnico=2,$E138*AN137,$E138/Hjor*AN137))</f>
        <v>0</v>
      </c>
      <c r="AO138" s="2">
        <f>IF(TipoProgramaPersonalTecnico=1,$E138*'a)Plantilla'!$C48*Programa!D$47,IF(TipoProgramaPersonalTecnico=2,$E138*AO137,$E138/Hjor*AO137))</f>
        <v>0</v>
      </c>
      <c r="AP138" s="12">
        <f>IF(TipoProgramaPersonalTecnico=1,$E138*'a)Plantilla'!$C48*Programa!D$48,IF(TipoProgramaPersonalTecnico=2,$E138*AP137,$E138/Hjor*AP137))</f>
        <v>0</v>
      </c>
      <c r="AQ138" s="7">
        <f>IF(TipoProgramaPersonalTecnico=1,$E138*'a)Plantilla'!$C48*Programa!D$49,IF(TipoProgramaPersonalTecnico=2,$E138*AQ137,$E138/Hjor*AQ137))</f>
        <v>0</v>
      </c>
      <c r="AR138" s="2">
        <f>IF(TipoProgramaPersonalTecnico=1,$E138*'a)Plantilla'!$C48*Programa!D$50,IF(TipoProgramaPersonalTecnico=2,$E138*AR137,$E138/Hjor*AR137))</f>
        <v>0</v>
      </c>
      <c r="AS138" s="2">
        <f>IF(TipoProgramaPersonalTecnico=1,$E138*'a)Plantilla'!$C48*Programa!D$51,IF(TipoProgramaPersonalTecnico=2,$E138*AS137,$E138/Hjor*AS137))</f>
        <v>0</v>
      </c>
      <c r="AT138" s="2">
        <f>IF(TipoProgramaPersonalTecnico=1,$E138*'a)Plantilla'!$C48*Programa!D$52,IF(TipoProgramaPersonalTecnico=2,$E138*AT137,$E138/Hjor*AT137))</f>
        <v>0</v>
      </c>
      <c r="AU138" s="2">
        <f>IF(TipoProgramaPersonalTecnico=1,$E138*'a)Plantilla'!$C48*Programa!D$53,IF(TipoProgramaPersonalTecnico=2,$E138*AU137,$E138/Hjor*AU137))</f>
        <v>0</v>
      </c>
      <c r="AV138" s="2">
        <f>IF(TipoProgramaPersonalTecnico=1,$E138*'a)Plantilla'!$C48*Programa!D$54,IF(TipoProgramaPersonalTecnico=2,$E138*AV137,$E138/Hjor*AV137))</f>
        <v>0</v>
      </c>
      <c r="AW138" s="2">
        <f>IF(TipoProgramaPersonalTecnico=1,$E138*'a)Plantilla'!$C48*Programa!D$55,IF(TipoProgramaPersonalTecnico=2,$E138*AW137,$E138/Hjor*AW137))</f>
        <v>0</v>
      </c>
      <c r="AX138" s="2">
        <f>IF(TipoProgramaPersonalTecnico=1,$E138*'a)Plantilla'!$C48*Programa!D$56,IF(TipoProgramaPersonalTecnico=2,$E138*AX137,$E138/Hjor*AX137))</f>
        <v>0</v>
      </c>
      <c r="AY138" s="2">
        <f>IF(TipoProgramaPersonalTecnico=1,$E138*'a)Plantilla'!$C48*Programa!D$57,IF(TipoProgramaPersonalTecnico=2,$E138*AY137,$E138/Hjor*AY137))</f>
        <v>0</v>
      </c>
      <c r="AZ138" s="2">
        <f>IF(TipoProgramaPersonalTecnico=1,$E138*'a)Plantilla'!$C48*Programa!D$58,IF(TipoProgramaPersonalTecnico=2,$E138*AZ137,$E138/Hjor*AZ137))</f>
        <v>0</v>
      </c>
      <c r="BA138" s="55">
        <f>IF(TipoProgramaPersonalTecnico=1,$E138*'a)Plantilla'!$C48*Programa!D$59,IF(TipoProgramaPersonalTecnico=2,$E138*BA137,$E138/Hjor*BA137))</f>
        <v>0</v>
      </c>
      <c r="BB138" s="56">
        <f>IF(TipoProgramaPersonalTecnico=1,$E138*'a)Plantilla'!$C48*Programa!D$60,IF(TipoProgramaPersonalTecnico=2,$E138*BB137,$E138/Hjor*BB137))</f>
        <v>0</v>
      </c>
      <c r="BC138" s="53">
        <f>IF(TipoProgramaPersonalTecnico=1,$E138*'a)Plantilla'!$C48*Programa!D$61,IF(TipoProgramaPersonalTecnico=2,$E138*BC137,$E138/Hjor*BC137))</f>
        <v>0</v>
      </c>
      <c r="BD138" s="2">
        <f>IF(TipoProgramaPersonalTecnico=1,$E138*'a)Plantilla'!$C48*Programa!D$62,IF(TipoProgramaPersonalTecnico=2,$E138*BD137,$E138/Hjor*BD137))</f>
        <v>0</v>
      </c>
      <c r="BE138" s="2">
        <f>IF(TipoProgramaPersonalTecnico=1,$E138*'a)Plantilla'!$C48*Programa!D$63,IF(TipoProgramaPersonalTecnico=2,$E138*BE137,$E138/Hjor*BE137))</f>
        <v>0</v>
      </c>
      <c r="BF138" s="2">
        <f>IF(TipoProgramaPersonalTecnico=1,$E138*'a)Plantilla'!$C48*Programa!D$64,IF(TipoProgramaPersonalTecnico=2,$E138*BF137,$E138/Hjor*BF137))</f>
        <v>0</v>
      </c>
      <c r="BG138" s="2">
        <f>IF(TipoProgramaPersonalTecnico=1,$E138*'a)Plantilla'!$C48*Programa!D$65,IF(TipoProgramaPersonalTecnico=2,$E138*BG137,$E138/Hjor*BG137))</f>
        <v>0</v>
      </c>
      <c r="BH138" s="2">
        <f>IF(TipoProgramaPersonalTecnico=1,$E138*'a)Plantilla'!$C48*Programa!D$66,IF(TipoProgramaPersonalTecnico=2,$E138*BH137,$E138/Hjor*BH137))</f>
        <v>0</v>
      </c>
      <c r="BI138" s="2">
        <f>IF(TipoProgramaPersonalTecnico=1,$E138*'a)Plantilla'!$C48*Programa!D$67,IF(TipoProgramaPersonalTecnico=2,$E138*BI137,$E138/Hjor*BI137))</f>
        <v>0</v>
      </c>
      <c r="BJ138" s="2">
        <f>IF(TipoProgramaPersonalTecnico=1,$E138*'a)Plantilla'!$C48*Programa!D$68,IF(TipoProgramaPersonalTecnico=2,$E138*BJ137,$E138/Hjor*BJ137))</f>
        <v>0</v>
      </c>
      <c r="BK138" s="2">
        <f>IF(TipoProgramaPersonalTecnico=1,$E138*'a)Plantilla'!$C48*Programa!D$69,IF(TipoProgramaPersonalTecnico=2,$E138*BK137,$E138/Hjor*BK137))</f>
        <v>0</v>
      </c>
      <c r="BL138" s="2">
        <f>IF(TipoProgramaPersonalTecnico=1,$E138*'a)Plantilla'!$C48*Programa!D$70,IF(TipoProgramaPersonalTecnico=2,$E138*BL137,$E138/Hjor*BL137))</f>
        <v>0</v>
      </c>
      <c r="BM138" s="2">
        <f>IF(TipoProgramaPersonalTecnico=1,$E138*'a)Plantilla'!$C48*Programa!D$71,IF(TipoProgramaPersonalTecnico=2,$E138*BM137,$E138/Hjor*BM137))</f>
        <v>0</v>
      </c>
      <c r="BN138" s="12">
        <f>IF(TipoProgramaPersonalTecnico=1,$E138*'a)Plantilla'!$C48*Programa!D$72,IF(TipoProgramaPersonalTecnico=2,$E138*BN137,$E138/Hjor*BN137))</f>
        <v>0</v>
      </c>
    </row>
    <row r="139" spans="1:66" ht="7.5" customHeight="1">
      <c r="A139" s="67"/>
      <c r="B139" s="19"/>
      <c r="C139" s="127"/>
      <c r="D139" s="54"/>
      <c r="E139" s="19"/>
      <c r="F139" s="19"/>
      <c r="G139" s="1" t="s">
        <v>168</v>
      </c>
      <c r="H139" s="1" t="s">
        <v>168</v>
      </c>
      <c r="I139" s="1" t="s">
        <v>168</v>
      </c>
      <c r="J139" s="1" t="s">
        <v>168</v>
      </c>
      <c r="K139" s="1" t="s">
        <v>168</v>
      </c>
      <c r="L139" s="1" t="s">
        <v>168</v>
      </c>
      <c r="M139" s="1" t="s">
        <v>168</v>
      </c>
      <c r="N139" s="1" t="s">
        <v>168</v>
      </c>
      <c r="O139" s="1" t="s">
        <v>168</v>
      </c>
      <c r="P139" s="1" t="s">
        <v>168</v>
      </c>
      <c r="Q139" s="1" t="s">
        <v>168</v>
      </c>
      <c r="R139" s="8" t="s">
        <v>168</v>
      </c>
      <c r="S139" s="13" t="s">
        <v>168</v>
      </c>
      <c r="T139" s="1" t="s">
        <v>168</v>
      </c>
      <c r="U139" s="1" t="s">
        <v>168</v>
      </c>
      <c r="V139" s="1" t="s">
        <v>168</v>
      </c>
      <c r="W139" s="1" t="s">
        <v>168</v>
      </c>
      <c r="X139" s="1" t="s">
        <v>168</v>
      </c>
      <c r="Y139" s="1" t="s">
        <v>168</v>
      </c>
      <c r="Z139" s="1" t="s">
        <v>168</v>
      </c>
      <c r="AA139" s="1" t="s">
        <v>168</v>
      </c>
      <c r="AB139" s="1" t="s">
        <v>168</v>
      </c>
      <c r="AC139" s="1" t="s">
        <v>168</v>
      </c>
      <c r="AD139" s="8" t="s">
        <v>168</v>
      </c>
      <c r="AE139" s="13" t="s">
        <v>168</v>
      </c>
      <c r="AF139" s="1" t="s">
        <v>168</v>
      </c>
      <c r="AG139" s="1" t="s">
        <v>168</v>
      </c>
      <c r="AH139" s="1" t="s">
        <v>168</v>
      </c>
      <c r="AI139" s="1" t="s">
        <v>168</v>
      </c>
      <c r="AJ139" s="1" t="s">
        <v>168</v>
      </c>
      <c r="AK139" s="1" t="s">
        <v>168</v>
      </c>
      <c r="AL139" s="1" t="s">
        <v>168</v>
      </c>
      <c r="AM139" s="1" t="s">
        <v>168</v>
      </c>
      <c r="AN139" s="1" t="s">
        <v>168</v>
      </c>
      <c r="AO139" s="1" t="s">
        <v>168</v>
      </c>
      <c r="AP139" s="8" t="s">
        <v>168</v>
      </c>
      <c r="AQ139" s="13" t="s">
        <v>168</v>
      </c>
      <c r="AR139" s="1" t="s">
        <v>168</v>
      </c>
      <c r="AS139" s="1" t="s">
        <v>168</v>
      </c>
      <c r="AT139" s="1" t="s">
        <v>168</v>
      </c>
      <c r="AU139" s="1" t="s">
        <v>168</v>
      </c>
      <c r="AV139" s="1" t="s">
        <v>168</v>
      </c>
      <c r="AW139" s="1" t="s">
        <v>168</v>
      </c>
      <c r="AX139" s="1" t="s">
        <v>168</v>
      </c>
      <c r="AY139" s="1" t="s">
        <v>168</v>
      </c>
      <c r="AZ139" s="1" t="s">
        <v>168</v>
      </c>
      <c r="BA139" s="1" t="s">
        <v>168</v>
      </c>
      <c r="BB139" s="8" t="s">
        <v>168</v>
      </c>
      <c r="BC139" s="13" t="s">
        <v>168</v>
      </c>
      <c r="BD139" s="1" t="s">
        <v>168</v>
      </c>
      <c r="BE139" s="1" t="s">
        <v>168</v>
      </c>
      <c r="BF139" s="1" t="s">
        <v>168</v>
      </c>
      <c r="BG139" s="1" t="s">
        <v>168</v>
      </c>
      <c r="BH139" s="1" t="s">
        <v>168</v>
      </c>
      <c r="BI139" s="1" t="s">
        <v>168</v>
      </c>
      <c r="BJ139" s="1" t="s">
        <v>168</v>
      </c>
      <c r="BK139" s="1" t="s">
        <v>168</v>
      </c>
      <c r="BL139" s="1" t="s">
        <v>168</v>
      </c>
      <c r="BM139" s="1" t="s">
        <v>168</v>
      </c>
      <c r="BN139" s="8" t="s">
        <v>168</v>
      </c>
    </row>
    <row r="140" spans="1:66">
      <c r="A140" s="67"/>
      <c r="B140" s="46"/>
      <c r="C140" s="127"/>
      <c r="D140" s="52"/>
      <c r="E140" s="7"/>
      <c r="F140" s="7"/>
      <c r="G140" s="3">
        <f>'d)Pers.Técnico'!E99</f>
        <v>0</v>
      </c>
      <c r="H140" s="3">
        <f>'d)Pers.Técnico'!F99</f>
        <v>0</v>
      </c>
      <c r="I140" s="3">
        <f>'d)Pers.Técnico'!G99</f>
        <v>0</v>
      </c>
      <c r="J140" s="3">
        <f>'d)Pers.Técnico'!H99</f>
        <v>0</v>
      </c>
      <c r="K140" s="3">
        <f>'d)Pers.Técnico'!I99</f>
        <v>0</v>
      </c>
      <c r="L140" s="3">
        <f>'d)Pers.Técnico'!J99</f>
        <v>0</v>
      </c>
      <c r="M140" s="3">
        <f>'d)Pers.Técnico'!K99</f>
        <v>0</v>
      </c>
      <c r="N140" s="3">
        <f>'d)Pers.Técnico'!L99</f>
        <v>0</v>
      </c>
      <c r="O140" s="3">
        <f>'d)Pers.Técnico'!M99</f>
        <v>0</v>
      </c>
      <c r="P140" s="3">
        <f>'d)Pers.Técnico'!N99</f>
        <v>0</v>
      </c>
      <c r="Q140" s="3">
        <f>'d)Pers.Técnico'!O99</f>
        <v>0</v>
      </c>
      <c r="R140" s="14">
        <f>'d)Pers.Técnico'!P99</f>
        <v>0</v>
      </c>
      <c r="S140" s="20">
        <f>'d)Pers.Técnico'!Q99</f>
        <v>0</v>
      </c>
      <c r="T140" s="3">
        <f>'d)Pers.Técnico'!R99</f>
        <v>0</v>
      </c>
      <c r="U140" s="3">
        <f>'d)Pers.Técnico'!S99</f>
        <v>0</v>
      </c>
      <c r="V140" s="3">
        <f>'d)Pers.Técnico'!T99</f>
        <v>0</v>
      </c>
      <c r="W140" s="3">
        <f>'d)Pers.Técnico'!U99</f>
        <v>0</v>
      </c>
      <c r="X140" s="3">
        <f>'d)Pers.Técnico'!V99</f>
        <v>0</v>
      </c>
      <c r="Y140" s="3">
        <f>'d)Pers.Técnico'!W99</f>
        <v>0</v>
      </c>
      <c r="Z140" s="3">
        <f>'d)Pers.Técnico'!X99</f>
        <v>0</v>
      </c>
      <c r="AA140" s="3">
        <f>'d)Pers.Técnico'!Y99</f>
        <v>0</v>
      </c>
      <c r="AB140" s="3">
        <f>'d)Pers.Técnico'!Z99</f>
        <v>0</v>
      </c>
      <c r="AC140" s="3">
        <f>'d)Pers.Técnico'!AA99</f>
        <v>0</v>
      </c>
      <c r="AD140" s="14">
        <f>'d)Pers.Técnico'!AB99</f>
        <v>0</v>
      </c>
      <c r="AE140" s="20">
        <f>'d)Pers.Técnico'!AC99</f>
        <v>0</v>
      </c>
      <c r="AF140" s="3">
        <f>'d)Pers.Técnico'!AD99</f>
        <v>0</v>
      </c>
      <c r="AG140" s="3">
        <f>'d)Pers.Técnico'!AE99</f>
        <v>0</v>
      </c>
      <c r="AH140" s="3">
        <f>'d)Pers.Técnico'!AF99</f>
        <v>0</v>
      </c>
      <c r="AI140" s="3">
        <f>'d)Pers.Técnico'!AG99</f>
        <v>0</v>
      </c>
      <c r="AJ140" s="3">
        <f>'d)Pers.Técnico'!AH99</f>
        <v>0</v>
      </c>
      <c r="AK140" s="3">
        <f>'d)Pers.Técnico'!AI99</f>
        <v>0</v>
      </c>
      <c r="AL140" s="3">
        <f>'d)Pers.Técnico'!AJ99</f>
        <v>0</v>
      </c>
      <c r="AM140" s="3">
        <f>'d)Pers.Técnico'!AK99</f>
        <v>0</v>
      </c>
      <c r="AN140" s="3">
        <f>'d)Pers.Técnico'!AL99</f>
        <v>0</v>
      </c>
      <c r="AO140" s="3">
        <f>'d)Pers.Técnico'!AM99</f>
        <v>0</v>
      </c>
      <c r="AP140" s="14">
        <f>'d)Pers.Técnico'!AN99</f>
        <v>0</v>
      </c>
      <c r="AQ140" s="20">
        <f>'d)Pers.Técnico'!AO99</f>
        <v>0</v>
      </c>
      <c r="AR140" s="3">
        <f>'d)Pers.Técnico'!AP99</f>
        <v>0</v>
      </c>
      <c r="AS140" s="3">
        <f>'d)Pers.Técnico'!AQ99</f>
        <v>0</v>
      </c>
      <c r="AT140" s="3">
        <f>'d)Pers.Técnico'!AR99</f>
        <v>0</v>
      </c>
      <c r="AU140" s="3">
        <f>'d)Pers.Técnico'!AS99</f>
        <v>0</v>
      </c>
      <c r="AV140" s="3">
        <f>'d)Pers.Técnico'!AT99</f>
        <v>0</v>
      </c>
      <c r="AW140" s="3">
        <f>'d)Pers.Técnico'!AU99</f>
        <v>0</v>
      </c>
      <c r="AX140" s="3">
        <f>'d)Pers.Técnico'!AV99</f>
        <v>0</v>
      </c>
      <c r="AY140" s="3">
        <f>'d)Pers.Técnico'!AW99</f>
        <v>0</v>
      </c>
      <c r="AZ140" s="3">
        <f>'d)Pers.Técnico'!AX99</f>
        <v>0</v>
      </c>
      <c r="BA140" s="1">
        <f>'d)Pers.Técnico'!AY99</f>
        <v>0</v>
      </c>
      <c r="BB140" s="60">
        <f>'d)Pers.Técnico'!AZ99</f>
        <v>0</v>
      </c>
      <c r="BC140" s="61">
        <f>'d)Pers.Técnico'!BA99</f>
        <v>0</v>
      </c>
      <c r="BD140" s="3">
        <f>'d)Pers.Técnico'!BB99</f>
        <v>0</v>
      </c>
      <c r="BE140" s="3">
        <f>'d)Pers.Técnico'!BC99</f>
        <v>0</v>
      </c>
      <c r="BF140" s="3">
        <f>'d)Pers.Técnico'!BD99</f>
        <v>0</v>
      </c>
      <c r="BG140" s="3">
        <f>'d)Pers.Técnico'!BE99</f>
        <v>0</v>
      </c>
      <c r="BH140" s="3">
        <f>'d)Pers.Técnico'!BF99</f>
        <v>0</v>
      </c>
      <c r="BI140" s="3">
        <f>'d)Pers.Técnico'!BG99</f>
        <v>0</v>
      </c>
      <c r="BJ140" s="3">
        <f>'d)Pers.Técnico'!BH99</f>
        <v>0</v>
      </c>
      <c r="BK140" s="3">
        <f>'d)Pers.Técnico'!BI99</f>
        <v>0</v>
      </c>
      <c r="BL140" s="3">
        <f>'d)Pers.Técnico'!BJ99</f>
        <v>0</v>
      </c>
      <c r="BM140" s="3">
        <f>'d)Pers.Técnico'!BK99</f>
        <v>0</v>
      </c>
      <c r="BN140" s="14">
        <f>'d)Pers.Técnico'!BL99</f>
        <v>0</v>
      </c>
    </row>
    <row r="141" spans="1:66">
      <c r="A141" s="67"/>
      <c r="B141" s="46" t="str">
        <f>+'d)Pers.Técnico'!B99</f>
        <v/>
      </c>
      <c r="C141" s="127" t="str">
        <f>'d)Pers.Técnico'!C99</f>
        <v/>
      </c>
      <c r="D141" s="52">
        <f>SUM(G140:BN140)</f>
        <v>0</v>
      </c>
      <c r="E141" s="7">
        <f>IF('a)Plantilla'!C49&gt;0,'a)Plantilla'!D49/30,0)</f>
        <v>0</v>
      </c>
      <c r="F141" s="7">
        <f>SUM(G141:BN141)</f>
        <v>0</v>
      </c>
      <c r="G141" s="2">
        <f>IF(TipoProgramaPersonalTecnico=1,$E141*'a)Plantilla'!$C49*Programa!D$13,IF(TipoProgramaPersonalTecnico=2,$E141*G140,$E141/Hjor*G140))</f>
        <v>0</v>
      </c>
      <c r="H141" s="2">
        <f>IF(TipoProgramaPersonalTecnico=1,$E141*'a)Plantilla'!$C49*Programa!D$14,IF(TipoProgramaPersonalTecnico=2,$E141*H140,$E141/Hjor*H140))</f>
        <v>0</v>
      </c>
      <c r="I141" s="2">
        <f>IF(TipoProgramaPersonalTecnico=1,$E141*'a)Plantilla'!$C49*Programa!D$15,IF(TipoProgramaPersonalTecnico=2,$E141*I140,$E141/Hjor*I140))</f>
        <v>0</v>
      </c>
      <c r="J141" s="2">
        <f>IF(TipoProgramaPersonalTecnico=1,$E141*'a)Plantilla'!$C49*Programa!D$16,IF(TipoProgramaPersonalTecnico=2,$E141*J140,$E141/Hjor*J140))</f>
        <v>0</v>
      </c>
      <c r="K141" s="2">
        <f>IF(TipoProgramaPersonalTecnico=1,$E141*'a)Plantilla'!$C49*Programa!D$17,IF(TipoProgramaPersonalTecnico=2,$E141*K140,$E141/Hjor*K140))</f>
        <v>0</v>
      </c>
      <c r="L141" s="2">
        <f>IF(TipoProgramaPersonalTecnico=1,$E141*'a)Plantilla'!$C49*Programa!D$18,IF(TipoProgramaPersonalTecnico=2,$E141*L140,$E141/Hjor*L140))</f>
        <v>0</v>
      </c>
      <c r="M141" s="2">
        <f>IF(TipoProgramaPersonalTecnico=1,$E141*'a)Plantilla'!$C49*Programa!D$19,IF(TipoProgramaPersonalTecnico=2,$E141*M140,$E141/Hjor*M140))</f>
        <v>0</v>
      </c>
      <c r="N141" s="2">
        <f>IF(TipoProgramaPersonalTecnico=1,$E141*'a)Plantilla'!$C49*Programa!D$20,IF(TipoProgramaPersonalTecnico=2,$E141*N140,$E141/Hjor*N140))</f>
        <v>0</v>
      </c>
      <c r="O141" s="2">
        <f>IF(TipoProgramaPersonalTecnico=1,$E141*'a)Plantilla'!$C49*Programa!D$21,IF(TipoProgramaPersonalTecnico=2,$E141*O140,$E141/Hjor*O140))</f>
        <v>0</v>
      </c>
      <c r="P141" s="2">
        <f>IF(TipoProgramaPersonalTecnico=1,$E141*'a)Plantilla'!$C49*Programa!D$22,IF(TipoProgramaPersonalTecnico=2,$E141*P140,$E141/Hjor*P140))</f>
        <v>0</v>
      </c>
      <c r="Q141" s="2">
        <f>IF(TipoProgramaPersonalTecnico=1,$E141*'a)Plantilla'!$C49*Programa!D$23,IF(TipoProgramaPersonalTecnico=2,$E141*Q140,$E141/Hjor*Q140))</f>
        <v>0</v>
      </c>
      <c r="R141" s="12">
        <f>IF(TipoProgramaPersonalTecnico=1,$E141*'a)Plantilla'!$C49*Programa!D$24,IF(TipoProgramaPersonalTecnico=2,$E141*R140,$E141/Hjor*R140))</f>
        <v>0</v>
      </c>
      <c r="S141" s="7">
        <f>IF(TipoProgramaPersonalTecnico=1,$E141*'a)Plantilla'!$C49*Programa!D$25,IF(TipoProgramaPersonalTecnico=2,$E141*S140,$E141/Hjor*S140))</f>
        <v>0</v>
      </c>
      <c r="T141" s="2">
        <f>IF(TipoProgramaPersonalTecnico=1,$E141*'a)Plantilla'!$C49*Programa!D$26,IF(TipoProgramaPersonalTecnico=2,$E141*T140,$E141/Hjor*T140))</f>
        <v>0</v>
      </c>
      <c r="U141" s="2">
        <f>IF(TipoProgramaPersonalTecnico=1,$E141*'a)Plantilla'!$C49*Programa!D$27,IF(TipoProgramaPersonalTecnico=2,$E141*U140,$E141/Hjor*U140))</f>
        <v>0</v>
      </c>
      <c r="V141" s="2">
        <f>IF(TipoProgramaPersonalTecnico=1,$E141*'a)Plantilla'!$C49*Programa!D$28,IF(TipoProgramaPersonalTecnico=2,$E141*V140,$E141/Hjor*V140))</f>
        <v>0</v>
      </c>
      <c r="W141" s="2">
        <f>IF(TipoProgramaPersonalTecnico=1,$E141*'a)Plantilla'!$C49*Programa!D$29,IF(TipoProgramaPersonalTecnico=2,$E141*W140,$E141/Hjor*W140))</f>
        <v>0</v>
      </c>
      <c r="X141" s="2">
        <f>IF(TipoProgramaPersonalTecnico=1,$E141*'a)Plantilla'!$C49*Programa!D$30,IF(TipoProgramaPersonalTecnico=2,$E141*X140,$E141/Hjor*X140))</f>
        <v>0</v>
      </c>
      <c r="Y141" s="2">
        <f>IF(TipoProgramaPersonalTecnico=1,$E141*'a)Plantilla'!$C49*Programa!D$31,IF(TipoProgramaPersonalTecnico=2,$E141*Y140,$E141/Hjor*Y140))</f>
        <v>0</v>
      </c>
      <c r="Z141" s="2">
        <f>IF(TipoProgramaPersonalTecnico=1,$E141*'a)Plantilla'!$C49*Programa!D$32,IF(TipoProgramaPersonalTecnico=2,$E141*Z140,$E141/Hjor*Z140))</f>
        <v>0</v>
      </c>
      <c r="AA141" s="2">
        <f>IF(TipoProgramaPersonalTecnico=1,$E141*'a)Plantilla'!$C49*Programa!D$33,IF(TipoProgramaPersonalTecnico=2,$E141*AA140,$E141/Hjor*AA140))</f>
        <v>0</v>
      </c>
      <c r="AB141" s="2">
        <f>IF(TipoProgramaPersonalTecnico=1,$E141*'a)Plantilla'!$C49*Programa!D$34,IF(TipoProgramaPersonalTecnico=2,$E141*AB140,$E141/Hjor*AB140))</f>
        <v>0</v>
      </c>
      <c r="AC141" s="2">
        <f>IF(TipoProgramaPersonalTecnico=1,$E141*'a)Plantilla'!$C49*Programa!D$35,IF(TipoProgramaPersonalTecnico=2,$E141*AC140,$E141/Hjor*AC140))</f>
        <v>0</v>
      </c>
      <c r="AD141" s="12">
        <f>IF(TipoProgramaPersonalTecnico=1,$E141*'a)Plantilla'!$C49*Programa!D$36,IF(TipoProgramaPersonalTecnico=2,$E141*AD140,$E141/Hjor*AD140))</f>
        <v>0</v>
      </c>
      <c r="AE141" s="7">
        <f>IF(TipoProgramaPersonalTecnico=1,$E141*'a)Plantilla'!$C49*Programa!D$37,IF(TipoProgramaPersonalTecnico=2,$E141*AE140,$E141/Hjor*AE140))</f>
        <v>0</v>
      </c>
      <c r="AF141" s="2">
        <f>IF(TipoProgramaPersonalTecnico=1,$E141*'a)Plantilla'!$C49*Programa!D$38,IF(TipoProgramaPersonalTecnico=2,$E141*AF140,$E141/Hjor*AF140))</f>
        <v>0</v>
      </c>
      <c r="AG141" s="2">
        <f>IF(TipoProgramaPersonalTecnico=1,$E141*'a)Plantilla'!$C49*Programa!D$39,IF(TipoProgramaPersonalTecnico=2,$E141*AG140,$E141/Hjor*AG140))</f>
        <v>0</v>
      </c>
      <c r="AH141" s="2">
        <f>IF(TipoProgramaPersonalTecnico=1,$E141*'a)Plantilla'!$C49*Programa!D$40,IF(TipoProgramaPersonalTecnico=2,$E141*AH140,$E141/Hjor*AH140))</f>
        <v>0</v>
      </c>
      <c r="AI141" s="2">
        <f>IF(TipoProgramaPersonalTecnico=1,$E141*'a)Plantilla'!$C49*Programa!D$41,IF(TipoProgramaPersonalTecnico=2,$E141*AI140,$E141/Hjor*AI140))</f>
        <v>0</v>
      </c>
      <c r="AJ141" s="2">
        <f>IF(TipoProgramaPersonalTecnico=1,$E141*'a)Plantilla'!$C49*Programa!D$42,IF(TipoProgramaPersonalTecnico=2,$E141*AJ140,$E141/Hjor*AJ140))</f>
        <v>0</v>
      </c>
      <c r="AK141" s="2">
        <f>IF(TipoProgramaPersonalTecnico=1,$E141*'a)Plantilla'!$C49*Programa!D$43,IF(TipoProgramaPersonalTecnico=2,$E141*AK140,$E141/Hjor*AK140))</f>
        <v>0</v>
      </c>
      <c r="AL141" s="2">
        <f>IF(TipoProgramaPersonalTecnico=1,$E141*'a)Plantilla'!$C49*Programa!D$44,IF(TipoProgramaPersonalTecnico=2,$E141*AL140,$E141/Hjor*AL140))</f>
        <v>0</v>
      </c>
      <c r="AM141" s="2">
        <f>IF(TipoProgramaPersonalTecnico=1,$E141*'a)Plantilla'!$C49*Programa!D$45,IF(TipoProgramaPersonalTecnico=2,$E141*AM140,$E141/Hjor*AM140))</f>
        <v>0</v>
      </c>
      <c r="AN141" s="2">
        <f>IF(TipoProgramaPersonalTecnico=1,$E141*'a)Plantilla'!$C49*Programa!D$46,IF(TipoProgramaPersonalTecnico=2,$E141*AN140,$E141/Hjor*AN140))</f>
        <v>0</v>
      </c>
      <c r="AO141" s="2">
        <f>IF(TipoProgramaPersonalTecnico=1,$E141*'a)Plantilla'!$C49*Programa!D$47,IF(TipoProgramaPersonalTecnico=2,$E141*AO140,$E141/Hjor*AO140))</f>
        <v>0</v>
      </c>
      <c r="AP141" s="12">
        <f>IF(TipoProgramaPersonalTecnico=1,$E141*'a)Plantilla'!$C49*Programa!D$48,IF(TipoProgramaPersonalTecnico=2,$E141*AP140,$E141/Hjor*AP140))</f>
        <v>0</v>
      </c>
      <c r="AQ141" s="7">
        <f>IF(TipoProgramaPersonalTecnico=1,$E141*'a)Plantilla'!$C49*Programa!D$49,IF(TipoProgramaPersonalTecnico=2,$E141*AQ140,$E141/Hjor*AQ140))</f>
        <v>0</v>
      </c>
      <c r="AR141" s="2">
        <f>IF(TipoProgramaPersonalTecnico=1,$E141*'a)Plantilla'!$C49*Programa!D$50,IF(TipoProgramaPersonalTecnico=2,$E141*AR140,$E141/Hjor*AR140))</f>
        <v>0</v>
      </c>
      <c r="AS141" s="2">
        <f>IF(TipoProgramaPersonalTecnico=1,$E141*'a)Plantilla'!$C49*Programa!D$51,IF(TipoProgramaPersonalTecnico=2,$E141*AS140,$E141/Hjor*AS140))</f>
        <v>0</v>
      </c>
      <c r="AT141" s="2">
        <f>IF(TipoProgramaPersonalTecnico=1,$E141*'a)Plantilla'!$C49*Programa!D$52,IF(TipoProgramaPersonalTecnico=2,$E141*AT140,$E141/Hjor*AT140))</f>
        <v>0</v>
      </c>
      <c r="AU141" s="2">
        <f>IF(TipoProgramaPersonalTecnico=1,$E141*'a)Plantilla'!$C49*Programa!D$53,IF(TipoProgramaPersonalTecnico=2,$E141*AU140,$E141/Hjor*AU140))</f>
        <v>0</v>
      </c>
      <c r="AV141" s="2">
        <f>IF(TipoProgramaPersonalTecnico=1,$E141*'a)Plantilla'!$C49*Programa!D$54,IF(TipoProgramaPersonalTecnico=2,$E141*AV140,$E141/Hjor*AV140))</f>
        <v>0</v>
      </c>
      <c r="AW141" s="2">
        <f>IF(TipoProgramaPersonalTecnico=1,$E141*'a)Plantilla'!$C49*Programa!D$55,IF(TipoProgramaPersonalTecnico=2,$E141*AW140,$E141/Hjor*AW140))</f>
        <v>0</v>
      </c>
      <c r="AX141" s="2">
        <f>IF(TipoProgramaPersonalTecnico=1,$E141*'a)Plantilla'!$C49*Programa!D$56,IF(TipoProgramaPersonalTecnico=2,$E141*AX140,$E141/Hjor*AX140))</f>
        <v>0</v>
      </c>
      <c r="AY141" s="2">
        <f>IF(TipoProgramaPersonalTecnico=1,$E141*'a)Plantilla'!$C49*Programa!D$57,IF(TipoProgramaPersonalTecnico=2,$E141*AY140,$E141/Hjor*AY140))</f>
        <v>0</v>
      </c>
      <c r="AZ141" s="2">
        <f>IF(TipoProgramaPersonalTecnico=1,$E141*'a)Plantilla'!$C49*Programa!D$58,IF(TipoProgramaPersonalTecnico=2,$E141*AZ140,$E141/Hjor*AZ140))</f>
        <v>0</v>
      </c>
      <c r="BA141" s="55">
        <f>IF(TipoProgramaPersonalTecnico=1,$E141*'a)Plantilla'!$C49*Programa!D$59,IF(TipoProgramaPersonalTecnico=2,$E141*BA140,$E141/Hjor*BA140))</f>
        <v>0</v>
      </c>
      <c r="BB141" s="56">
        <f>IF(TipoProgramaPersonalTecnico=1,$E141*'a)Plantilla'!$C49*Programa!D$60,IF(TipoProgramaPersonalTecnico=2,$E141*BB140,$E141/Hjor*BB140))</f>
        <v>0</v>
      </c>
      <c r="BC141" s="53">
        <f>IF(TipoProgramaPersonalTecnico=1,$E141*'a)Plantilla'!$C49*Programa!D$61,IF(TipoProgramaPersonalTecnico=2,$E141*BC140,$E141/Hjor*BC140))</f>
        <v>0</v>
      </c>
      <c r="BD141" s="2">
        <f>IF(TipoProgramaPersonalTecnico=1,$E141*'a)Plantilla'!$C49*Programa!D$62,IF(TipoProgramaPersonalTecnico=2,$E141*BD140,$E141/Hjor*BD140))</f>
        <v>0</v>
      </c>
      <c r="BE141" s="2">
        <f>IF(TipoProgramaPersonalTecnico=1,$E141*'a)Plantilla'!$C49*Programa!D$63,IF(TipoProgramaPersonalTecnico=2,$E141*BE140,$E141/Hjor*BE140))</f>
        <v>0</v>
      </c>
      <c r="BF141" s="2">
        <f>IF(TipoProgramaPersonalTecnico=1,$E141*'a)Plantilla'!$C49*Programa!D$64,IF(TipoProgramaPersonalTecnico=2,$E141*BF140,$E141/Hjor*BF140))</f>
        <v>0</v>
      </c>
      <c r="BG141" s="2">
        <f>IF(TipoProgramaPersonalTecnico=1,$E141*'a)Plantilla'!$C49*Programa!D$65,IF(TipoProgramaPersonalTecnico=2,$E141*BG140,$E141/Hjor*BG140))</f>
        <v>0</v>
      </c>
      <c r="BH141" s="2">
        <f>IF(TipoProgramaPersonalTecnico=1,$E141*'a)Plantilla'!$C49*Programa!D$66,IF(TipoProgramaPersonalTecnico=2,$E141*BH140,$E141/Hjor*BH140))</f>
        <v>0</v>
      </c>
      <c r="BI141" s="2">
        <f>IF(TipoProgramaPersonalTecnico=1,$E141*'a)Plantilla'!$C49*Programa!D$67,IF(TipoProgramaPersonalTecnico=2,$E141*BI140,$E141/Hjor*BI140))</f>
        <v>0</v>
      </c>
      <c r="BJ141" s="2">
        <f>IF(TipoProgramaPersonalTecnico=1,$E141*'a)Plantilla'!$C49*Programa!D$68,IF(TipoProgramaPersonalTecnico=2,$E141*BJ140,$E141/Hjor*BJ140))</f>
        <v>0</v>
      </c>
      <c r="BK141" s="2">
        <f>IF(TipoProgramaPersonalTecnico=1,$E141*'a)Plantilla'!$C49*Programa!D$69,IF(TipoProgramaPersonalTecnico=2,$E141*BK140,$E141/Hjor*BK140))</f>
        <v>0</v>
      </c>
      <c r="BL141" s="2">
        <f>IF(TipoProgramaPersonalTecnico=1,$E141*'a)Plantilla'!$C49*Programa!D$70,IF(TipoProgramaPersonalTecnico=2,$E141*BL140,$E141/Hjor*BL140))</f>
        <v>0</v>
      </c>
      <c r="BM141" s="2">
        <f>IF(TipoProgramaPersonalTecnico=1,$E141*'a)Plantilla'!$C49*Programa!D$71,IF(TipoProgramaPersonalTecnico=2,$E141*BM140,$E141/Hjor*BM140))</f>
        <v>0</v>
      </c>
      <c r="BN141" s="12">
        <f>IF(TipoProgramaPersonalTecnico=1,$E141*'a)Plantilla'!$C49*Programa!D$72,IF(TipoProgramaPersonalTecnico=2,$E141*BN140,$E141/Hjor*BN140))</f>
        <v>0</v>
      </c>
    </row>
    <row r="142" spans="1:66" ht="7.5" customHeight="1">
      <c r="A142" s="67"/>
      <c r="B142" s="19"/>
      <c r="C142" s="127"/>
      <c r="D142" s="54"/>
      <c r="E142" s="19"/>
      <c r="F142" s="19"/>
      <c r="G142" s="1" t="s">
        <v>168</v>
      </c>
      <c r="H142" s="1" t="s">
        <v>168</v>
      </c>
      <c r="I142" s="1" t="s">
        <v>168</v>
      </c>
      <c r="J142" s="1" t="s">
        <v>168</v>
      </c>
      <c r="K142" s="1" t="s">
        <v>168</v>
      </c>
      <c r="L142" s="1" t="s">
        <v>168</v>
      </c>
      <c r="M142" s="1" t="s">
        <v>168</v>
      </c>
      <c r="N142" s="1" t="s">
        <v>168</v>
      </c>
      <c r="O142" s="1" t="s">
        <v>168</v>
      </c>
      <c r="P142" s="1" t="s">
        <v>168</v>
      </c>
      <c r="Q142" s="1" t="s">
        <v>168</v>
      </c>
      <c r="R142" s="8" t="s">
        <v>168</v>
      </c>
      <c r="S142" s="13" t="s">
        <v>168</v>
      </c>
      <c r="T142" s="1" t="s">
        <v>168</v>
      </c>
      <c r="U142" s="1" t="s">
        <v>168</v>
      </c>
      <c r="V142" s="1" t="s">
        <v>168</v>
      </c>
      <c r="W142" s="1" t="s">
        <v>168</v>
      </c>
      <c r="X142" s="1" t="s">
        <v>168</v>
      </c>
      <c r="Y142" s="1" t="s">
        <v>168</v>
      </c>
      <c r="Z142" s="1" t="s">
        <v>168</v>
      </c>
      <c r="AA142" s="1" t="s">
        <v>168</v>
      </c>
      <c r="AB142" s="1" t="s">
        <v>168</v>
      </c>
      <c r="AC142" s="1" t="s">
        <v>168</v>
      </c>
      <c r="AD142" s="8" t="s">
        <v>168</v>
      </c>
      <c r="AE142" s="13" t="s">
        <v>168</v>
      </c>
      <c r="AF142" s="1" t="s">
        <v>168</v>
      </c>
      <c r="AG142" s="1" t="s">
        <v>168</v>
      </c>
      <c r="AH142" s="1" t="s">
        <v>168</v>
      </c>
      <c r="AI142" s="1" t="s">
        <v>168</v>
      </c>
      <c r="AJ142" s="1" t="s">
        <v>168</v>
      </c>
      <c r="AK142" s="1" t="s">
        <v>168</v>
      </c>
      <c r="AL142" s="1" t="s">
        <v>168</v>
      </c>
      <c r="AM142" s="1" t="s">
        <v>168</v>
      </c>
      <c r="AN142" s="1" t="s">
        <v>168</v>
      </c>
      <c r="AO142" s="1" t="s">
        <v>168</v>
      </c>
      <c r="AP142" s="8" t="s">
        <v>168</v>
      </c>
      <c r="AQ142" s="13" t="s">
        <v>168</v>
      </c>
      <c r="AR142" s="1" t="s">
        <v>168</v>
      </c>
      <c r="AS142" s="1" t="s">
        <v>168</v>
      </c>
      <c r="AT142" s="1" t="s">
        <v>168</v>
      </c>
      <c r="AU142" s="1" t="s">
        <v>168</v>
      </c>
      <c r="AV142" s="1" t="s">
        <v>168</v>
      </c>
      <c r="AW142" s="1" t="s">
        <v>168</v>
      </c>
      <c r="AX142" s="1" t="s">
        <v>168</v>
      </c>
      <c r="AY142" s="1" t="s">
        <v>168</v>
      </c>
      <c r="AZ142" s="1" t="s">
        <v>168</v>
      </c>
      <c r="BA142" s="1" t="s">
        <v>168</v>
      </c>
      <c r="BB142" s="8" t="s">
        <v>168</v>
      </c>
      <c r="BC142" s="13" t="s">
        <v>168</v>
      </c>
      <c r="BD142" s="1" t="s">
        <v>168</v>
      </c>
      <c r="BE142" s="1" t="s">
        <v>168</v>
      </c>
      <c r="BF142" s="1" t="s">
        <v>168</v>
      </c>
      <c r="BG142" s="1" t="s">
        <v>168</v>
      </c>
      <c r="BH142" s="1" t="s">
        <v>168</v>
      </c>
      <c r="BI142" s="1" t="s">
        <v>168</v>
      </c>
      <c r="BJ142" s="1" t="s">
        <v>168</v>
      </c>
      <c r="BK142" s="1" t="s">
        <v>168</v>
      </c>
      <c r="BL142" s="1" t="s">
        <v>168</v>
      </c>
      <c r="BM142" s="1" t="s">
        <v>168</v>
      </c>
      <c r="BN142" s="8" t="s">
        <v>168</v>
      </c>
    </row>
    <row r="143" spans="1:66">
      <c r="A143" s="67"/>
      <c r="B143" s="46"/>
      <c r="C143" s="127"/>
      <c r="D143" s="52"/>
      <c r="E143" s="7"/>
      <c r="F143" s="7"/>
      <c r="G143" s="3">
        <f>'d)Pers.Técnico'!E101</f>
        <v>0</v>
      </c>
      <c r="H143" s="3">
        <f>'d)Pers.Técnico'!F101</f>
        <v>0</v>
      </c>
      <c r="I143" s="3">
        <f>'d)Pers.Técnico'!G101</f>
        <v>0</v>
      </c>
      <c r="J143" s="3">
        <f>'d)Pers.Técnico'!H101</f>
        <v>0</v>
      </c>
      <c r="K143" s="3">
        <f>'d)Pers.Técnico'!I101</f>
        <v>0</v>
      </c>
      <c r="L143" s="3">
        <f>'d)Pers.Técnico'!J101</f>
        <v>0</v>
      </c>
      <c r="M143" s="3">
        <f>'d)Pers.Técnico'!K101</f>
        <v>0</v>
      </c>
      <c r="N143" s="3">
        <f>'d)Pers.Técnico'!L101</f>
        <v>0</v>
      </c>
      <c r="O143" s="3">
        <f>'d)Pers.Técnico'!M101</f>
        <v>0</v>
      </c>
      <c r="P143" s="3">
        <f>'d)Pers.Técnico'!N101</f>
        <v>0</v>
      </c>
      <c r="Q143" s="3">
        <f>'d)Pers.Técnico'!O101</f>
        <v>0</v>
      </c>
      <c r="R143" s="14">
        <f>'d)Pers.Técnico'!P101</f>
        <v>0</v>
      </c>
      <c r="S143" s="20">
        <f>'d)Pers.Técnico'!Q101</f>
        <v>0</v>
      </c>
      <c r="T143" s="3">
        <f>'d)Pers.Técnico'!R101</f>
        <v>0</v>
      </c>
      <c r="U143" s="3">
        <f>'d)Pers.Técnico'!S101</f>
        <v>0</v>
      </c>
      <c r="V143" s="3">
        <f>'d)Pers.Técnico'!T101</f>
        <v>0</v>
      </c>
      <c r="W143" s="3">
        <f>'d)Pers.Técnico'!U101</f>
        <v>0</v>
      </c>
      <c r="X143" s="3">
        <f>'d)Pers.Técnico'!V101</f>
        <v>0</v>
      </c>
      <c r="Y143" s="3">
        <f>'d)Pers.Técnico'!W101</f>
        <v>0</v>
      </c>
      <c r="Z143" s="3">
        <f>'d)Pers.Técnico'!X101</f>
        <v>0</v>
      </c>
      <c r="AA143" s="3">
        <f>'d)Pers.Técnico'!Y101</f>
        <v>0</v>
      </c>
      <c r="AB143" s="3">
        <f>'d)Pers.Técnico'!Z101</f>
        <v>0</v>
      </c>
      <c r="AC143" s="3">
        <f>'d)Pers.Técnico'!AA101</f>
        <v>0</v>
      </c>
      <c r="AD143" s="14">
        <f>'d)Pers.Técnico'!AB101</f>
        <v>0</v>
      </c>
      <c r="AE143" s="20">
        <f>'d)Pers.Técnico'!AC101</f>
        <v>0</v>
      </c>
      <c r="AF143" s="3">
        <f>'d)Pers.Técnico'!AD101</f>
        <v>0</v>
      </c>
      <c r="AG143" s="3">
        <f>'d)Pers.Técnico'!AE101</f>
        <v>0</v>
      </c>
      <c r="AH143" s="3">
        <f>'d)Pers.Técnico'!AF101</f>
        <v>0</v>
      </c>
      <c r="AI143" s="3">
        <f>'d)Pers.Técnico'!AG101</f>
        <v>0</v>
      </c>
      <c r="AJ143" s="3">
        <f>'d)Pers.Técnico'!AH101</f>
        <v>0</v>
      </c>
      <c r="AK143" s="3">
        <f>'d)Pers.Técnico'!AI101</f>
        <v>0</v>
      </c>
      <c r="AL143" s="3">
        <f>'d)Pers.Técnico'!AJ101</f>
        <v>0</v>
      </c>
      <c r="AM143" s="3">
        <f>'d)Pers.Técnico'!AK101</f>
        <v>0</v>
      </c>
      <c r="AN143" s="3">
        <f>'d)Pers.Técnico'!AL101</f>
        <v>0</v>
      </c>
      <c r="AO143" s="3">
        <f>'d)Pers.Técnico'!AM101</f>
        <v>0</v>
      </c>
      <c r="AP143" s="14">
        <f>'d)Pers.Técnico'!AN101</f>
        <v>0</v>
      </c>
      <c r="AQ143" s="20">
        <f>'d)Pers.Técnico'!AO101</f>
        <v>0</v>
      </c>
      <c r="AR143" s="3">
        <f>'d)Pers.Técnico'!AP101</f>
        <v>0</v>
      </c>
      <c r="AS143" s="3">
        <f>'d)Pers.Técnico'!AQ101</f>
        <v>0</v>
      </c>
      <c r="AT143" s="3">
        <f>'d)Pers.Técnico'!AR101</f>
        <v>0</v>
      </c>
      <c r="AU143" s="3">
        <f>'d)Pers.Técnico'!AS101</f>
        <v>0</v>
      </c>
      <c r="AV143" s="3">
        <f>'d)Pers.Técnico'!AT101</f>
        <v>0</v>
      </c>
      <c r="AW143" s="3">
        <f>'d)Pers.Técnico'!AU101</f>
        <v>0</v>
      </c>
      <c r="AX143" s="3">
        <f>'d)Pers.Técnico'!AV101</f>
        <v>0</v>
      </c>
      <c r="AY143" s="3">
        <f>'d)Pers.Técnico'!AW101</f>
        <v>0</v>
      </c>
      <c r="AZ143" s="3">
        <f>'d)Pers.Técnico'!AX101</f>
        <v>0</v>
      </c>
      <c r="BA143" s="1">
        <f>'d)Pers.Técnico'!AY101</f>
        <v>0</v>
      </c>
      <c r="BB143" s="60">
        <f>'d)Pers.Técnico'!AZ101</f>
        <v>0</v>
      </c>
      <c r="BC143" s="61">
        <f>'d)Pers.Técnico'!BA101</f>
        <v>0</v>
      </c>
      <c r="BD143" s="3">
        <f>'d)Pers.Técnico'!BB101</f>
        <v>0</v>
      </c>
      <c r="BE143" s="3">
        <f>'d)Pers.Técnico'!BC101</f>
        <v>0</v>
      </c>
      <c r="BF143" s="3">
        <f>'d)Pers.Técnico'!BD101</f>
        <v>0</v>
      </c>
      <c r="BG143" s="3">
        <f>'d)Pers.Técnico'!BE101</f>
        <v>0</v>
      </c>
      <c r="BH143" s="3">
        <f>'d)Pers.Técnico'!BF101</f>
        <v>0</v>
      </c>
      <c r="BI143" s="3">
        <f>'d)Pers.Técnico'!BG101</f>
        <v>0</v>
      </c>
      <c r="BJ143" s="3">
        <f>'d)Pers.Técnico'!BH101</f>
        <v>0</v>
      </c>
      <c r="BK143" s="3">
        <f>'d)Pers.Técnico'!BI101</f>
        <v>0</v>
      </c>
      <c r="BL143" s="3">
        <f>'d)Pers.Técnico'!BJ101</f>
        <v>0</v>
      </c>
      <c r="BM143" s="3">
        <f>'d)Pers.Técnico'!BK101</f>
        <v>0</v>
      </c>
      <c r="BN143" s="14">
        <f>'d)Pers.Técnico'!BL101</f>
        <v>0</v>
      </c>
    </row>
    <row r="144" spans="1:66">
      <c r="A144" s="67"/>
      <c r="B144" s="46" t="str">
        <f>+'d)Pers.Técnico'!B101</f>
        <v/>
      </c>
      <c r="C144" s="127" t="str">
        <f>'d)Pers.Técnico'!C101</f>
        <v/>
      </c>
      <c r="D144" s="52">
        <f>SUM(G143:BN143)</f>
        <v>0</v>
      </c>
      <c r="E144" s="7">
        <f>IF('a)Plantilla'!C50&gt;0,'a)Plantilla'!D50/30,0)</f>
        <v>0</v>
      </c>
      <c r="F144" s="7">
        <f>SUM(G144:BN144)</f>
        <v>0</v>
      </c>
      <c r="G144" s="2">
        <f>IF(TipoProgramaPersonalTecnico=1,$E144*'a)Plantilla'!$C50*Programa!D$13,IF(TipoProgramaPersonalTecnico=2,$E144*G143,$E144/Hjor*G143))</f>
        <v>0</v>
      </c>
      <c r="H144" s="2">
        <f>IF(TipoProgramaPersonalTecnico=1,$E144*'a)Plantilla'!$C50*Programa!D$14,IF(TipoProgramaPersonalTecnico=2,$E144*H143,$E144/Hjor*H143))</f>
        <v>0</v>
      </c>
      <c r="I144" s="2">
        <f>IF(TipoProgramaPersonalTecnico=1,$E144*'a)Plantilla'!$C50*Programa!D$15,IF(TipoProgramaPersonalTecnico=2,$E144*I143,$E144/Hjor*I143))</f>
        <v>0</v>
      </c>
      <c r="J144" s="2">
        <f>IF(TipoProgramaPersonalTecnico=1,$E144*'a)Plantilla'!$C50*Programa!D$16,IF(TipoProgramaPersonalTecnico=2,$E144*J143,$E144/Hjor*J143))</f>
        <v>0</v>
      </c>
      <c r="K144" s="2">
        <f>IF(TipoProgramaPersonalTecnico=1,$E144*'a)Plantilla'!$C50*Programa!D$17,IF(TipoProgramaPersonalTecnico=2,$E144*K143,$E144/Hjor*K143))</f>
        <v>0</v>
      </c>
      <c r="L144" s="2">
        <f>IF(TipoProgramaPersonalTecnico=1,$E144*'a)Plantilla'!$C50*Programa!D$18,IF(TipoProgramaPersonalTecnico=2,$E144*L143,$E144/Hjor*L143))</f>
        <v>0</v>
      </c>
      <c r="M144" s="2">
        <f>IF(TipoProgramaPersonalTecnico=1,$E144*'a)Plantilla'!$C50*Programa!D$19,IF(TipoProgramaPersonalTecnico=2,$E144*M143,$E144/Hjor*M143))</f>
        <v>0</v>
      </c>
      <c r="N144" s="2">
        <f>IF(TipoProgramaPersonalTecnico=1,$E144*'a)Plantilla'!$C50*Programa!D$20,IF(TipoProgramaPersonalTecnico=2,$E144*N143,$E144/Hjor*N143))</f>
        <v>0</v>
      </c>
      <c r="O144" s="2">
        <f>IF(TipoProgramaPersonalTecnico=1,$E144*'a)Plantilla'!$C50*Programa!D$21,IF(TipoProgramaPersonalTecnico=2,$E144*O143,$E144/Hjor*O143))</f>
        <v>0</v>
      </c>
      <c r="P144" s="2">
        <f>IF(TipoProgramaPersonalTecnico=1,$E144*'a)Plantilla'!$C50*Programa!D$22,IF(TipoProgramaPersonalTecnico=2,$E144*P143,$E144/Hjor*P143))</f>
        <v>0</v>
      </c>
      <c r="Q144" s="2">
        <f>IF(TipoProgramaPersonalTecnico=1,$E144*'a)Plantilla'!$C50*Programa!D$23,IF(TipoProgramaPersonalTecnico=2,$E144*Q143,$E144/Hjor*Q143))</f>
        <v>0</v>
      </c>
      <c r="R144" s="12">
        <f>IF(TipoProgramaPersonalTecnico=1,$E144*'a)Plantilla'!$C50*Programa!D$24,IF(TipoProgramaPersonalTecnico=2,$E144*R143,$E144/Hjor*R143))</f>
        <v>0</v>
      </c>
      <c r="S144" s="7">
        <f>IF(TipoProgramaPersonalTecnico=1,$E144*'a)Plantilla'!$C50*Programa!D$25,IF(TipoProgramaPersonalTecnico=2,$E144*S143,$E144/Hjor*S143))</f>
        <v>0</v>
      </c>
      <c r="T144" s="2">
        <f>IF(TipoProgramaPersonalTecnico=1,$E144*'a)Plantilla'!$C50*Programa!D$26,IF(TipoProgramaPersonalTecnico=2,$E144*T143,$E144/Hjor*T143))</f>
        <v>0</v>
      </c>
      <c r="U144" s="2">
        <f>IF(TipoProgramaPersonalTecnico=1,$E144*'a)Plantilla'!$C50*Programa!D$27,IF(TipoProgramaPersonalTecnico=2,$E144*U143,$E144/Hjor*U143))</f>
        <v>0</v>
      </c>
      <c r="V144" s="2">
        <f>IF(TipoProgramaPersonalTecnico=1,$E144*'a)Plantilla'!$C50*Programa!D$28,IF(TipoProgramaPersonalTecnico=2,$E144*V143,$E144/Hjor*V143))</f>
        <v>0</v>
      </c>
      <c r="W144" s="2">
        <f>IF(TipoProgramaPersonalTecnico=1,$E144*'a)Plantilla'!$C50*Programa!D$29,IF(TipoProgramaPersonalTecnico=2,$E144*W143,$E144/Hjor*W143))</f>
        <v>0</v>
      </c>
      <c r="X144" s="2">
        <f>IF(TipoProgramaPersonalTecnico=1,$E144*'a)Plantilla'!$C50*Programa!D$30,IF(TipoProgramaPersonalTecnico=2,$E144*X143,$E144/Hjor*X143))</f>
        <v>0</v>
      </c>
      <c r="Y144" s="2">
        <f>IF(TipoProgramaPersonalTecnico=1,$E144*'a)Plantilla'!$C50*Programa!D$31,IF(TipoProgramaPersonalTecnico=2,$E144*Y143,$E144/Hjor*Y143))</f>
        <v>0</v>
      </c>
      <c r="Z144" s="2">
        <f>IF(TipoProgramaPersonalTecnico=1,$E144*'a)Plantilla'!$C50*Programa!D$32,IF(TipoProgramaPersonalTecnico=2,$E144*Z143,$E144/Hjor*Z143))</f>
        <v>0</v>
      </c>
      <c r="AA144" s="2">
        <f>IF(TipoProgramaPersonalTecnico=1,$E144*'a)Plantilla'!$C50*Programa!D$33,IF(TipoProgramaPersonalTecnico=2,$E144*AA143,$E144/Hjor*AA143))</f>
        <v>0</v>
      </c>
      <c r="AB144" s="2">
        <f>IF(TipoProgramaPersonalTecnico=1,$E144*'a)Plantilla'!$C50*Programa!D$34,IF(TipoProgramaPersonalTecnico=2,$E144*AB143,$E144/Hjor*AB143))</f>
        <v>0</v>
      </c>
      <c r="AC144" s="2">
        <f>IF(TipoProgramaPersonalTecnico=1,$E144*'a)Plantilla'!$C50*Programa!D$35,IF(TipoProgramaPersonalTecnico=2,$E144*AC143,$E144/Hjor*AC143))</f>
        <v>0</v>
      </c>
      <c r="AD144" s="12">
        <f>IF(TipoProgramaPersonalTecnico=1,$E144*'a)Plantilla'!$C50*Programa!D$36,IF(TipoProgramaPersonalTecnico=2,$E144*AD143,$E144/Hjor*AD143))</f>
        <v>0</v>
      </c>
      <c r="AE144" s="7">
        <f>IF(TipoProgramaPersonalTecnico=1,$E144*'a)Plantilla'!$C50*Programa!D$37,IF(TipoProgramaPersonalTecnico=2,$E144*AE143,$E144/Hjor*AE143))</f>
        <v>0</v>
      </c>
      <c r="AF144" s="2">
        <f>IF(TipoProgramaPersonalTecnico=1,$E144*'a)Plantilla'!$C50*Programa!D$38,IF(TipoProgramaPersonalTecnico=2,$E144*AF143,$E144/Hjor*AF143))</f>
        <v>0</v>
      </c>
      <c r="AG144" s="2">
        <f>IF(TipoProgramaPersonalTecnico=1,$E144*'a)Plantilla'!$C50*Programa!D$39,IF(TipoProgramaPersonalTecnico=2,$E144*AG143,$E144/Hjor*AG143))</f>
        <v>0</v>
      </c>
      <c r="AH144" s="2">
        <f>IF(TipoProgramaPersonalTecnico=1,$E144*'a)Plantilla'!$C50*Programa!D$40,IF(TipoProgramaPersonalTecnico=2,$E144*AH143,$E144/Hjor*AH143))</f>
        <v>0</v>
      </c>
      <c r="AI144" s="2">
        <f>IF(TipoProgramaPersonalTecnico=1,$E144*'a)Plantilla'!$C50*Programa!D$41,IF(TipoProgramaPersonalTecnico=2,$E144*AI143,$E144/Hjor*AI143))</f>
        <v>0</v>
      </c>
      <c r="AJ144" s="2">
        <f>IF(TipoProgramaPersonalTecnico=1,$E144*'a)Plantilla'!$C50*Programa!D$42,IF(TipoProgramaPersonalTecnico=2,$E144*AJ143,$E144/Hjor*AJ143))</f>
        <v>0</v>
      </c>
      <c r="AK144" s="2">
        <f>IF(TipoProgramaPersonalTecnico=1,$E144*'a)Plantilla'!$C50*Programa!D$43,IF(TipoProgramaPersonalTecnico=2,$E144*AK143,$E144/Hjor*AK143))</f>
        <v>0</v>
      </c>
      <c r="AL144" s="2">
        <f>IF(TipoProgramaPersonalTecnico=1,$E144*'a)Plantilla'!$C50*Programa!D$44,IF(TipoProgramaPersonalTecnico=2,$E144*AL143,$E144/Hjor*AL143))</f>
        <v>0</v>
      </c>
      <c r="AM144" s="2">
        <f>IF(TipoProgramaPersonalTecnico=1,$E144*'a)Plantilla'!$C50*Programa!D$45,IF(TipoProgramaPersonalTecnico=2,$E144*AM143,$E144/Hjor*AM143))</f>
        <v>0</v>
      </c>
      <c r="AN144" s="2">
        <f>IF(TipoProgramaPersonalTecnico=1,$E144*'a)Plantilla'!$C50*Programa!D$46,IF(TipoProgramaPersonalTecnico=2,$E144*AN143,$E144/Hjor*AN143))</f>
        <v>0</v>
      </c>
      <c r="AO144" s="2">
        <f>IF(TipoProgramaPersonalTecnico=1,$E144*'a)Plantilla'!$C50*Programa!D$47,IF(TipoProgramaPersonalTecnico=2,$E144*AO143,$E144/Hjor*AO143))</f>
        <v>0</v>
      </c>
      <c r="AP144" s="12">
        <f>IF(TipoProgramaPersonalTecnico=1,$E144*'a)Plantilla'!$C50*Programa!D$48,IF(TipoProgramaPersonalTecnico=2,$E144*AP143,$E144/Hjor*AP143))</f>
        <v>0</v>
      </c>
      <c r="AQ144" s="7">
        <f>IF(TipoProgramaPersonalTecnico=1,$E144*'a)Plantilla'!$C50*Programa!D$49,IF(TipoProgramaPersonalTecnico=2,$E144*AQ143,$E144/Hjor*AQ143))</f>
        <v>0</v>
      </c>
      <c r="AR144" s="2">
        <f>IF(TipoProgramaPersonalTecnico=1,$E144*'a)Plantilla'!$C50*Programa!D$50,IF(TipoProgramaPersonalTecnico=2,$E144*AR143,$E144/Hjor*AR143))</f>
        <v>0</v>
      </c>
      <c r="AS144" s="2">
        <f>IF(TipoProgramaPersonalTecnico=1,$E144*'a)Plantilla'!$C50*Programa!D$51,IF(TipoProgramaPersonalTecnico=2,$E144*AS143,$E144/Hjor*AS143))</f>
        <v>0</v>
      </c>
      <c r="AT144" s="2">
        <f>IF(TipoProgramaPersonalTecnico=1,$E144*'a)Plantilla'!$C50*Programa!D$52,IF(TipoProgramaPersonalTecnico=2,$E144*AT143,$E144/Hjor*AT143))</f>
        <v>0</v>
      </c>
      <c r="AU144" s="2">
        <f>IF(TipoProgramaPersonalTecnico=1,$E144*'a)Plantilla'!$C50*Programa!D$53,IF(TipoProgramaPersonalTecnico=2,$E144*AU143,$E144/Hjor*AU143))</f>
        <v>0</v>
      </c>
      <c r="AV144" s="2">
        <f>IF(TipoProgramaPersonalTecnico=1,$E144*'a)Plantilla'!$C50*Programa!D$54,IF(TipoProgramaPersonalTecnico=2,$E144*AV143,$E144/Hjor*AV143))</f>
        <v>0</v>
      </c>
      <c r="AW144" s="2">
        <f>IF(TipoProgramaPersonalTecnico=1,$E144*'a)Plantilla'!$C50*Programa!D$55,IF(TipoProgramaPersonalTecnico=2,$E144*AW143,$E144/Hjor*AW143))</f>
        <v>0</v>
      </c>
      <c r="AX144" s="2">
        <f>IF(TipoProgramaPersonalTecnico=1,$E144*'a)Plantilla'!$C50*Programa!D$56,IF(TipoProgramaPersonalTecnico=2,$E144*AX143,$E144/Hjor*AX143))</f>
        <v>0</v>
      </c>
      <c r="AY144" s="2">
        <f>IF(TipoProgramaPersonalTecnico=1,$E144*'a)Plantilla'!$C50*Programa!D$57,IF(TipoProgramaPersonalTecnico=2,$E144*AY143,$E144/Hjor*AY143))</f>
        <v>0</v>
      </c>
      <c r="AZ144" s="2">
        <f>IF(TipoProgramaPersonalTecnico=1,$E144*'a)Plantilla'!$C50*Programa!D$58,IF(TipoProgramaPersonalTecnico=2,$E144*AZ143,$E144/Hjor*AZ143))</f>
        <v>0</v>
      </c>
      <c r="BA144" s="55">
        <f>IF(TipoProgramaPersonalTecnico=1,$E144*'a)Plantilla'!$C50*Programa!D$59,IF(TipoProgramaPersonalTecnico=2,$E144*BA143,$E144/Hjor*BA143))</f>
        <v>0</v>
      </c>
      <c r="BB144" s="56">
        <f>IF(TipoProgramaPersonalTecnico=1,$E144*'a)Plantilla'!$C50*Programa!D$60,IF(TipoProgramaPersonalTecnico=2,$E144*BB143,$E144/Hjor*BB143))</f>
        <v>0</v>
      </c>
      <c r="BC144" s="53">
        <f>IF(TipoProgramaPersonalTecnico=1,$E144*'a)Plantilla'!$C50*Programa!D$61,IF(TipoProgramaPersonalTecnico=2,$E144*BC143,$E144/Hjor*BC143))</f>
        <v>0</v>
      </c>
      <c r="BD144" s="2">
        <f>IF(TipoProgramaPersonalTecnico=1,$E144*'a)Plantilla'!$C50*Programa!D$62,IF(TipoProgramaPersonalTecnico=2,$E144*BD143,$E144/Hjor*BD143))</f>
        <v>0</v>
      </c>
      <c r="BE144" s="2">
        <f>IF(TipoProgramaPersonalTecnico=1,$E144*'a)Plantilla'!$C50*Programa!D$63,IF(TipoProgramaPersonalTecnico=2,$E144*BE143,$E144/Hjor*BE143))</f>
        <v>0</v>
      </c>
      <c r="BF144" s="2">
        <f>IF(TipoProgramaPersonalTecnico=1,$E144*'a)Plantilla'!$C50*Programa!D$64,IF(TipoProgramaPersonalTecnico=2,$E144*BF143,$E144/Hjor*BF143))</f>
        <v>0</v>
      </c>
      <c r="BG144" s="2">
        <f>IF(TipoProgramaPersonalTecnico=1,$E144*'a)Plantilla'!$C50*Programa!D$65,IF(TipoProgramaPersonalTecnico=2,$E144*BG143,$E144/Hjor*BG143))</f>
        <v>0</v>
      </c>
      <c r="BH144" s="2">
        <f>IF(TipoProgramaPersonalTecnico=1,$E144*'a)Plantilla'!$C50*Programa!D$66,IF(TipoProgramaPersonalTecnico=2,$E144*BH143,$E144/Hjor*BH143))</f>
        <v>0</v>
      </c>
      <c r="BI144" s="2">
        <f>IF(TipoProgramaPersonalTecnico=1,$E144*'a)Plantilla'!$C50*Programa!D$67,IF(TipoProgramaPersonalTecnico=2,$E144*BI143,$E144/Hjor*BI143))</f>
        <v>0</v>
      </c>
      <c r="BJ144" s="2">
        <f>IF(TipoProgramaPersonalTecnico=1,$E144*'a)Plantilla'!$C50*Programa!D$68,IF(TipoProgramaPersonalTecnico=2,$E144*BJ143,$E144/Hjor*BJ143))</f>
        <v>0</v>
      </c>
      <c r="BK144" s="2">
        <f>IF(TipoProgramaPersonalTecnico=1,$E144*'a)Plantilla'!$C50*Programa!D$69,IF(TipoProgramaPersonalTecnico=2,$E144*BK143,$E144/Hjor*BK143))</f>
        <v>0</v>
      </c>
      <c r="BL144" s="2">
        <f>IF(TipoProgramaPersonalTecnico=1,$E144*'a)Plantilla'!$C50*Programa!D$70,IF(TipoProgramaPersonalTecnico=2,$E144*BL143,$E144/Hjor*BL143))</f>
        <v>0</v>
      </c>
      <c r="BM144" s="2">
        <f>IF(TipoProgramaPersonalTecnico=1,$E144*'a)Plantilla'!$C50*Programa!D$71,IF(TipoProgramaPersonalTecnico=2,$E144*BM143,$E144/Hjor*BM143))</f>
        <v>0</v>
      </c>
      <c r="BN144" s="12">
        <f>IF(TipoProgramaPersonalTecnico=1,$E144*'a)Plantilla'!$C50*Programa!D$72,IF(TipoProgramaPersonalTecnico=2,$E144*BN143,$E144/Hjor*BN143))</f>
        <v>0</v>
      </c>
    </row>
    <row r="145" spans="1:66" ht="7.5" customHeight="1">
      <c r="A145" s="67"/>
      <c r="B145" s="19"/>
      <c r="C145" s="127"/>
      <c r="D145" s="54"/>
      <c r="E145" s="19"/>
      <c r="F145" s="19"/>
      <c r="G145" s="1" t="s">
        <v>168</v>
      </c>
      <c r="H145" s="1" t="s">
        <v>168</v>
      </c>
      <c r="I145" s="1" t="s">
        <v>168</v>
      </c>
      <c r="J145" s="1" t="s">
        <v>168</v>
      </c>
      <c r="K145" s="1" t="s">
        <v>168</v>
      </c>
      <c r="L145" s="1" t="s">
        <v>168</v>
      </c>
      <c r="M145" s="1" t="s">
        <v>168</v>
      </c>
      <c r="N145" s="1" t="s">
        <v>168</v>
      </c>
      <c r="O145" s="1" t="s">
        <v>168</v>
      </c>
      <c r="P145" s="1" t="s">
        <v>168</v>
      </c>
      <c r="Q145" s="1" t="s">
        <v>168</v>
      </c>
      <c r="R145" s="8" t="s">
        <v>168</v>
      </c>
      <c r="S145" s="13" t="s">
        <v>168</v>
      </c>
      <c r="T145" s="1" t="s">
        <v>168</v>
      </c>
      <c r="U145" s="1" t="s">
        <v>168</v>
      </c>
      <c r="V145" s="1" t="s">
        <v>168</v>
      </c>
      <c r="W145" s="1" t="s">
        <v>168</v>
      </c>
      <c r="X145" s="1" t="s">
        <v>168</v>
      </c>
      <c r="Y145" s="1" t="s">
        <v>168</v>
      </c>
      <c r="Z145" s="1" t="s">
        <v>168</v>
      </c>
      <c r="AA145" s="1" t="s">
        <v>168</v>
      </c>
      <c r="AB145" s="1" t="s">
        <v>168</v>
      </c>
      <c r="AC145" s="1" t="s">
        <v>168</v>
      </c>
      <c r="AD145" s="8" t="s">
        <v>168</v>
      </c>
      <c r="AE145" s="13" t="s">
        <v>168</v>
      </c>
      <c r="AF145" s="1" t="s">
        <v>168</v>
      </c>
      <c r="AG145" s="1" t="s">
        <v>168</v>
      </c>
      <c r="AH145" s="1" t="s">
        <v>168</v>
      </c>
      <c r="AI145" s="1" t="s">
        <v>168</v>
      </c>
      <c r="AJ145" s="1" t="s">
        <v>168</v>
      </c>
      <c r="AK145" s="1" t="s">
        <v>168</v>
      </c>
      <c r="AL145" s="1" t="s">
        <v>168</v>
      </c>
      <c r="AM145" s="1" t="s">
        <v>168</v>
      </c>
      <c r="AN145" s="1" t="s">
        <v>168</v>
      </c>
      <c r="AO145" s="1" t="s">
        <v>168</v>
      </c>
      <c r="AP145" s="8" t="s">
        <v>168</v>
      </c>
      <c r="AQ145" s="13" t="s">
        <v>168</v>
      </c>
      <c r="AR145" s="1" t="s">
        <v>168</v>
      </c>
      <c r="AS145" s="1" t="s">
        <v>168</v>
      </c>
      <c r="AT145" s="1" t="s">
        <v>168</v>
      </c>
      <c r="AU145" s="1" t="s">
        <v>168</v>
      </c>
      <c r="AV145" s="1" t="s">
        <v>168</v>
      </c>
      <c r="AW145" s="1" t="s">
        <v>168</v>
      </c>
      <c r="AX145" s="1" t="s">
        <v>168</v>
      </c>
      <c r="AY145" s="1" t="s">
        <v>168</v>
      </c>
      <c r="AZ145" s="1" t="s">
        <v>168</v>
      </c>
      <c r="BA145" s="1" t="s">
        <v>168</v>
      </c>
      <c r="BB145" s="8" t="s">
        <v>168</v>
      </c>
      <c r="BC145" s="13" t="s">
        <v>168</v>
      </c>
      <c r="BD145" s="1" t="s">
        <v>168</v>
      </c>
      <c r="BE145" s="1" t="s">
        <v>168</v>
      </c>
      <c r="BF145" s="1" t="s">
        <v>168</v>
      </c>
      <c r="BG145" s="1" t="s">
        <v>168</v>
      </c>
      <c r="BH145" s="1" t="s">
        <v>168</v>
      </c>
      <c r="BI145" s="1" t="s">
        <v>168</v>
      </c>
      <c r="BJ145" s="1" t="s">
        <v>168</v>
      </c>
      <c r="BK145" s="1" t="s">
        <v>168</v>
      </c>
      <c r="BL145" s="1" t="s">
        <v>168</v>
      </c>
      <c r="BM145" s="1" t="s">
        <v>168</v>
      </c>
      <c r="BN145" s="8" t="s">
        <v>168</v>
      </c>
    </row>
    <row r="146" spans="1:66">
      <c r="A146" s="67"/>
      <c r="B146" s="46"/>
      <c r="C146" s="127"/>
      <c r="D146" s="52"/>
      <c r="E146" s="7"/>
      <c r="F146" s="7"/>
      <c r="G146" s="3">
        <f>'d)Pers.Técnico'!E103</f>
        <v>0</v>
      </c>
      <c r="H146" s="3">
        <f>'d)Pers.Técnico'!F103</f>
        <v>0</v>
      </c>
      <c r="I146" s="3">
        <f>'d)Pers.Técnico'!G103</f>
        <v>0</v>
      </c>
      <c r="J146" s="3">
        <f>'d)Pers.Técnico'!H103</f>
        <v>0</v>
      </c>
      <c r="K146" s="3">
        <f>'d)Pers.Técnico'!I103</f>
        <v>0</v>
      </c>
      <c r="L146" s="3">
        <f>'d)Pers.Técnico'!J103</f>
        <v>0</v>
      </c>
      <c r="M146" s="3">
        <f>'d)Pers.Técnico'!K103</f>
        <v>0</v>
      </c>
      <c r="N146" s="3">
        <f>'d)Pers.Técnico'!L103</f>
        <v>0</v>
      </c>
      <c r="O146" s="3">
        <f>'d)Pers.Técnico'!M103</f>
        <v>0</v>
      </c>
      <c r="P146" s="3">
        <f>'d)Pers.Técnico'!N103</f>
        <v>0</v>
      </c>
      <c r="Q146" s="3">
        <f>'d)Pers.Técnico'!O103</f>
        <v>0</v>
      </c>
      <c r="R146" s="14">
        <f>'d)Pers.Técnico'!P103</f>
        <v>0</v>
      </c>
      <c r="S146" s="20">
        <f>'d)Pers.Técnico'!Q103</f>
        <v>0</v>
      </c>
      <c r="T146" s="3">
        <f>'d)Pers.Técnico'!R103</f>
        <v>0</v>
      </c>
      <c r="U146" s="3">
        <f>'d)Pers.Técnico'!S103</f>
        <v>0</v>
      </c>
      <c r="V146" s="3">
        <f>'d)Pers.Técnico'!T103</f>
        <v>0</v>
      </c>
      <c r="W146" s="3">
        <f>'d)Pers.Técnico'!U103</f>
        <v>0</v>
      </c>
      <c r="X146" s="3">
        <f>'d)Pers.Técnico'!V103</f>
        <v>0</v>
      </c>
      <c r="Y146" s="3">
        <f>'d)Pers.Técnico'!W103</f>
        <v>0</v>
      </c>
      <c r="Z146" s="3">
        <f>'d)Pers.Técnico'!X103</f>
        <v>0</v>
      </c>
      <c r="AA146" s="3">
        <f>'d)Pers.Técnico'!Y103</f>
        <v>0</v>
      </c>
      <c r="AB146" s="3">
        <f>'d)Pers.Técnico'!Z103</f>
        <v>0</v>
      </c>
      <c r="AC146" s="3">
        <f>'d)Pers.Técnico'!AA103</f>
        <v>0</v>
      </c>
      <c r="AD146" s="14">
        <f>'d)Pers.Técnico'!AB103</f>
        <v>0</v>
      </c>
      <c r="AE146" s="20">
        <f>'d)Pers.Técnico'!AC103</f>
        <v>0</v>
      </c>
      <c r="AF146" s="3">
        <f>'d)Pers.Técnico'!AD103</f>
        <v>0</v>
      </c>
      <c r="AG146" s="3">
        <f>'d)Pers.Técnico'!AE103</f>
        <v>0</v>
      </c>
      <c r="AH146" s="3">
        <f>'d)Pers.Técnico'!AF103</f>
        <v>0</v>
      </c>
      <c r="AI146" s="3">
        <f>'d)Pers.Técnico'!AG103</f>
        <v>0</v>
      </c>
      <c r="AJ146" s="3">
        <f>'d)Pers.Técnico'!AH103</f>
        <v>0</v>
      </c>
      <c r="AK146" s="3">
        <f>'d)Pers.Técnico'!AI103</f>
        <v>0</v>
      </c>
      <c r="AL146" s="3">
        <f>'d)Pers.Técnico'!AJ103</f>
        <v>0</v>
      </c>
      <c r="AM146" s="3">
        <f>'d)Pers.Técnico'!AK103</f>
        <v>0</v>
      </c>
      <c r="AN146" s="3">
        <f>'d)Pers.Técnico'!AL103</f>
        <v>0</v>
      </c>
      <c r="AO146" s="3">
        <f>'d)Pers.Técnico'!AM103</f>
        <v>0</v>
      </c>
      <c r="AP146" s="14">
        <f>'d)Pers.Técnico'!AN103</f>
        <v>0</v>
      </c>
      <c r="AQ146" s="20">
        <f>'d)Pers.Técnico'!AO103</f>
        <v>0</v>
      </c>
      <c r="AR146" s="3">
        <f>'d)Pers.Técnico'!AP103</f>
        <v>0</v>
      </c>
      <c r="AS146" s="3">
        <f>'d)Pers.Técnico'!AQ103</f>
        <v>0</v>
      </c>
      <c r="AT146" s="3">
        <f>'d)Pers.Técnico'!AR103</f>
        <v>0</v>
      </c>
      <c r="AU146" s="3">
        <f>'d)Pers.Técnico'!AS103</f>
        <v>0</v>
      </c>
      <c r="AV146" s="3">
        <f>'d)Pers.Técnico'!AT103</f>
        <v>0</v>
      </c>
      <c r="AW146" s="3">
        <f>'d)Pers.Técnico'!AU103</f>
        <v>0</v>
      </c>
      <c r="AX146" s="3">
        <f>'d)Pers.Técnico'!AV103</f>
        <v>0</v>
      </c>
      <c r="AY146" s="3">
        <f>'d)Pers.Técnico'!AW103</f>
        <v>0</v>
      </c>
      <c r="AZ146" s="3">
        <f>'d)Pers.Técnico'!AX103</f>
        <v>0</v>
      </c>
      <c r="BA146" s="1">
        <f>'d)Pers.Técnico'!AY103</f>
        <v>0</v>
      </c>
      <c r="BB146" s="60">
        <f>'d)Pers.Técnico'!AZ103</f>
        <v>0</v>
      </c>
      <c r="BC146" s="61">
        <f>'d)Pers.Técnico'!BA103</f>
        <v>0</v>
      </c>
      <c r="BD146" s="3">
        <f>'d)Pers.Técnico'!BB103</f>
        <v>0</v>
      </c>
      <c r="BE146" s="3">
        <f>'d)Pers.Técnico'!BC103</f>
        <v>0</v>
      </c>
      <c r="BF146" s="3">
        <f>'d)Pers.Técnico'!BD103</f>
        <v>0</v>
      </c>
      <c r="BG146" s="3">
        <f>'d)Pers.Técnico'!BE103</f>
        <v>0</v>
      </c>
      <c r="BH146" s="3">
        <f>'d)Pers.Técnico'!BF103</f>
        <v>0</v>
      </c>
      <c r="BI146" s="3">
        <f>'d)Pers.Técnico'!BG103</f>
        <v>0</v>
      </c>
      <c r="BJ146" s="3">
        <f>'d)Pers.Técnico'!BH103</f>
        <v>0</v>
      </c>
      <c r="BK146" s="3">
        <f>'d)Pers.Técnico'!BI103</f>
        <v>0</v>
      </c>
      <c r="BL146" s="3">
        <f>'d)Pers.Técnico'!BJ103</f>
        <v>0</v>
      </c>
      <c r="BM146" s="3">
        <f>'d)Pers.Técnico'!BK103</f>
        <v>0</v>
      </c>
      <c r="BN146" s="14">
        <f>'d)Pers.Técnico'!BL103</f>
        <v>0</v>
      </c>
    </row>
    <row r="147" spans="1:66">
      <c r="A147" s="67"/>
      <c r="B147" s="46" t="str">
        <f>+'d)Pers.Técnico'!B103</f>
        <v/>
      </c>
      <c r="C147" s="127" t="str">
        <f>'d)Pers.Técnico'!C103</f>
        <v/>
      </c>
      <c r="D147" s="52">
        <f>SUM(G146:BN146)</f>
        <v>0</v>
      </c>
      <c r="E147" s="7">
        <f>IF('a)Plantilla'!C51&gt;0,'a)Plantilla'!D51/30,0)</f>
        <v>0</v>
      </c>
      <c r="F147" s="7">
        <f>SUM(G147:BN147)</f>
        <v>0</v>
      </c>
      <c r="G147" s="2">
        <f>IF(TipoProgramaPersonalTecnico=1,$E147*'a)Plantilla'!$C51*Programa!D$13,IF(TipoProgramaPersonalTecnico=2,$E147*G146,$E147/Hjor*G146))</f>
        <v>0</v>
      </c>
      <c r="H147" s="2">
        <f>IF(TipoProgramaPersonalTecnico=1,$E147*'a)Plantilla'!$C51*Programa!D$14,IF(TipoProgramaPersonalTecnico=2,$E147*H146,$E147/Hjor*H146))</f>
        <v>0</v>
      </c>
      <c r="I147" s="2">
        <f>IF(TipoProgramaPersonalTecnico=1,$E147*'a)Plantilla'!$C51*Programa!D$15,IF(TipoProgramaPersonalTecnico=2,$E147*I146,$E147/Hjor*I146))</f>
        <v>0</v>
      </c>
      <c r="J147" s="2">
        <f>IF(TipoProgramaPersonalTecnico=1,$E147*'a)Plantilla'!$C51*Programa!D$16,IF(TipoProgramaPersonalTecnico=2,$E147*J146,$E147/Hjor*J146))</f>
        <v>0</v>
      </c>
      <c r="K147" s="2">
        <f>IF(TipoProgramaPersonalTecnico=1,$E147*'a)Plantilla'!$C51*Programa!D$17,IF(TipoProgramaPersonalTecnico=2,$E147*K146,$E147/Hjor*K146))</f>
        <v>0</v>
      </c>
      <c r="L147" s="2">
        <f>IF(TipoProgramaPersonalTecnico=1,$E147*'a)Plantilla'!$C51*Programa!D$18,IF(TipoProgramaPersonalTecnico=2,$E147*L146,$E147/Hjor*L146))</f>
        <v>0</v>
      </c>
      <c r="M147" s="2">
        <f>IF(TipoProgramaPersonalTecnico=1,$E147*'a)Plantilla'!$C51*Programa!D$19,IF(TipoProgramaPersonalTecnico=2,$E147*M146,$E147/Hjor*M146))</f>
        <v>0</v>
      </c>
      <c r="N147" s="2">
        <f>IF(TipoProgramaPersonalTecnico=1,$E147*'a)Plantilla'!$C51*Programa!D$20,IF(TipoProgramaPersonalTecnico=2,$E147*N146,$E147/Hjor*N146))</f>
        <v>0</v>
      </c>
      <c r="O147" s="2">
        <f>IF(TipoProgramaPersonalTecnico=1,$E147*'a)Plantilla'!$C51*Programa!D$21,IF(TipoProgramaPersonalTecnico=2,$E147*O146,$E147/Hjor*O146))</f>
        <v>0</v>
      </c>
      <c r="P147" s="2">
        <f>IF(TipoProgramaPersonalTecnico=1,$E147*'a)Plantilla'!$C51*Programa!D$22,IF(TipoProgramaPersonalTecnico=2,$E147*P146,$E147/Hjor*P146))</f>
        <v>0</v>
      </c>
      <c r="Q147" s="2">
        <f>IF(TipoProgramaPersonalTecnico=1,$E147*'a)Plantilla'!$C51*Programa!D$23,IF(TipoProgramaPersonalTecnico=2,$E147*Q146,$E147/Hjor*Q146))</f>
        <v>0</v>
      </c>
      <c r="R147" s="12">
        <f>IF(TipoProgramaPersonalTecnico=1,$E147*'a)Plantilla'!$C51*Programa!D$24,IF(TipoProgramaPersonalTecnico=2,$E147*R146,$E147/Hjor*R146))</f>
        <v>0</v>
      </c>
      <c r="S147" s="7">
        <f>IF(TipoProgramaPersonalTecnico=1,$E147*'a)Plantilla'!$C51*Programa!D$25,IF(TipoProgramaPersonalTecnico=2,$E147*S146,$E147/Hjor*S146))</f>
        <v>0</v>
      </c>
      <c r="T147" s="2">
        <f>IF(TipoProgramaPersonalTecnico=1,$E147*'a)Plantilla'!$C51*Programa!D$26,IF(TipoProgramaPersonalTecnico=2,$E147*T146,$E147/Hjor*T146))</f>
        <v>0</v>
      </c>
      <c r="U147" s="2">
        <f>IF(TipoProgramaPersonalTecnico=1,$E147*'a)Plantilla'!$C51*Programa!D$27,IF(TipoProgramaPersonalTecnico=2,$E147*U146,$E147/Hjor*U146))</f>
        <v>0</v>
      </c>
      <c r="V147" s="2">
        <f>IF(TipoProgramaPersonalTecnico=1,$E147*'a)Plantilla'!$C51*Programa!D$28,IF(TipoProgramaPersonalTecnico=2,$E147*V146,$E147/Hjor*V146))</f>
        <v>0</v>
      </c>
      <c r="W147" s="2">
        <f>IF(TipoProgramaPersonalTecnico=1,$E147*'a)Plantilla'!$C51*Programa!D$29,IF(TipoProgramaPersonalTecnico=2,$E147*W146,$E147/Hjor*W146))</f>
        <v>0</v>
      </c>
      <c r="X147" s="2">
        <f>IF(TipoProgramaPersonalTecnico=1,$E147*'a)Plantilla'!$C51*Programa!D$30,IF(TipoProgramaPersonalTecnico=2,$E147*X146,$E147/Hjor*X146))</f>
        <v>0</v>
      </c>
      <c r="Y147" s="2">
        <f>IF(TipoProgramaPersonalTecnico=1,$E147*'a)Plantilla'!$C51*Programa!D$31,IF(TipoProgramaPersonalTecnico=2,$E147*Y146,$E147/Hjor*Y146))</f>
        <v>0</v>
      </c>
      <c r="Z147" s="2">
        <f>IF(TipoProgramaPersonalTecnico=1,$E147*'a)Plantilla'!$C51*Programa!D$32,IF(TipoProgramaPersonalTecnico=2,$E147*Z146,$E147/Hjor*Z146))</f>
        <v>0</v>
      </c>
      <c r="AA147" s="2">
        <f>IF(TipoProgramaPersonalTecnico=1,$E147*'a)Plantilla'!$C51*Programa!D$33,IF(TipoProgramaPersonalTecnico=2,$E147*AA146,$E147/Hjor*AA146))</f>
        <v>0</v>
      </c>
      <c r="AB147" s="2">
        <f>IF(TipoProgramaPersonalTecnico=1,$E147*'a)Plantilla'!$C51*Programa!D$34,IF(TipoProgramaPersonalTecnico=2,$E147*AB146,$E147/Hjor*AB146))</f>
        <v>0</v>
      </c>
      <c r="AC147" s="2">
        <f>IF(TipoProgramaPersonalTecnico=1,$E147*'a)Plantilla'!$C51*Programa!D$35,IF(TipoProgramaPersonalTecnico=2,$E147*AC146,$E147/Hjor*AC146))</f>
        <v>0</v>
      </c>
      <c r="AD147" s="12">
        <f>IF(TipoProgramaPersonalTecnico=1,$E147*'a)Plantilla'!$C51*Programa!D$36,IF(TipoProgramaPersonalTecnico=2,$E147*AD146,$E147/Hjor*AD146))</f>
        <v>0</v>
      </c>
      <c r="AE147" s="7">
        <f>IF(TipoProgramaPersonalTecnico=1,$E147*'a)Plantilla'!$C51*Programa!D$37,IF(TipoProgramaPersonalTecnico=2,$E147*AE146,$E147/Hjor*AE146))</f>
        <v>0</v>
      </c>
      <c r="AF147" s="2">
        <f>IF(TipoProgramaPersonalTecnico=1,$E147*'a)Plantilla'!$C51*Programa!D$38,IF(TipoProgramaPersonalTecnico=2,$E147*AF146,$E147/Hjor*AF146))</f>
        <v>0</v>
      </c>
      <c r="AG147" s="2">
        <f>IF(TipoProgramaPersonalTecnico=1,$E147*'a)Plantilla'!$C51*Programa!D$39,IF(TipoProgramaPersonalTecnico=2,$E147*AG146,$E147/Hjor*AG146))</f>
        <v>0</v>
      </c>
      <c r="AH147" s="2">
        <f>IF(TipoProgramaPersonalTecnico=1,$E147*'a)Plantilla'!$C51*Programa!D$40,IF(TipoProgramaPersonalTecnico=2,$E147*AH146,$E147/Hjor*AH146))</f>
        <v>0</v>
      </c>
      <c r="AI147" s="2">
        <f>IF(TipoProgramaPersonalTecnico=1,$E147*'a)Plantilla'!$C51*Programa!D$41,IF(TipoProgramaPersonalTecnico=2,$E147*AI146,$E147/Hjor*AI146))</f>
        <v>0</v>
      </c>
      <c r="AJ147" s="2">
        <f>IF(TipoProgramaPersonalTecnico=1,$E147*'a)Plantilla'!$C51*Programa!D$42,IF(TipoProgramaPersonalTecnico=2,$E147*AJ146,$E147/Hjor*AJ146))</f>
        <v>0</v>
      </c>
      <c r="AK147" s="2">
        <f>IF(TipoProgramaPersonalTecnico=1,$E147*'a)Plantilla'!$C51*Programa!D$43,IF(TipoProgramaPersonalTecnico=2,$E147*AK146,$E147/Hjor*AK146))</f>
        <v>0</v>
      </c>
      <c r="AL147" s="2">
        <f>IF(TipoProgramaPersonalTecnico=1,$E147*'a)Plantilla'!$C51*Programa!D$44,IF(TipoProgramaPersonalTecnico=2,$E147*AL146,$E147/Hjor*AL146))</f>
        <v>0</v>
      </c>
      <c r="AM147" s="2">
        <f>IF(TipoProgramaPersonalTecnico=1,$E147*'a)Plantilla'!$C51*Programa!D$45,IF(TipoProgramaPersonalTecnico=2,$E147*AM146,$E147/Hjor*AM146))</f>
        <v>0</v>
      </c>
      <c r="AN147" s="2">
        <f>IF(TipoProgramaPersonalTecnico=1,$E147*'a)Plantilla'!$C51*Programa!D$46,IF(TipoProgramaPersonalTecnico=2,$E147*AN146,$E147/Hjor*AN146))</f>
        <v>0</v>
      </c>
      <c r="AO147" s="2">
        <f>IF(TipoProgramaPersonalTecnico=1,$E147*'a)Plantilla'!$C51*Programa!D$47,IF(TipoProgramaPersonalTecnico=2,$E147*AO146,$E147/Hjor*AO146))</f>
        <v>0</v>
      </c>
      <c r="AP147" s="12">
        <f>IF(TipoProgramaPersonalTecnico=1,$E147*'a)Plantilla'!$C51*Programa!D$48,IF(TipoProgramaPersonalTecnico=2,$E147*AP146,$E147/Hjor*AP146))</f>
        <v>0</v>
      </c>
      <c r="AQ147" s="7">
        <f>IF(TipoProgramaPersonalTecnico=1,$E147*'a)Plantilla'!$C51*Programa!D$49,IF(TipoProgramaPersonalTecnico=2,$E147*AQ146,$E147/Hjor*AQ146))</f>
        <v>0</v>
      </c>
      <c r="AR147" s="2">
        <f>IF(TipoProgramaPersonalTecnico=1,$E147*'a)Plantilla'!$C51*Programa!D$50,IF(TipoProgramaPersonalTecnico=2,$E147*AR146,$E147/Hjor*AR146))</f>
        <v>0</v>
      </c>
      <c r="AS147" s="2">
        <f>IF(TipoProgramaPersonalTecnico=1,$E147*'a)Plantilla'!$C51*Programa!D$51,IF(TipoProgramaPersonalTecnico=2,$E147*AS146,$E147/Hjor*AS146))</f>
        <v>0</v>
      </c>
      <c r="AT147" s="2">
        <f>IF(TipoProgramaPersonalTecnico=1,$E147*'a)Plantilla'!$C51*Programa!D$52,IF(TipoProgramaPersonalTecnico=2,$E147*AT146,$E147/Hjor*AT146))</f>
        <v>0</v>
      </c>
      <c r="AU147" s="2">
        <f>IF(TipoProgramaPersonalTecnico=1,$E147*'a)Plantilla'!$C51*Programa!D$53,IF(TipoProgramaPersonalTecnico=2,$E147*AU146,$E147/Hjor*AU146))</f>
        <v>0</v>
      </c>
      <c r="AV147" s="2">
        <f>IF(TipoProgramaPersonalTecnico=1,$E147*'a)Plantilla'!$C51*Programa!D$54,IF(TipoProgramaPersonalTecnico=2,$E147*AV146,$E147/Hjor*AV146))</f>
        <v>0</v>
      </c>
      <c r="AW147" s="2">
        <f>IF(TipoProgramaPersonalTecnico=1,$E147*'a)Plantilla'!$C51*Programa!D$55,IF(TipoProgramaPersonalTecnico=2,$E147*AW146,$E147/Hjor*AW146))</f>
        <v>0</v>
      </c>
      <c r="AX147" s="2">
        <f>IF(TipoProgramaPersonalTecnico=1,$E147*'a)Plantilla'!$C51*Programa!D$56,IF(TipoProgramaPersonalTecnico=2,$E147*AX146,$E147/Hjor*AX146))</f>
        <v>0</v>
      </c>
      <c r="AY147" s="2">
        <f>IF(TipoProgramaPersonalTecnico=1,$E147*'a)Plantilla'!$C51*Programa!D$57,IF(TipoProgramaPersonalTecnico=2,$E147*AY146,$E147/Hjor*AY146))</f>
        <v>0</v>
      </c>
      <c r="AZ147" s="2">
        <f>IF(TipoProgramaPersonalTecnico=1,$E147*'a)Plantilla'!$C51*Programa!D$58,IF(TipoProgramaPersonalTecnico=2,$E147*AZ146,$E147/Hjor*AZ146))</f>
        <v>0</v>
      </c>
      <c r="BA147" s="55">
        <f>IF(TipoProgramaPersonalTecnico=1,$E147*'a)Plantilla'!$C51*Programa!D$59,IF(TipoProgramaPersonalTecnico=2,$E147*BA146,$E147/Hjor*BA146))</f>
        <v>0</v>
      </c>
      <c r="BB147" s="56">
        <f>IF(TipoProgramaPersonalTecnico=1,$E147*'a)Plantilla'!$C51*Programa!D$60,IF(TipoProgramaPersonalTecnico=2,$E147*BB146,$E147/Hjor*BB146))</f>
        <v>0</v>
      </c>
      <c r="BC147" s="53">
        <f>IF(TipoProgramaPersonalTecnico=1,$E147*'a)Plantilla'!$C51*Programa!D$61,IF(TipoProgramaPersonalTecnico=2,$E147*BC146,$E147/Hjor*BC146))</f>
        <v>0</v>
      </c>
      <c r="BD147" s="2">
        <f>IF(TipoProgramaPersonalTecnico=1,$E147*'a)Plantilla'!$C51*Programa!D$62,IF(TipoProgramaPersonalTecnico=2,$E147*BD146,$E147/Hjor*BD146))</f>
        <v>0</v>
      </c>
      <c r="BE147" s="2">
        <f>IF(TipoProgramaPersonalTecnico=1,$E147*'a)Plantilla'!$C51*Programa!D$63,IF(TipoProgramaPersonalTecnico=2,$E147*BE146,$E147/Hjor*BE146))</f>
        <v>0</v>
      </c>
      <c r="BF147" s="2">
        <f>IF(TipoProgramaPersonalTecnico=1,$E147*'a)Plantilla'!$C51*Programa!D$64,IF(TipoProgramaPersonalTecnico=2,$E147*BF146,$E147/Hjor*BF146))</f>
        <v>0</v>
      </c>
      <c r="BG147" s="2">
        <f>IF(TipoProgramaPersonalTecnico=1,$E147*'a)Plantilla'!$C51*Programa!D$65,IF(TipoProgramaPersonalTecnico=2,$E147*BG146,$E147/Hjor*BG146))</f>
        <v>0</v>
      </c>
      <c r="BH147" s="2">
        <f>IF(TipoProgramaPersonalTecnico=1,$E147*'a)Plantilla'!$C51*Programa!D$66,IF(TipoProgramaPersonalTecnico=2,$E147*BH146,$E147/Hjor*BH146))</f>
        <v>0</v>
      </c>
      <c r="BI147" s="2">
        <f>IF(TipoProgramaPersonalTecnico=1,$E147*'a)Plantilla'!$C51*Programa!D$67,IF(TipoProgramaPersonalTecnico=2,$E147*BI146,$E147/Hjor*BI146))</f>
        <v>0</v>
      </c>
      <c r="BJ147" s="2">
        <f>IF(TipoProgramaPersonalTecnico=1,$E147*'a)Plantilla'!$C51*Programa!D$68,IF(TipoProgramaPersonalTecnico=2,$E147*BJ146,$E147/Hjor*BJ146))</f>
        <v>0</v>
      </c>
      <c r="BK147" s="2">
        <f>IF(TipoProgramaPersonalTecnico=1,$E147*'a)Plantilla'!$C51*Programa!D$69,IF(TipoProgramaPersonalTecnico=2,$E147*BK146,$E147/Hjor*BK146))</f>
        <v>0</v>
      </c>
      <c r="BL147" s="2">
        <f>IF(TipoProgramaPersonalTecnico=1,$E147*'a)Plantilla'!$C51*Programa!D$70,IF(TipoProgramaPersonalTecnico=2,$E147*BL146,$E147/Hjor*BL146))</f>
        <v>0</v>
      </c>
      <c r="BM147" s="2">
        <f>IF(TipoProgramaPersonalTecnico=1,$E147*'a)Plantilla'!$C51*Programa!D$71,IF(TipoProgramaPersonalTecnico=2,$E147*BM146,$E147/Hjor*BM146))</f>
        <v>0</v>
      </c>
      <c r="BN147" s="12">
        <f>IF(TipoProgramaPersonalTecnico=1,$E147*'a)Plantilla'!$C51*Programa!D$72,IF(TipoProgramaPersonalTecnico=2,$E147*BN146,$E147/Hjor*BN146))</f>
        <v>0</v>
      </c>
    </row>
    <row r="148" spans="1:66" ht="7.5" customHeight="1">
      <c r="A148" s="67"/>
      <c r="B148" s="19"/>
      <c r="C148" s="127"/>
      <c r="D148" s="54"/>
      <c r="E148" s="19"/>
      <c r="F148" s="19"/>
      <c r="G148" s="1" t="s">
        <v>168</v>
      </c>
      <c r="H148" s="1" t="s">
        <v>168</v>
      </c>
      <c r="I148" s="1" t="s">
        <v>168</v>
      </c>
      <c r="J148" s="1" t="s">
        <v>168</v>
      </c>
      <c r="K148" s="1" t="s">
        <v>168</v>
      </c>
      <c r="L148" s="1" t="s">
        <v>168</v>
      </c>
      <c r="M148" s="1" t="s">
        <v>168</v>
      </c>
      <c r="N148" s="1" t="s">
        <v>168</v>
      </c>
      <c r="O148" s="1" t="s">
        <v>168</v>
      </c>
      <c r="P148" s="1" t="s">
        <v>168</v>
      </c>
      <c r="Q148" s="1" t="s">
        <v>168</v>
      </c>
      <c r="R148" s="8" t="s">
        <v>168</v>
      </c>
      <c r="S148" s="13" t="s">
        <v>168</v>
      </c>
      <c r="T148" s="1" t="s">
        <v>168</v>
      </c>
      <c r="U148" s="1" t="s">
        <v>168</v>
      </c>
      <c r="V148" s="1" t="s">
        <v>168</v>
      </c>
      <c r="W148" s="1" t="s">
        <v>168</v>
      </c>
      <c r="X148" s="1" t="s">
        <v>168</v>
      </c>
      <c r="Y148" s="1" t="s">
        <v>168</v>
      </c>
      <c r="Z148" s="1" t="s">
        <v>168</v>
      </c>
      <c r="AA148" s="1" t="s">
        <v>168</v>
      </c>
      <c r="AB148" s="1" t="s">
        <v>168</v>
      </c>
      <c r="AC148" s="1" t="s">
        <v>168</v>
      </c>
      <c r="AD148" s="8" t="s">
        <v>168</v>
      </c>
      <c r="AE148" s="13" t="s">
        <v>168</v>
      </c>
      <c r="AF148" s="1" t="s">
        <v>168</v>
      </c>
      <c r="AG148" s="1" t="s">
        <v>168</v>
      </c>
      <c r="AH148" s="1" t="s">
        <v>168</v>
      </c>
      <c r="AI148" s="1" t="s">
        <v>168</v>
      </c>
      <c r="AJ148" s="1" t="s">
        <v>168</v>
      </c>
      <c r="AK148" s="1" t="s">
        <v>168</v>
      </c>
      <c r="AL148" s="1" t="s">
        <v>168</v>
      </c>
      <c r="AM148" s="1" t="s">
        <v>168</v>
      </c>
      <c r="AN148" s="1" t="s">
        <v>168</v>
      </c>
      <c r="AO148" s="1" t="s">
        <v>168</v>
      </c>
      <c r="AP148" s="8" t="s">
        <v>168</v>
      </c>
      <c r="AQ148" s="13" t="s">
        <v>168</v>
      </c>
      <c r="AR148" s="1" t="s">
        <v>168</v>
      </c>
      <c r="AS148" s="1" t="s">
        <v>168</v>
      </c>
      <c r="AT148" s="1" t="s">
        <v>168</v>
      </c>
      <c r="AU148" s="1" t="s">
        <v>168</v>
      </c>
      <c r="AV148" s="1" t="s">
        <v>168</v>
      </c>
      <c r="AW148" s="1" t="s">
        <v>168</v>
      </c>
      <c r="AX148" s="1" t="s">
        <v>168</v>
      </c>
      <c r="AY148" s="1" t="s">
        <v>168</v>
      </c>
      <c r="AZ148" s="1" t="s">
        <v>168</v>
      </c>
      <c r="BA148" s="1" t="s">
        <v>168</v>
      </c>
      <c r="BB148" s="8" t="s">
        <v>168</v>
      </c>
      <c r="BC148" s="13" t="s">
        <v>168</v>
      </c>
      <c r="BD148" s="1" t="s">
        <v>168</v>
      </c>
      <c r="BE148" s="1" t="s">
        <v>168</v>
      </c>
      <c r="BF148" s="1" t="s">
        <v>168</v>
      </c>
      <c r="BG148" s="1" t="s">
        <v>168</v>
      </c>
      <c r="BH148" s="1" t="s">
        <v>168</v>
      </c>
      <c r="BI148" s="1" t="s">
        <v>168</v>
      </c>
      <c r="BJ148" s="1" t="s">
        <v>168</v>
      </c>
      <c r="BK148" s="1" t="s">
        <v>168</v>
      </c>
      <c r="BL148" s="1" t="s">
        <v>168</v>
      </c>
      <c r="BM148" s="1" t="s">
        <v>168</v>
      </c>
      <c r="BN148" s="8" t="s">
        <v>168</v>
      </c>
    </row>
    <row r="149" spans="1:66">
      <c r="A149" s="67"/>
      <c r="B149" s="46"/>
      <c r="C149" s="127"/>
      <c r="D149" s="52"/>
      <c r="E149" s="7"/>
      <c r="F149" s="7"/>
      <c r="G149" s="3">
        <f>'d)Pers.Técnico'!E105</f>
        <v>0</v>
      </c>
      <c r="H149" s="3">
        <f>'d)Pers.Técnico'!F105</f>
        <v>0</v>
      </c>
      <c r="I149" s="3">
        <f>'d)Pers.Técnico'!G105</f>
        <v>0</v>
      </c>
      <c r="J149" s="3">
        <f>'d)Pers.Técnico'!H105</f>
        <v>0</v>
      </c>
      <c r="K149" s="3">
        <f>'d)Pers.Técnico'!I105</f>
        <v>0</v>
      </c>
      <c r="L149" s="3">
        <f>'d)Pers.Técnico'!J105</f>
        <v>0</v>
      </c>
      <c r="M149" s="3">
        <f>'d)Pers.Técnico'!K105</f>
        <v>0</v>
      </c>
      <c r="N149" s="3">
        <f>'d)Pers.Técnico'!L105</f>
        <v>0</v>
      </c>
      <c r="O149" s="3">
        <f>'d)Pers.Técnico'!M105</f>
        <v>0</v>
      </c>
      <c r="P149" s="3">
        <f>'d)Pers.Técnico'!N105</f>
        <v>0</v>
      </c>
      <c r="Q149" s="3">
        <f>'d)Pers.Técnico'!O105</f>
        <v>0</v>
      </c>
      <c r="R149" s="14">
        <f>'d)Pers.Técnico'!P105</f>
        <v>0</v>
      </c>
      <c r="S149" s="20">
        <f>'d)Pers.Técnico'!Q105</f>
        <v>0</v>
      </c>
      <c r="T149" s="3">
        <f>'d)Pers.Técnico'!R105</f>
        <v>0</v>
      </c>
      <c r="U149" s="3">
        <f>'d)Pers.Técnico'!S105</f>
        <v>0</v>
      </c>
      <c r="V149" s="3">
        <f>'d)Pers.Técnico'!T105</f>
        <v>0</v>
      </c>
      <c r="W149" s="3">
        <f>'d)Pers.Técnico'!U105</f>
        <v>0</v>
      </c>
      <c r="X149" s="3">
        <f>'d)Pers.Técnico'!V105</f>
        <v>0</v>
      </c>
      <c r="Y149" s="3">
        <f>'d)Pers.Técnico'!W105</f>
        <v>0</v>
      </c>
      <c r="Z149" s="3">
        <f>'d)Pers.Técnico'!X105</f>
        <v>0</v>
      </c>
      <c r="AA149" s="3">
        <f>'d)Pers.Técnico'!Y105</f>
        <v>0</v>
      </c>
      <c r="AB149" s="3">
        <f>'d)Pers.Técnico'!Z105</f>
        <v>0</v>
      </c>
      <c r="AC149" s="3">
        <f>'d)Pers.Técnico'!AA105</f>
        <v>0</v>
      </c>
      <c r="AD149" s="14">
        <f>'d)Pers.Técnico'!AB105</f>
        <v>0</v>
      </c>
      <c r="AE149" s="20">
        <f>'d)Pers.Técnico'!AC105</f>
        <v>0</v>
      </c>
      <c r="AF149" s="3">
        <f>'d)Pers.Técnico'!AD105</f>
        <v>0</v>
      </c>
      <c r="AG149" s="3">
        <f>'d)Pers.Técnico'!AE105</f>
        <v>0</v>
      </c>
      <c r="AH149" s="3">
        <f>'d)Pers.Técnico'!AF105</f>
        <v>0</v>
      </c>
      <c r="AI149" s="3">
        <f>'d)Pers.Técnico'!AG105</f>
        <v>0</v>
      </c>
      <c r="AJ149" s="3">
        <f>'d)Pers.Técnico'!AH105</f>
        <v>0</v>
      </c>
      <c r="AK149" s="3">
        <f>'d)Pers.Técnico'!AI105</f>
        <v>0</v>
      </c>
      <c r="AL149" s="3">
        <f>'d)Pers.Técnico'!AJ105</f>
        <v>0</v>
      </c>
      <c r="AM149" s="3">
        <f>'d)Pers.Técnico'!AK105</f>
        <v>0</v>
      </c>
      <c r="AN149" s="3">
        <f>'d)Pers.Técnico'!AL105</f>
        <v>0</v>
      </c>
      <c r="AO149" s="3">
        <f>'d)Pers.Técnico'!AM105</f>
        <v>0</v>
      </c>
      <c r="AP149" s="14">
        <f>'d)Pers.Técnico'!AN105</f>
        <v>0</v>
      </c>
      <c r="AQ149" s="20">
        <f>'d)Pers.Técnico'!AO105</f>
        <v>0</v>
      </c>
      <c r="AR149" s="3">
        <f>'d)Pers.Técnico'!AP105</f>
        <v>0</v>
      </c>
      <c r="AS149" s="3">
        <f>'d)Pers.Técnico'!AQ105</f>
        <v>0</v>
      </c>
      <c r="AT149" s="3">
        <f>'d)Pers.Técnico'!AR105</f>
        <v>0</v>
      </c>
      <c r="AU149" s="3">
        <f>'d)Pers.Técnico'!AS105</f>
        <v>0</v>
      </c>
      <c r="AV149" s="3">
        <f>'d)Pers.Técnico'!AT105</f>
        <v>0</v>
      </c>
      <c r="AW149" s="3">
        <f>'d)Pers.Técnico'!AU105</f>
        <v>0</v>
      </c>
      <c r="AX149" s="3">
        <f>'d)Pers.Técnico'!AV105</f>
        <v>0</v>
      </c>
      <c r="AY149" s="3">
        <f>'d)Pers.Técnico'!AW105</f>
        <v>0</v>
      </c>
      <c r="AZ149" s="3">
        <f>'d)Pers.Técnico'!AX105</f>
        <v>0</v>
      </c>
      <c r="BA149" s="1">
        <f>'d)Pers.Técnico'!AY105</f>
        <v>0</v>
      </c>
      <c r="BB149" s="60">
        <f>'d)Pers.Técnico'!AZ105</f>
        <v>0</v>
      </c>
      <c r="BC149" s="61">
        <f>'d)Pers.Técnico'!BA105</f>
        <v>0</v>
      </c>
      <c r="BD149" s="3">
        <f>'d)Pers.Técnico'!BB105</f>
        <v>0</v>
      </c>
      <c r="BE149" s="3">
        <f>'d)Pers.Técnico'!BC105</f>
        <v>0</v>
      </c>
      <c r="BF149" s="3">
        <f>'d)Pers.Técnico'!BD105</f>
        <v>0</v>
      </c>
      <c r="BG149" s="3">
        <f>'d)Pers.Técnico'!BE105</f>
        <v>0</v>
      </c>
      <c r="BH149" s="3">
        <f>'d)Pers.Técnico'!BF105</f>
        <v>0</v>
      </c>
      <c r="BI149" s="3">
        <f>'d)Pers.Técnico'!BG105</f>
        <v>0</v>
      </c>
      <c r="BJ149" s="3">
        <f>'d)Pers.Técnico'!BH105</f>
        <v>0</v>
      </c>
      <c r="BK149" s="3">
        <f>'d)Pers.Técnico'!BI105</f>
        <v>0</v>
      </c>
      <c r="BL149" s="3">
        <f>'d)Pers.Técnico'!BJ105</f>
        <v>0</v>
      </c>
      <c r="BM149" s="3">
        <f>'d)Pers.Técnico'!BK105</f>
        <v>0</v>
      </c>
      <c r="BN149" s="14">
        <f>'d)Pers.Técnico'!BL105</f>
        <v>0</v>
      </c>
    </row>
    <row r="150" spans="1:66">
      <c r="A150" s="67"/>
      <c r="B150" s="46" t="str">
        <f>+'d)Pers.Técnico'!B105</f>
        <v/>
      </c>
      <c r="C150" s="127" t="str">
        <f>'d)Pers.Técnico'!C105</f>
        <v/>
      </c>
      <c r="D150" s="52">
        <f>SUM(G149:BN149)</f>
        <v>0</v>
      </c>
      <c r="E150" s="7">
        <f>IF('a)Plantilla'!C52&gt;0,'a)Plantilla'!D52/30,0)</f>
        <v>0</v>
      </c>
      <c r="F150" s="7">
        <f>SUM(G150:BN150)</f>
        <v>0</v>
      </c>
      <c r="G150" s="2">
        <f>IF(TipoProgramaPersonalTecnico=1,$E150*'a)Plantilla'!$C52*Programa!D$13,IF(TipoProgramaPersonalTecnico=2,$E150*G149,$E150/Hjor*G149))</f>
        <v>0</v>
      </c>
      <c r="H150" s="2">
        <f>IF(TipoProgramaPersonalTecnico=1,$E150*'a)Plantilla'!$C52*Programa!D$14,IF(TipoProgramaPersonalTecnico=2,$E150*H149,$E150/Hjor*H149))</f>
        <v>0</v>
      </c>
      <c r="I150" s="2">
        <f>IF(TipoProgramaPersonalTecnico=1,$E150*'a)Plantilla'!$C52*Programa!D$15,IF(TipoProgramaPersonalTecnico=2,$E150*I149,$E150/Hjor*I149))</f>
        <v>0</v>
      </c>
      <c r="J150" s="2">
        <f>IF(TipoProgramaPersonalTecnico=1,$E150*'a)Plantilla'!$C52*Programa!D$16,IF(TipoProgramaPersonalTecnico=2,$E150*J149,$E150/Hjor*J149))</f>
        <v>0</v>
      </c>
      <c r="K150" s="2">
        <f>IF(TipoProgramaPersonalTecnico=1,$E150*'a)Plantilla'!$C52*Programa!D$17,IF(TipoProgramaPersonalTecnico=2,$E150*K149,$E150/Hjor*K149))</f>
        <v>0</v>
      </c>
      <c r="L150" s="2">
        <f>IF(TipoProgramaPersonalTecnico=1,$E150*'a)Plantilla'!$C52*Programa!D$18,IF(TipoProgramaPersonalTecnico=2,$E150*L149,$E150/Hjor*L149))</f>
        <v>0</v>
      </c>
      <c r="M150" s="2">
        <f>IF(TipoProgramaPersonalTecnico=1,$E150*'a)Plantilla'!$C52*Programa!D$19,IF(TipoProgramaPersonalTecnico=2,$E150*M149,$E150/Hjor*M149))</f>
        <v>0</v>
      </c>
      <c r="N150" s="2">
        <f>IF(TipoProgramaPersonalTecnico=1,$E150*'a)Plantilla'!$C52*Programa!D$20,IF(TipoProgramaPersonalTecnico=2,$E150*N149,$E150/Hjor*N149))</f>
        <v>0</v>
      </c>
      <c r="O150" s="2">
        <f>IF(TipoProgramaPersonalTecnico=1,$E150*'a)Plantilla'!$C52*Programa!D$21,IF(TipoProgramaPersonalTecnico=2,$E150*O149,$E150/Hjor*O149))</f>
        <v>0</v>
      </c>
      <c r="P150" s="2">
        <f>IF(TipoProgramaPersonalTecnico=1,$E150*'a)Plantilla'!$C52*Programa!D$22,IF(TipoProgramaPersonalTecnico=2,$E150*P149,$E150/Hjor*P149))</f>
        <v>0</v>
      </c>
      <c r="Q150" s="2">
        <f>IF(TipoProgramaPersonalTecnico=1,$E150*'a)Plantilla'!$C52*Programa!D$23,IF(TipoProgramaPersonalTecnico=2,$E150*Q149,$E150/Hjor*Q149))</f>
        <v>0</v>
      </c>
      <c r="R150" s="12">
        <f>IF(TipoProgramaPersonalTecnico=1,$E150*'a)Plantilla'!$C52*Programa!D$24,IF(TipoProgramaPersonalTecnico=2,$E150*R149,$E150/Hjor*R149))</f>
        <v>0</v>
      </c>
      <c r="S150" s="7">
        <f>IF(TipoProgramaPersonalTecnico=1,$E150*'a)Plantilla'!$C52*Programa!D$25,IF(TipoProgramaPersonalTecnico=2,$E150*S149,$E150/Hjor*S149))</f>
        <v>0</v>
      </c>
      <c r="T150" s="2">
        <f>IF(TipoProgramaPersonalTecnico=1,$E150*'a)Plantilla'!$C52*Programa!D$26,IF(TipoProgramaPersonalTecnico=2,$E150*T149,$E150/Hjor*T149))</f>
        <v>0</v>
      </c>
      <c r="U150" s="2">
        <f>IF(TipoProgramaPersonalTecnico=1,$E150*'a)Plantilla'!$C52*Programa!D$27,IF(TipoProgramaPersonalTecnico=2,$E150*U149,$E150/Hjor*U149))</f>
        <v>0</v>
      </c>
      <c r="V150" s="2">
        <f>IF(TipoProgramaPersonalTecnico=1,$E150*'a)Plantilla'!$C52*Programa!D$28,IF(TipoProgramaPersonalTecnico=2,$E150*V149,$E150/Hjor*V149))</f>
        <v>0</v>
      </c>
      <c r="W150" s="2">
        <f>IF(TipoProgramaPersonalTecnico=1,$E150*'a)Plantilla'!$C52*Programa!D$29,IF(TipoProgramaPersonalTecnico=2,$E150*W149,$E150/Hjor*W149))</f>
        <v>0</v>
      </c>
      <c r="X150" s="2">
        <f>IF(TipoProgramaPersonalTecnico=1,$E150*'a)Plantilla'!$C52*Programa!D$30,IF(TipoProgramaPersonalTecnico=2,$E150*X149,$E150/Hjor*X149))</f>
        <v>0</v>
      </c>
      <c r="Y150" s="2">
        <f>IF(TipoProgramaPersonalTecnico=1,$E150*'a)Plantilla'!$C52*Programa!D$31,IF(TipoProgramaPersonalTecnico=2,$E150*Y149,$E150/Hjor*Y149))</f>
        <v>0</v>
      </c>
      <c r="Z150" s="2">
        <f>IF(TipoProgramaPersonalTecnico=1,$E150*'a)Plantilla'!$C52*Programa!D$32,IF(TipoProgramaPersonalTecnico=2,$E150*Z149,$E150/Hjor*Z149))</f>
        <v>0</v>
      </c>
      <c r="AA150" s="2">
        <f>IF(TipoProgramaPersonalTecnico=1,$E150*'a)Plantilla'!$C52*Programa!D$33,IF(TipoProgramaPersonalTecnico=2,$E150*AA149,$E150/Hjor*AA149))</f>
        <v>0</v>
      </c>
      <c r="AB150" s="2">
        <f>IF(TipoProgramaPersonalTecnico=1,$E150*'a)Plantilla'!$C52*Programa!D$34,IF(TipoProgramaPersonalTecnico=2,$E150*AB149,$E150/Hjor*AB149))</f>
        <v>0</v>
      </c>
      <c r="AC150" s="2">
        <f>IF(TipoProgramaPersonalTecnico=1,$E150*'a)Plantilla'!$C52*Programa!D$35,IF(TipoProgramaPersonalTecnico=2,$E150*AC149,$E150/Hjor*AC149))</f>
        <v>0</v>
      </c>
      <c r="AD150" s="12">
        <f>IF(TipoProgramaPersonalTecnico=1,$E150*'a)Plantilla'!$C52*Programa!D$36,IF(TipoProgramaPersonalTecnico=2,$E150*AD149,$E150/Hjor*AD149))</f>
        <v>0</v>
      </c>
      <c r="AE150" s="7">
        <f>IF(TipoProgramaPersonalTecnico=1,$E150*'a)Plantilla'!$C52*Programa!D$37,IF(TipoProgramaPersonalTecnico=2,$E150*AE149,$E150/Hjor*AE149))</f>
        <v>0</v>
      </c>
      <c r="AF150" s="2">
        <f>IF(TipoProgramaPersonalTecnico=1,$E150*'a)Plantilla'!$C52*Programa!D$38,IF(TipoProgramaPersonalTecnico=2,$E150*AF149,$E150/Hjor*AF149))</f>
        <v>0</v>
      </c>
      <c r="AG150" s="2">
        <f>IF(TipoProgramaPersonalTecnico=1,$E150*'a)Plantilla'!$C52*Programa!D$39,IF(TipoProgramaPersonalTecnico=2,$E150*AG149,$E150/Hjor*AG149))</f>
        <v>0</v>
      </c>
      <c r="AH150" s="2">
        <f>IF(TipoProgramaPersonalTecnico=1,$E150*'a)Plantilla'!$C52*Programa!D$40,IF(TipoProgramaPersonalTecnico=2,$E150*AH149,$E150/Hjor*AH149))</f>
        <v>0</v>
      </c>
      <c r="AI150" s="2">
        <f>IF(TipoProgramaPersonalTecnico=1,$E150*'a)Plantilla'!$C52*Programa!D$41,IF(TipoProgramaPersonalTecnico=2,$E150*AI149,$E150/Hjor*AI149))</f>
        <v>0</v>
      </c>
      <c r="AJ150" s="2">
        <f>IF(TipoProgramaPersonalTecnico=1,$E150*'a)Plantilla'!$C52*Programa!D$42,IF(TipoProgramaPersonalTecnico=2,$E150*AJ149,$E150/Hjor*AJ149))</f>
        <v>0</v>
      </c>
      <c r="AK150" s="2">
        <f>IF(TipoProgramaPersonalTecnico=1,$E150*'a)Plantilla'!$C52*Programa!D$43,IF(TipoProgramaPersonalTecnico=2,$E150*AK149,$E150/Hjor*AK149))</f>
        <v>0</v>
      </c>
      <c r="AL150" s="2">
        <f>IF(TipoProgramaPersonalTecnico=1,$E150*'a)Plantilla'!$C52*Programa!D$44,IF(TipoProgramaPersonalTecnico=2,$E150*AL149,$E150/Hjor*AL149))</f>
        <v>0</v>
      </c>
      <c r="AM150" s="2">
        <f>IF(TipoProgramaPersonalTecnico=1,$E150*'a)Plantilla'!$C52*Programa!D$45,IF(TipoProgramaPersonalTecnico=2,$E150*AM149,$E150/Hjor*AM149))</f>
        <v>0</v>
      </c>
      <c r="AN150" s="2">
        <f>IF(TipoProgramaPersonalTecnico=1,$E150*'a)Plantilla'!$C52*Programa!D$46,IF(TipoProgramaPersonalTecnico=2,$E150*AN149,$E150/Hjor*AN149))</f>
        <v>0</v>
      </c>
      <c r="AO150" s="2">
        <f>IF(TipoProgramaPersonalTecnico=1,$E150*'a)Plantilla'!$C52*Programa!D$47,IF(TipoProgramaPersonalTecnico=2,$E150*AO149,$E150/Hjor*AO149))</f>
        <v>0</v>
      </c>
      <c r="AP150" s="12">
        <f>IF(TipoProgramaPersonalTecnico=1,$E150*'a)Plantilla'!$C52*Programa!D$48,IF(TipoProgramaPersonalTecnico=2,$E150*AP149,$E150/Hjor*AP149))</f>
        <v>0</v>
      </c>
      <c r="AQ150" s="7">
        <f>IF(TipoProgramaPersonalTecnico=1,$E150*'a)Plantilla'!$C52*Programa!D$49,IF(TipoProgramaPersonalTecnico=2,$E150*AQ149,$E150/Hjor*AQ149))</f>
        <v>0</v>
      </c>
      <c r="AR150" s="2">
        <f>IF(TipoProgramaPersonalTecnico=1,$E150*'a)Plantilla'!$C52*Programa!D$50,IF(TipoProgramaPersonalTecnico=2,$E150*AR149,$E150/Hjor*AR149))</f>
        <v>0</v>
      </c>
      <c r="AS150" s="2">
        <f>IF(TipoProgramaPersonalTecnico=1,$E150*'a)Plantilla'!$C52*Programa!D$51,IF(TipoProgramaPersonalTecnico=2,$E150*AS149,$E150/Hjor*AS149))</f>
        <v>0</v>
      </c>
      <c r="AT150" s="2">
        <f>IF(TipoProgramaPersonalTecnico=1,$E150*'a)Plantilla'!$C52*Programa!D$52,IF(TipoProgramaPersonalTecnico=2,$E150*AT149,$E150/Hjor*AT149))</f>
        <v>0</v>
      </c>
      <c r="AU150" s="2">
        <f>IF(TipoProgramaPersonalTecnico=1,$E150*'a)Plantilla'!$C52*Programa!D$53,IF(TipoProgramaPersonalTecnico=2,$E150*AU149,$E150/Hjor*AU149))</f>
        <v>0</v>
      </c>
      <c r="AV150" s="2">
        <f>IF(TipoProgramaPersonalTecnico=1,$E150*'a)Plantilla'!$C52*Programa!D$54,IF(TipoProgramaPersonalTecnico=2,$E150*AV149,$E150/Hjor*AV149))</f>
        <v>0</v>
      </c>
      <c r="AW150" s="2">
        <f>IF(TipoProgramaPersonalTecnico=1,$E150*'a)Plantilla'!$C52*Programa!D$55,IF(TipoProgramaPersonalTecnico=2,$E150*AW149,$E150/Hjor*AW149))</f>
        <v>0</v>
      </c>
      <c r="AX150" s="2">
        <f>IF(TipoProgramaPersonalTecnico=1,$E150*'a)Plantilla'!$C52*Programa!D$56,IF(TipoProgramaPersonalTecnico=2,$E150*AX149,$E150/Hjor*AX149))</f>
        <v>0</v>
      </c>
      <c r="AY150" s="2">
        <f>IF(TipoProgramaPersonalTecnico=1,$E150*'a)Plantilla'!$C52*Programa!D$57,IF(TipoProgramaPersonalTecnico=2,$E150*AY149,$E150/Hjor*AY149))</f>
        <v>0</v>
      </c>
      <c r="AZ150" s="2">
        <f>IF(TipoProgramaPersonalTecnico=1,$E150*'a)Plantilla'!$C52*Programa!D$58,IF(TipoProgramaPersonalTecnico=2,$E150*AZ149,$E150/Hjor*AZ149))</f>
        <v>0</v>
      </c>
      <c r="BA150" s="55">
        <f>IF(TipoProgramaPersonalTecnico=1,$E150*'a)Plantilla'!$C52*Programa!D$59,IF(TipoProgramaPersonalTecnico=2,$E150*BA149,$E150/Hjor*BA149))</f>
        <v>0</v>
      </c>
      <c r="BB150" s="56">
        <f>IF(TipoProgramaPersonalTecnico=1,$E150*'a)Plantilla'!$C52*Programa!D$60,IF(TipoProgramaPersonalTecnico=2,$E150*BB149,$E150/Hjor*BB149))</f>
        <v>0</v>
      </c>
      <c r="BC150" s="53">
        <f>IF(TipoProgramaPersonalTecnico=1,$E150*'a)Plantilla'!$C52*Programa!D$61,IF(TipoProgramaPersonalTecnico=2,$E150*BC149,$E150/Hjor*BC149))</f>
        <v>0</v>
      </c>
      <c r="BD150" s="2">
        <f>IF(TipoProgramaPersonalTecnico=1,$E150*'a)Plantilla'!$C52*Programa!D$62,IF(TipoProgramaPersonalTecnico=2,$E150*BD149,$E150/Hjor*BD149))</f>
        <v>0</v>
      </c>
      <c r="BE150" s="2">
        <f>IF(TipoProgramaPersonalTecnico=1,$E150*'a)Plantilla'!$C52*Programa!D$63,IF(TipoProgramaPersonalTecnico=2,$E150*BE149,$E150/Hjor*BE149))</f>
        <v>0</v>
      </c>
      <c r="BF150" s="2">
        <f>IF(TipoProgramaPersonalTecnico=1,$E150*'a)Plantilla'!$C52*Programa!D$64,IF(TipoProgramaPersonalTecnico=2,$E150*BF149,$E150/Hjor*BF149))</f>
        <v>0</v>
      </c>
      <c r="BG150" s="2">
        <f>IF(TipoProgramaPersonalTecnico=1,$E150*'a)Plantilla'!$C52*Programa!D$65,IF(TipoProgramaPersonalTecnico=2,$E150*BG149,$E150/Hjor*BG149))</f>
        <v>0</v>
      </c>
      <c r="BH150" s="2">
        <f>IF(TipoProgramaPersonalTecnico=1,$E150*'a)Plantilla'!$C52*Programa!D$66,IF(TipoProgramaPersonalTecnico=2,$E150*BH149,$E150/Hjor*BH149))</f>
        <v>0</v>
      </c>
      <c r="BI150" s="2">
        <f>IF(TipoProgramaPersonalTecnico=1,$E150*'a)Plantilla'!$C52*Programa!D$67,IF(TipoProgramaPersonalTecnico=2,$E150*BI149,$E150/Hjor*BI149))</f>
        <v>0</v>
      </c>
      <c r="BJ150" s="2">
        <f>IF(TipoProgramaPersonalTecnico=1,$E150*'a)Plantilla'!$C52*Programa!D$68,IF(TipoProgramaPersonalTecnico=2,$E150*BJ149,$E150/Hjor*BJ149))</f>
        <v>0</v>
      </c>
      <c r="BK150" s="2">
        <f>IF(TipoProgramaPersonalTecnico=1,$E150*'a)Plantilla'!$C52*Programa!D$69,IF(TipoProgramaPersonalTecnico=2,$E150*BK149,$E150/Hjor*BK149))</f>
        <v>0</v>
      </c>
      <c r="BL150" s="2">
        <f>IF(TipoProgramaPersonalTecnico=1,$E150*'a)Plantilla'!$C52*Programa!D$70,IF(TipoProgramaPersonalTecnico=2,$E150*BL149,$E150/Hjor*BL149))</f>
        <v>0</v>
      </c>
      <c r="BM150" s="2">
        <f>IF(TipoProgramaPersonalTecnico=1,$E150*'a)Plantilla'!$C52*Programa!D$71,IF(TipoProgramaPersonalTecnico=2,$E150*BM149,$E150/Hjor*BM149))</f>
        <v>0</v>
      </c>
      <c r="BN150" s="12">
        <f>IF(TipoProgramaPersonalTecnico=1,$E150*'a)Plantilla'!$C52*Programa!D$72,IF(TipoProgramaPersonalTecnico=2,$E150*BN149,$E150/Hjor*BN149))</f>
        <v>0</v>
      </c>
    </row>
    <row r="151" spans="1:66" ht="7.5" customHeight="1">
      <c r="A151" s="67"/>
      <c r="B151" s="19"/>
      <c r="C151" s="127"/>
      <c r="D151" s="54"/>
      <c r="E151" s="19"/>
      <c r="F151" s="19"/>
      <c r="G151" s="1" t="s">
        <v>168</v>
      </c>
      <c r="H151" s="1" t="s">
        <v>168</v>
      </c>
      <c r="I151" s="1" t="s">
        <v>168</v>
      </c>
      <c r="J151" s="1" t="s">
        <v>168</v>
      </c>
      <c r="K151" s="1" t="s">
        <v>168</v>
      </c>
      <c r="L151" s="1" t="s">
        <v>168</v>
      </c>
      <c r="M151" s="1" t="s">
        <v>168</v>
      </c>
      <c r="N151" s="1" t="s">
        <v>168</v>
      </c>
      <c r="O151" s="1" t="s">
        <v>168</v>
      </c>
      <c r="P151" s="1" t="s">
        <v>168</v>
      </c>
      <c r="Q151" s="1" t="s">
        <v>168</v>
      </c>
      <c r="R151" s="8" t="s">
        <v>168</v>
      </c>
      <c r="S151" s="13" t="s">
        <v>168</v>
      </c>
      <c r="T151" s="1" t="s">
        <v>168</v>
      </c>
      <c r="U151" s="1" t="s">
        <v>168</v>
      </c>
      <c r="V151" s="1" t="s">
        <v>168</v>
      </c>
      <c r="W151" s="1" t="s">
        <v>168</v>
      </c>
      <c r="X151" s="1" t="s">
        <v>168</v>
      </c>
      <c r="Y151" s="1" t="s">
        <v>168</v>
      </c>
      <c r="Z151" s="1" t="s">
        <v>168</v>
      </c>
      <c r="AA151" s="1" t="s">
        <v>168</v>
      </c>
      <c r="AB151" s="1" t="s">
        <v>168</v>
      </c>
      <c r="AC151" s="1" t="s">
        <v>168</v>
      </c>
      <c r="AD151" s="8" t="s">
        <v>168</v>
      </c>
      <c r="AE151" s="13" t="s">
        <v>168</v>
      </c>
      <c r="AF151" s="1" t="s">
        <v>168</v>
      </c>
      <c r="AG151" s="1" t="s">
        <v>168</v>
      </c>
      <c r="AH151" s="1" t="s">
        <v>168</v>
      </c>
      <c r="AI151" s="1" t="s">
        <v>168</v>
      </c>
      <c r="AJ151" s="1" t="s">
        <v>168</v>
      </c>
      <c r="AK151" s="1" t="s">
        <v>168</v>
      </c>
      <c r="AL151" s="1" t="s">
        <v>168</v>
      </c>
      <c r="AM151" s="1" t="s">
        <v>168</v>
      </c>
      <c r="AN151" s="1" t="s">
        <v>168</v>
      </c>
      <c r="AO151" s="1" t="s">
        <v>168</v>
      </c>
      <c r="AP151" s="8" t="s">
        <v>168</v>
      </c>
      <c r="AQ151" s="13" t="s">
        <v>168</v>
      </c>
      <c r="AR151" s="1" t="s">
        <v>168</v>
      </c>
      <c r="AS151" s="1" t="s">
        <v>168</v>
      </c>
      <c r="AT151" s="1" t="s">
        <v>168</v>
      </c>
      <c r="AU151" s="1" t="s">
        <v>168</v>
      </c>
      <c r="AV151" s="1" t="s">
        <v>168</v>
      </c>
      <c r="AW151" s="1" t="s">
        <v>168</v>
      </c>
      <c r="AX151" s="1" t="s">
        <v>168</v>
      </c>
      <c r="AY151" s="1" t="s">
        <v>168</v>
      </c>
      <c r="AZ151" s="1" t="s">
        <v>168</v>
      </c>
      <c r="BA151" s="1" t="s">
        <v>168</v>
      </c>
      <c r="BB151" s="8" t="s">
        <v>168</v>
      </c>
      <c r="BC151" s="13" t="s">
        <v>168</v>
      </c>
      <c r="BD151" s="1" t="s">
        <v>168</v>
      </c>
      <c r="BE151" s="1" t="s">
        <v>168</v>
      </c>
      <c r="BF151" s="1" t="s">
        <v>168</v>
      </c>
      <c r="BG151" s="1" t="s">
        <v>168</v>
      </c>
      <c r="BH151" s="1" t="s">
        <v>168</v>
      </c>
      <c r="BI151" s="1" t="s">
        <v>168</v>
      </c>
      <c r="BJ151" s="1" t="s">
        <v>168</v>
      </c>
      <c r="BK151" s="1" t="s">
        <v>168</v>
      </c>
      <c r="BL151" s="1" t="s">
        <v>168</v>
      </c>
      <c r="BM151" s="1" t="s">
        <v>168</v>
      </c>
      <c r="BN151" s="8" t="s">
        <v>168</v>
      </c>
    </row>
    <row r="152" spans="1:66">
      <c r="A152" s="67"/>
      <c r="B152" s="46"/>
      <c r="C152" s="127"/>
      <c r="D152" s="52"/>
      <c r="E152" s="7"/>
      <c r="F152" s="7"/>
      <c r="G152" s="3">
        <f>'d)Pers.Técnico'!E107</f>
        <v>0</v>
      </c>
      <c r="H152" s="3">
        <f>'d)Pers.Técnico'!F107</f>
        <v>0</v>
      </c>
      <c r="I152" s="3">
        <f>'d)Pers.Técnico'!G107</f>
        <v>0</v>
      </c>
      <c r="J152" s="3">
        <f>'d)Pers.Técnico'!H107</f>
        <v>0</v>
      </c>
      <c r="K152" s="3">
        <f>'d)Pers.Técnico'!I107</f>
        <v>0</v>
      </c>
      <c r="L152" s="3">
        <f>'d)Pers.Técnico'!J107</f>
        <v>0</v>
      </c>
      <c r="M152" s="3">
        <f>'d)Pers.Técnico'!K107</f>
        <v>0</v>
      </c>
      <c r="N152" s="3">
        <f>'d)Pers.Técnico'!L107</f>
        <v>0</v>
      </c>
      <c r="O152" s="3">
        <f>'d)Pers.Técnico'!M107</f>
        <v>0</v>
      </c>
      <c r="P152" s="3">
        <f>'d)Pers.Técnico'!N107</f>
        <v>0</v>
      </c>
      <c r="Q152" s="3">
        <f>'d)Pers.Técnico'!O107</f>
        <v>0</v>
      </c>
      <c r="R152" s="14">
        <f>'d)Pers.Técnico'!P107</f>
        <v>0</v>
      </c>
      <c r="S152" s="20">
        <f>'d)Pers.Técnico'!Q107</f>
        <v>0</v>
      </c>
      <c r="T152" s="3">
        <f>'d)Pers.Técnico'!R107</f>
        <v>0</v>
      </c>
      <c r="U152" s="3">
        <f>'d)Pers.Técnico'!S107</f>
        <v>0</v>
      </c>
      <c r="V152" s="3">
        <f>'d)Pers.Técnico'!T107</f>
        <v>0</v>
      </c>
      <c r="W152" s="3">
        <f>'d)Pers.Técnico'!U107</f>
        <v>0</v>
      </c>
      <c r="X152" s="3">
        <f>'d)Pers.Técnico'!V107</f>
        <v>0</v>
      </c>
      <c r="Y152" s="3">
        <f>'d)Pers.Técnico'!W107</f>
        <v>0</v>
      </c>
      <c r="Z152" s="3">
        <f>'d)Pers.Técnico'!X107</f>
        <v>0</v>
      </c>
      <c r="AA152" s="3">
        <f>'d)Pers.Técnico'!Y107</f>
        <v>0</v>
      </c>
      <c r="AB152" s="3">
        <f>'d)Pers.Técnico'!Z107</f>
        <v>0</v>
      </c>
      <c r="AC152" s="3">
        <f>'d)Pers.Técnico'!AA107</f>
        <v>0</v>
      </c>
      <c r="AD152" s="14">
        <f>'d)Pers.Técnico'!AB107</f>
        <v>0</v>
      </c>
      <c r="AE152" s="20">
        <f>'d)Pers.Técnico'!AC107</f>
        <v>0</v>
      </c>
      <c r="AF152" s="3">
        <f>'d)Pers.Técnico'!AD107</f>
        <v>0</v>
      </c>
      <c r="AG152" s="3">
        <f>'d)Pers.Técnico'!AE107</f>
        <v>0</v>
      </c>
      <c r="AH152" s="3">
        <f>'d)Pers.Técnico'!AF107</f>
        <v>0</v>
      </c>
      <c r="AI152" s="3">
        <f>'d)Pers.Técnico'!AG107</f>
        <v>0</v>
      </c>
      <c r="AJ152" s="3">
        <f>'d)Pers.Técnico'!AH107</f>
        <v>0</v>
      </c>
      <c r="AK152" s="3">
        <f>'d)Pers.Técnico'!AI107</f>
        <v>0</v>
      </c>
      <c r="AL152" s="3">
        <f>'d)Pers.Técnico'!AJ107</f>
        <v>0</v>
      </c>
      <c r="AM152" s="3">
        <f>'d)Pers.Técnico'!AK107</f>
        <v>0</v>
      </c>
      <c r="AN152" s="3">
        <f>'d)Pers.Técnico'!AL107</f>
        <v>0</v>
      </c>
      <c r="AO152" s="3">
        <f>'d)Pers.Técnico'!AM107</f>
        <v>0</v>
      </c>
      <c r="AP152" s="14">
        <f>'d)Pers.Técnico'!AN107</f>
        <v>0</v>
      </c>
      <c r="AQ152" s="20">
        <f>'d)Pers.Técnico'!AO107</f>
        <v>0</v>
      </c>
      <c r="AR152" s="3">
        <f>'d)Pers.Técnico'!AP107</f>
        <v>0</v>
      </c>
      <c r="AS152" s="3">
        <f>'d)Pers.Técnico'!AQ107</f>
        <v>0</v>
      </c>
      <c r="AT152" s="3">
        <f>'d)Pers.Técnico'!AR107</f>
        <v>0</v>
      </c>
      <c r="AU152" s="3">
        <f>'d)Pers.Técnico'!AS107</f>
        <v>0</v>
      </c>
      <c r="AV152" s="3">
        <f>'d)Pers.Técnico'!AT107</f>
        <v>0</v>
      </c>
      <c r="AW152" s="3">
        <f>'d)Pers.Técnico'!AU107</f>
        <v>0</v>
      </c>
      <c r="AX152" s="3">
        <f>'d)Pers.Técnico'!AV107</f>
        <v>0</v>
      </c>
      <c r="AY152" s="3">
        <f>'d)Pers.Técnico'!AW107</f>
        <v>0</v>
      </c>
      <c r="AZ152" s="3">
        <f>'d)Pers.Técnico'!AX107</f>
        <v>0</v>
      </c>
      <c r="BA152" s="1">
        <f>'d)Pers.Técnico'!AY107</f>
        <v>0</v>
      </c>
      <c r="BB152" s="60">
        <f>'d)Pers.Técnico'!AZ107</f>
        <v>0</v>
      </c>
      <c r="BC152" s="61">
        <f>'d)Pers.Técnico'!BA107</f>
        <v>0</v>
      </c>
      <c r="BD152" s="3">
        <f>'d)Pers.Técnico'!BB107</f>
        <v>0</v>
      </c>
      <c r="BE152" s="3">
        <f>'d)Pers.Técnico'!BC107</f>
        <v>0</v>
      </c>
      <c r="BF152" s="3">
        <f>'d)Pers.Técnico'!BD107</f>
        <v>0</v>
      </c>
      <c r="BG152" s="3">
        <f>'d)Pers.Técnico'!BE107</f>
        <v>0</v>
      </c>
      <c r="BH152" s="3">
        <f>'d)Pers.Técnico'!BF107</f>
        <v>0</v>
      </c>
      <c r="BI152" s="3">
        <f>'d)Pers.Técnico'!BG107</f>
        <v>0</v>
      </c>
      <c r="BJ152" s="3">
        <f>'d)Pers.Técnico'!BH107</f>
        <v>0</v>
      </c>
      <c r="BK152" s="3">
        <f>'d)Pers.Técnico'!BI107</f>
        <v>0</v>
      </c>
      <c r="BL152" s="3">
        <f>'d)Pers.Técnico'!BJ107</f>
        <v>0</v>
      </c>
      <c r="BM152" s="3">
        <f>'d)Pers.Técnico'!BK107</f>
        <v>0</v>
      </c>
      <c r="BN152" s="14">
        <f>'d)Pers.Técnico'!BL107</f>
        <v>0</v>
      </c>
    </row>
    <row r="153" spans="1:66">
      <c r="A153" s="67"/>
      <c r="B153" s="46" t="str">
        <f>+'d)Pers.Técnico'!B107</f>
        <v/>
      </c>
      <c r="C153" s="127" t="str">
        <f>'d)Pers.Técnico'!C107</f>
        <v/>
      </c>
      <c r="D153" s="52">
        <f>SUM(G152:BN152)</f>
        <v>0</v>
      </c>
      <c r="E153" s="7">
        <f>IF('a)Plantilla'!C53&gt;0,'a)Plantilla'!D53/30,0)</f>
        <v>0</v>
      </c>
      <c r="F153" s="7">
        <f>SUM(G153:BN153)</f>
        <v>0</v>
      </c>
      <c r="G153" s="2">
        <f>IF(TipoProgramaPersonalTecnico=1,$E153*'a)Plantilla'!$C53*Programa!D$13,IF(TipoProgramaPersonalTecnico=2,$E153*G152,$E153/Hjor*G152))</f>
        <v>0</v>
      </c>
      <c r="H153" s="2">
        <f>IF(TipoProgramaPersonalTecnico=1,$E153*'a)Plantilla'!$C53*Programa!D$14,IF(TipoProgramaPersonalTecnico=2,$E153*H152,$E153/Hjor*H152))</f>
        <v>0</v>
      </c>
      <c r="I153" s="2">
        <f>IF(TipoProgramaPersonalTecnico=1,$E153*'a)Plantilla'!$C53*Programa!D$15,IF(TipoProgramaPersonalTecnico=2,$E153*I152,$E153/Hjor*I152))</f>
        <v>0</v>
      </c>
      <c r="J153" s="2">
        <f>IF(TipoProgramaPersonalTecnico=1,$E153*'a)Plantilla'!$C53*Programa!D$16,IF(TipoProgramaPersonalTecnico=2,$E153*J152,$E153/Hjor*J152))</f>
        <v>0</v>
      </c>
      <c r="K153" s="2">
        <f>IF(TipoProgramaPersonalTecnico=1,$E153*'a)Plantilla'!$C53*Programa!D$17,IF(TipoProgramaPersonalTecnico=2,$E153*K152,$E153/Hjor*K152))</f>
        <v>0</v>
      </c>
      <c r="L153" s="2">
        <f>IF(TipoProgramaPersonalTecnico=1,$E153*'a)Plantilla'!$C53*Programa!D$18,IF(TipoProgramaPersonalTecnico=2,$E153*L152,$E153/Hjor*L152))</f>
        <v>0</v>
      </c>
      <c r="M153" s="2">
        <f>IF(TipoProgramaPersonalTecnico=1,$E153*'a)Plantilla'!$C53*Programa!D$19,IF(TipoProgramaPersonalTecnico=2,$E153*M152,$E153/Hjor*M152))</f>
        <v>0</v>
      </c>
      <c r="N153" s="2">
        <f>IF(TipoProgramaPersonalTecnico=1,$E153*'a)Plantilla'!$C53*Programa!D$20,IF(TipoProgramaPersonalTecnico=2,$E153*N152,$E153/Hjor*N152))</f>
        <v>0</v>
      </c>
      <c r="O153" s="2">
        <f>IF(TipoProgramaPersonalTecnico=1,$E153*'a)Plantilla'!$C53*Programa!D$21,IF(TipoProgramaPersonalTecnico=2,$E153*O152,$E153/Hjor*O152))</f>
        <v>0</v>
      </c>
      <c r="P153" s="2">
        <f>IF(TipoProgramaPersonalTecnico=1,$E153*'a)Plantilla'!$C53*Programa!D$22,IF(TipoProgramaPersonalTecnico=2,$E153*P152,$E153/Hjor*P152))</f>
        <v>0</v>
      </c>
      <c r="Q153" s="2">
        <f>IF(TipoProgramaPersonalTecnico=1,$E153*'a)Plantilla'!$C53*Programa!D$23,IF(TipoProgramaPersonalTecnico=2,$E153*Q152,$E153/Hjor*Q152))</f>
        <v>0</v>
      </c>
      <c r="R153" s="12">
        <f>IF(TipoProgramaPersonalTecnico=1,$E153*'a)Plantilla'!$C53*Programa!D$24,IF(TipoProgramaPersonalTecnico=2,$E153*R152,$E153/Hjor*R152))</f>
        <v>0</v>
      </c>
      <c r="S153" s="7">
        <f>IF(TipoProgramaPersonalTecnico=1,$E153*'a)Plantilla'!$C53*Programa!D$25,IF(TipoProgramaPersonalTecnico=2,$E153*S152,$E153/Hjor*S152))</f>
        <v>0</v>
      </c>
      <c r="T153" s="2">
        <f>IF(TipoProgramaPersonalTecnico=1,$E153*'a)Plantilla'!$C53*Programa!D$26,IF(TipoProgramaPersonalTecnico=2,$E153*T152,$E153/Hjor*T152))</f>
        <v>0</v>
      </c>
      <c r="U153" s="2">
        <f>IF(TipoProgramaPersonalTecnico=1,$E153*'a)Plantilla'!$C53*Programa!D$27,IF(TipoProgramaPersonalTecnico=2,$E153*U152,$E153/Hjor*U152))</f>
        <v>0</v>
      </c>
      <c r="V153" s="2">
        <f>IF(TipoProgramaPersonalTecnico=1,$E153*'a)Plantilla'!$C53*Programa!D$28,IF(TipoProgramaPersonalTecnico=2,$E153*V152,$E153/Hjor*V152))</f>
        <v>0</v>
      </c>
      <c r="W153" s="2">
        <f>IF(TipoProgramaPersonalTecnico=1,$E153*'a)Plantilla'!$C53*Programa!D$29,IF(TipoProgramaPersonalTecnico=2,$E153*W152,$E153/Hjor*W152))</f>
        <v>0</v>
      </c>
      <c r="X153" s="2">
        <f>IF(TipoProgramaPersonalTecnico=1,$E153*'a)Plantilla'!$C53*Programa!D$30,IF(TipoProgramaPersonalTecnico=2,$E153*X152,$E153/Hjor*X152))</f>
        <v>0</v>
      </c>
      <c r="Y153" s="2">
        <f>IF(TipoProgramaPersonalTecnico=1,$E153*'a)Plantilla'!$C53*Programa!D$31,IF(TipoProgramaPersonalTecnico=2,$E153*Y152,$E153/Hjor*Y152))</f>
        <v>0</v>
      </c>
      <c r="Z153" s="2">
        <f>IF(TipoProgramaPersonalTecnico=1,$E153*'a)Plantilla'!$C53*Programa!D$32,IF(TipoProgramaPersonalTecnico=2,$E153*Z152,$E153/Hjor*Z152))</f>
        <v>0</v>
      </c>
      <c r="AA153" s="2">
        <f>IF(TipoProgramaPersonalTecnico=1,$E153*'a)Plantilla'!$C53*Programa!D$33,IF(TipoProgramaPersonalTecnico=2,$E153*AA152,$E153/Hjor*AA152))</f>
        <v>0</v>
      </c>
      <c r="AB153" s="2">
        <f>IF(TipoProgramaPersonalTecnico=1,$E153*'a)Plantilla'!$C53*Programa!D$34,IF(TipoProgramaPersonalTecnico=2,$E153*AB152,$E153/Hjor*AB152))</f>
        <v>0</v>
      </c>
      <c r="AC153" s="2">
        <f>IF(TipoProgramaPersonalTecnico=1,$E153*'a)Plantilla'!$C53*Programa!D$35,IF(TipoProgramaPersonalTecnico=2,$E153*AC152,$E153/Hjor*AC152))</f>
        <v>0</v>
      </c>
      <c r="AD153" s="12">
        <f>IF(TipoProgramaPersonalTecnico=1,$E153*'a)Plantilla'!$C53*Programa!D$36,IF(TipoProgramaPersonalTecnico=2,$E153*AD152,$E153/Hjor*AD152))</f>
        <v>0</v>
      </c>
      <c r="AE153" s="7">
        <f>IF(TipoProgramaPersonalTecnico=1,$E153*'a)Plantilla'!$C53*Programa!D$37,IF(TipoProgramaPersonalTecnico=2,$E153*AE152,$E153/Hjor*AE152))</f>
        <v>0</v>
      </c>
      <c r="AF153" s="2">
        <f>IF(TipoProgramaPersonalTecnico=1,$E153*'a)Plantilla'!$C53*Programa!D$38,IF(TipoProgramaPersonalTecnico=2,$E153*AF152,$E153/Hjor*AF152))</f>
        <v>0</v>
      </c>
      <c r="AG153" s="2">
        <f>IF(TipoProgramaPersonalTecnico=1,$E153*'a)Plantilla'!$C53*Programa!D$39,IF(TipoProgramaPersonalTecnico=2,$E153*AG152,$E153/Hjor*AG152))</f>
        <v>0</v>
      </c>
      <c r="AH153" s="2">
        <f>IF(TipoProgramaPersonalTecnico=1,$E153*'a)Plantilla'!$C53*Programa!D$40,IF(TipoProgramaPersonalTecnico=2,$E153*AH152,$E153/Hjor*AH152))</f>
        <v>0</v>
      </c>
      <c r="AI153" s="2">
        <f>IF(TipoProgramaPersonalTecnico=1,$E153*'a)Plantilla'!$C53*Programa!D$41,IF(TipoProgramaPersonalTecnico=2,$E153*AI152,$E153/Hjor*AI152))</f>
        <v>0</v>
      </c>
      <c r="AJ153" s="2">
        <f>IF(TipoProgramaPersonalTecnico=1,$E153*'a)Plantilla'!$C53*Programa!D$42,IF(TipoProgramaPersonalTecnico=2,$E153*AJ152,$E153/Hjor*AJ152))</f>
        <v>0</v>
      </c>
      <c r="AK153" s="2">
        <f>IF(TipoProgramaPersonalTecnico=1,$E153*'a)Plantilla'!$C53*Programa!D$43,IF(TipoProgramaPersonalTecnico=2,$E153*AK152,$E153/Hjor*AK152))</f>
        <v>0</v>
      </c>
      <c r="AL153" s="2">
        <f>IF(TipoProgramaPersonalTecnico=1,$E153*'a)Plantilla'!$C53*Programa!D$44,IF(TipoProgramaPersonalTecnico=2,$E153*AL152,$E153/Hjor*AL152))</f>
        <v>0</v>
      </c>
      <c r="AM153" s="2">
        <f>IF(TipoProgramaPersonalTecnico=1,$E153*'a)Plantilla'!$C53*Programa!D$45,IF(TipoProgramaPersonalTecnico=2,$E153*AM152,$E153/Hjor*AM152))</f>
        <v>0</v>
      </c>
      <c r="AN153" s="2">
        <f>IF(TipoProgramaPersonalTecnico=1,$E153*'a)Plantilla'!$C53*Programa!D$46,IF(TipoProgramaPersonalTecnico=2,$E153*AN152,$E153/Hjor*AN152))</f>
        <v>0</v>
      </c>
      <c r="AO153" s="2">
        <f>IF(TipoProgramaPersonalTecnico=1,$E153*'a)Plantilla'!$C53*Programa!D$47,IF(TipoProgramaPersonalTecnico=2,$E153*AO152,$E153/Hjor*AO152))</f>
        <v>0</v>
      </c>
      <c r="AP153" s="12">
        <f>IF(TipoProgramaPersonalTecnico=1,$E153*'a)Plantilla'!$C53*Programa!D$48,IF(TipoProgramaPersonalTecnico=2,$E153*AP152,$E153/Hjor*AP152))</f>
        <v>0</v>
      </c>
      <c r="AQ153" s="7">
        <f>IF(TipoProgramaPersonalTecnico=1,$E153*'a)Plantilla'!$C53*Programa!D$49,IF(TipoProgramaPersonalTecnico=2,$E153*AQ152,$E153/Hjor*AQ152))</f>
        <v>0</v>
      </c>
      <c r="AR153" s="2">
        <f>IF(TipoProgramaPersonalTecnico=1,$E153*'a)Plantilla'!$C53*Programa!D$50,IF(TipoProgramaPersonalTecnico=2,$E153*AR152,$E153/Hjor*AR152))</f>
        <v>0</v>
      </c>
      <c r="AS153" s="2">
        <f>IF(TipoProgramaPersonalTecnico=1,$E153*'a)Plantilla'!$C53*Programa!D$51,IF(TipoProgramaPersonalTecnico=2,$E153*AS152,$E153/Hjor*AS152))</f>
        <v>0</v>
      </c>
      <c r="AT153" s="2">
        <f>IF(TipoProgramaPersonalTecnico=1,$E153*'a)Plantilla'!$C53*Programa!D$52,IF(TipoProgramaPersonalTecnico=2,$E153*AT152,$E153/Hjor*AT152))</f>
        <v>0</v>
      </c>
      <c r="AU153" s="2">
        <f>IF(TipoProgramaPersonalTecnico=1,$E153*'a)Plantilla'!$C53*Programa!D$53,IF(TipoProgramaPersonalTecnico=2,$E153*AU152,$E153/Hjor*AU152))</f>
        <v>0</v>
      </c>
      <c r="AV153" s="2">
        <f>IF(TipoProgramaPersonalTecnico=1,$E153*'a)Plantilla'!$C53*Programa!D$54,IF(TipoProgramaPersonalTecnico=2,$E153*AV152,$E153/Hjor*AV152))</f>
        <v>0</v>
      </c>
      <c r="AW153" s="2">
        <f>IF(TipoProgramaPersonalTecnico=1,$E153*'a)Plantilla'!$C53*Programa!D$55,IF(TipoProgramaPersonalTecnico=2,$E153*AW152,$E153/Hjor*AW152))</f>
        <v>0</v>
      </c>
      <c r="AX153" s="2">
        <f>IF(TipoProgramaPersonalTecnico=1,$E153*'a)Plantilla'!$C53*Programa!D$56,IF(TipoProgramaPersonalTecnico=2,$E153*AX152,$E153/Hjor*AX152))</f>
        <v>0</v>
      </c>
      <c r="AY153" s="2">
        <f>IF(TipoProgramaPersonalTecnico=1,$E153*'a)Plantilla'!$C53*Programa!D$57,IF(TipoProgramaPersonalTecnico=2,$E153*AY152,$E153/Hjor*AY152))</f>
        <v>0</v>
      </c>
      <c r="AZ153" s="2">
        <f>IF(TipoProgramaPersonalTecnico=1,$E153*'a)Plantilla'!$C53*Programa!D$58,IF(TipoProgramaPersonalTecnico=2,$E153*AZ152,$E153/Hjor*AZ152))</f>
        <v>0</v>
      </c>
      <c r="BA153" s="55">
        <f>IF(TipoProgramaPersonalTecnico=1,$E153*'a)Plantilla'!$C53*Programa!D$59,IF(TipoProgramaPersonalTecnico=2,$E153*BA152,$E153/Hjor*BA152))</f>
        <v>0</v>
      </c>
      <c r="BB153" s="56">
        <f>IF(TipoProgramaPersonalTecnico=1,$E153*'a)Plantilla'!$C53*Programa!D$60,IF(TipoProgramaPersonalTecnico=2,$E153*BB152,$E153/Hjor*BB152))</f>
        <v>0</v>
      </c>
      <c r="BC153" s="53">
        <f>IF(TipoProgramaPersonalTecnico=1,$E153*'a)Plantilla'!$C53*Programa!D$61,IF(TipoProgramaPersonalTecnico=2,$E153*BC152,$E153/Hjor*BC152))</f>
        <v>0</v>
      </c>
      <c r="BD153" s="2">
        <f>IF(TipoProgramaPersonalTecnico=1,$E153*'a)Plantilla'!$C53*Programa!D$62,IF(TipoProgramaPersonalTecnico=2,$E153*BD152,$E153/Hjor*BD152))</f>
        <v>0</v>
      </c>
      <c r="BE153" s="2">
        <f>IF(TipoProgramaPersonalTecnico=1,$E153*'a)Plantilla'!$C53*Programa!D$63,IF(TipoProgramaPersonalTecnico=2,$E153*BE152,$E153/Hjor*BE152))</f>
        <v>0</v>
      </c>
      <c r="BF153" s="2">
        <f>IF(TipoProgramaPersonalTecnico=1,$E153*'a)Plantilla'!$C53*Programa!D$64,IF(TipoProgramaPersonalTecnico=2,$E153*BF152,$E153/Hjor*BF152))</f>
        <v>0</v>
      </c>
      <c r="BG153" s="2">
        <f>IF(TipoProgramaPersonalTecnico=1,$E153*'a)Plantilla'!$C53*Programa!D$65,IF(TipoProgramaPersonalTecnico=2,$E153*BG152,$E153/Hjor*BG152))</f>
        <v>0</v>
      </c>
      <c r="BH153" s="2">
        <f>IF(TipoProgramaPersonalTecnico=1,$E153*'a)Plantilla'!$C53*Programa!D$66,IF(TipoProgramaPersonalTecnico=2,$E153*BH152,$E153/Hjor*BH152))</f>
        <v>0</v>
      </c>
      <c r="BI153" s="2">
        <f>IF(TipoProgramaPersonalTecnico=1,$E153*'a)Plantilla'!$C53*Programa!D$67,IF(TipoProgramaPersonalTecnico=2,$E153*BI152,$E153/Hjor*BI152))</f>
        <v>0</v>
      </c>
      <c r="BJ153" s="2">
        <f>IF(TipoProgramaPersonalTecnico=1,$E153*'a)Plantilla'!$C53*Programa!D$68,IF(TipoProgramaPersonalTecnico=2,$E153*BJ152,$E153/Hjor*BJ152))</f>
        <v>0</v>
      </c>
      <c r="BK153" s="2">
        <f>IF(TipoProgramaPersonalTecnico=1,$E153*'a)Plantilla'!$C53*Programa!D$69,IF(TipoProgramaPersonalTecnico=2,$E153*BK152,$E153/Hjor*BK152))</f>
        <v>0</v>
      </c>
      <c r="BL153" s="2">
        <f>IF(TipoProgramaPersonalTecnico=1,$E153*'a)Plantilla'!$C53*Programa!D$70,IF(TipoProgramaPersonalTecnico=2,$E153*BL152,$E153/Hjor*BL152))</f>
        <v>0</v>
      </c>
      <c r="BM153" s="2">
        <f>IF(TipoProgramaPersonalTecnico=1,$E153*'a)Plantilla'!$C53*Programa!D$71,IF(TipoProgramaPersonalTecnico=2,$E153*BM152,$E153/Hjor*BM152))</f>
        <v>0</v>
      </c>
      <c r="BN153" s="12">
        <f>IF(TipoProgramaPersonalTecnico=1,$E153*'a)Plantilla'!$C53*Programa!D$72,IF(TipoProgramaPersonalTecnico=2,$E153*BN152,$E153/Hjor*BN152))</f>
        <v>0</v>
      </c>
    </row>
    <row r="154" spans="1:66" ht="7.5" customHeight="1">
      <c r="A154" s="67"/>
      <c r="B154" s="19"/>
      <c r="C154" s="127"/>
      <c r="D154" s="54"/>
      <c r="E154" s="19"/>
      <c r="F154" s="19"/>
      <c r="G154" s="1" t="s">
        <v>168</v>
      </c>
      <c r="H154" s="1" t="s">
        <v>168</v>
      </c>
      <c r="I154" s="1" t="s">
        <v>168</v>
      </c>
      <c r="J154" s="1" t="s">
        <v>168</v>
      </c>
      <c r="K154" s="1" t="s">
        <v>168</v>
      </c>
      <c r="L154" s="1" t="s">
        <v>168</v>
      </c>
      <c r="M154" s="1" t="s">
        <v>168</v>
      </c>
      <c r="N154" s="1" t="s">
        <v>168</v>
      </c>
      <c r="O154" s="1" t="s">
        <v>168</v>
      </c>
      <c r="P154" s="1" t="s">
        <v>168</v>
      </c>
      <c r="Q154" s="1" t="s">
        <v>168</v>
      </c>
      <c r="R154" s="8" t="s">
        <v>168</v>
      </c>
      <c r="S154" s="13" t="s">
        <v>168</v>
      </c>
      <c r="T154" s="1" t="s">
        <v>168</v>
      </c>
      <c r="U154" s="1" t="s">
        <v>168</v>
      </c>
      <c r="V154" s="1" t="s">
        <v>168</v>
      </c>
      <c r="W154" s="1" t="s">
        <v>168</v>
      </c>
      <c r="X154" s="1" t="s">
        <v>168</v>
      </c>
      <c r="Y154" s="1" t="s">
        <v>168</v>
      </c>
      <c r="Z154" s="1" t="s">
        <v>168</v>
      </c>
      <c r="AA154" s="1" t="s">
        <v>168</v>
      </c>
      <c r="AB154" s="1" t="s">
        <v>168</v>
      </c>
      <c r="AC154" s="1" t="s">
        <v>168</v>
      </c>
      <c r="AD154" s="8" t="s">
        <v>168</v>
      </c>
      <c r="AE154" s="13" t="s">
        <v>168</v>
      </c>
      <c r="AF154" s="1" t="s">
        <v>168</v>
      </c>
      <c r="AG154" s="1" t="s">
        <v>168</v>
      </c>
      <c r="AH154" s="1" t="s">
        <v>168</v>
      </c>
      <c r="AI154" s="1" t="s">
        <v>168</v>
      </c>
      <c r="AJ154" s="1" t="s">
        <v>168</v>
      </c>
      <c r="AK154" s="1" t="s">
        <v>168</v>
      </c>
      <c r="AL154" s="1" t="s">
        <v>168</v>
      </c>
      <c r="AM154" s="1" t="s">
        <v>168</v>
      </c>
      <c r="AN154" s="1" t="s">
        <v>168</v>
      </c>
      <c r="AO154" s="1" t="s">
        <v>168</v>
      </c>
      <c r="AP154" s="8" t="s">
        <v>168</v>
      </c>
      <c r="AQ154" s="13" t="s">
        <v>168</v>
      </c>
      <c r="AR154" s="1" t="s">
        <v>168</v>
      </c>
      <c r="AS154" s="1" t="s">
        <v>168</v>
      </c>
      <c r="AT154" s="1" t="s">
        <v>168</v>
      </c>
      <c r="AU154" s="1" t="s">
        <v>168</v>
      </c>
      <c r="AV154" s="1" t="s">
        <v>168</v>
      </c>
      <c r="AW154" s="1" t="s">
        <v>168</v>
      </c>
      <c r="AX154" s="1" t="s">
        <v>168</v>
      </c>
      <c r="AY154" s="1" t="s">
        <v>168</v>
      </c>
      <c r="AZ154" s="1" t="s">
        <v>168</v>
      </c>
      <c r="BA154" s="1" t="s">
        <v>168</v>
      </c>
      <c r="BB154" s="8" t="s">
        <v>168</v>
      </c>
      <c r="BC154" s="13" t="s">
        <v>168</v>
      </c>
      <c r="BD154" s="1" t="s">
        <v>168</v>
      </c>
      <c r="BE154" s="1" t="s">
        <v>168</v>
      </c>
      <c r="BF154" s="1" t="s">
        <v>168</v>
      </c>
      <c r="BG154" s="1" t="s">
        <v>168</v>
      </c>
      <c r="BH154" s="1" t="s">
        <v>168</v>
      </c>
      <c r="BI154" s="1" t="s">
        <v>168</v>
      </c>
      <c r="BJ154" s="1" t="s">
        <v>168</v>
      </c>
      <c r="BK154" s="1" t="s">
        <v>168</v>
      </c>
      <c r="BL154" s="1" t="s">
        <v>168</v>
      </c>
      <c r="BM154" s="1" t="s">
        <v>168</v>
      </c>
      <c r="BN154" s="8" t="s">
        <v>168</v>
      </c>
    </row>
    <row r="155" spans="1:66">
      <c r="A155" s="67"/>
      <c r="B155" s="46"/>
      <c r="C155" s="127"/>
      <c r="D155" s="52"/>
      <c r="E155" s="7"/>
      <c r="F155" s="7"/>
      <c r="G155" s="3">
        <f>'d)Pers.Técnico'!E109</f>
        <v>0</v>
      </c>
      <c r="H155" s="3">
        <f>'d)Pers.Técnico'!F109</f>
        <v>0</v>
      </c>
      <c r="I155" s="3">
        <f>'d)Pers.Técnico'!G109</f>
        <v>0</v>
      </c>
      <c r="J155" s="3">
        <f>'d)Pers.Técnico'!H109</f>
        <v>0</v>
      </c>
      <c r="K155" s="3">
        <f>'d)Pers.Técnico'!I109</f>
        <v>0</v>
      </c>
      <c r="L155" s="3">
        <f>'d)Pers.Técnico'!J109</f>
        <v>0</v>
      </c>
      <c r="M155" s="3">
        <f>'d)Pers.Técnico'!K109</f>
        <v>0</v>
      </c>
      <c r="N155" s="3">
        <f>'d)Pers.Técnico'!L109</f>
        <v>0</v>
      </c>
      <c r="O155" s="3">
        <f>'d)Pers.Técnico'!M109</f>
        <v>0</v>
      </c>
      <c r="P155" s="3">
        <f>'d)Pers.Técnico'!N109</f>
        <v>0</v>
      </c>
      <c r="Q155" s="3">
        <f>'d)Pers.Técnico'!O109</f>
        <v>0</v>
      </c>
      <c r="R155" s="14">
        <f>'d)Pers.Técnico'!P109</f>
        <v>0</v>
      </c>
      <c r="S155" s="20">
        <f>'d)Pers.Técnico'!Q109</f>
        <v>0</v>
      </c>
      <c r="T155" s="3">
        <f>'d)Pers.Técnico'!R109</f>
        <v>0</v>
      </c>
      <c r="U155" s="3">
        <f>'d)Pers.Técnico'!S109</f>
        <v>0</v>
      </c>
      <c r="V155" s="3">
        <f>'d)Pers.Técnico'!T109</f>
        <v>0</v>
      </c>
      <c r="W155" s="3">
        <f>'d)Pers.Técnico'!U109</f>
        <v>0</v>
      </c>
      <c r="X155" s="3">
        <f>'d)Pers.Técnico'!V109</f>
        <v>0</v>
      </c>
      <c r="Y155" s="3">
        <f>'d)Pers.Técnico'!W109</f>
        <v>0</v>
      </c>
      <c r="Z155" s="3">
        <f>'d)Pers.Técnico'!X109</f>
        <v>0</v>
      </c>
      <c r="AA155" s="3">
        <f>'d)Pers.Técnico'!Y109</f>
        <v>0</v>
      </c>
      <c r="AB155" s="3">
        <f>'d)Pers.Técnico'!Z109</f>
        <v>0</v>
      </c>
      <c r="AC155" s="3">
        <f>'d)Pers.Técnico'!AA109</f>
        <v>0</v>
      </c>
      <c r="AD155" s="14">
        <f>'d)Pers.Técnico'!AB109</f>
        <v>0</v>
      </c>
      <c r="AE155" s="20">
        <f>'d)Pers.Técnico'!AC109</f>
        <v>0</v>
      </c>
      <c r="AF155" s="3">
        <f>'d)Pers.Técnico'!AD109</f>
        <v>0</v>
      </c>
      <c r="AG155" s="3">
        <f>'d)Pers.Técnico'!AE109</f>
        <v>0</v>
      </c>
      <c r="AH155" s="3">
        <f>'d)Pers.Técnico'!AF109</f>
        <v>0</v>
      </c>
      <c r="AI155" s="3">
        <f>'d)Pers.Técnico'!AG109</f>
        <v>0</v>
      </c>
      <c r="AJ155" s="3">
        <f>'d)Pers.Técnico'!AH109</f>
        <v>0</v>
      </c>
      <c r="AK155" s="3">
        <f>'d)Pers.Técnico'!AI109</f>
        <v>0</v>
      </c>
      <c r="AL155" s="3">
        <f>'d)Pers.Técnico'!AJ109</f>
        <v>0</v>
      </c>
      <c r="AM155" s="3">
        <f>'d)Pers.Técnico'!AK109</f>
        <v>0</v>
      </c>
      <c r="AN155" s="3">
        <f>'d)Pers.Técnico'!AL109</f>
        <v>0</v>
      </c>
      <c r="AO155" s="3">
        <f>'d)Pers.Técnico'!AM109</f>
        <v>0</v>
      </c>
      <c r="AP155" s="14">
        <f>'d)Pers.Técnico'!AN109</f>
        <v>0</v>
      </c>
      <c r="AQ155" s="20">
        <f>'d)Pers.Técnico'!AO109</f>
        <v>0</v>
      </c>
      <c r="AR155" s="3">
        <f>'d)Pers.Técnico'!AP109</f>
        <v>0</v>
      </c>
      <c r="AS155" s="3">
        <f>'d)Pers.Técnico'!AQ109</f>
        <v>0</v>
      </c>
      <c r="AT155" s="3">
        <f>'d)Pers.Técnico'!AR109</f>
        <v>0</v>
      </c>
      <c r="AU155" s="3">
        <f>'d)Pers.Técnico'!AS109</f>
        <v>0</v>
      </c>
      <c r="AV155" s="3">
        <f>'d)Pers.Técnico'!AT109</f>
        <v>0</v>
      </c>
      <c r="AW155" s="3">
        <f>'d)Pers.Técnico'!AU109</f>
        <v>0</v>
      </c>
      <c r="AX155" s="3">
        <f>'d)Pers.Técnico'!AV109</f>
        <v>0</v>
      </c>
      <c r="AY155" s="3">
        <f>'d)Pers.Técnico'!AW109</f>
        <v>0</v>
      </c>
      <c r="AZ155" s="3">
        <f>'d)Pers.Técnico'!AX109</f>
        <v>0</v>
      </c>
      <c r="BA155" s="1">
        <f>'d)Pers.Técnico'!AY109</f>
        <v>0</v>
      </c>
      <c r="BB155" s="60">
        <f>'d)Pers.Técnico'!AZ109</f>
        <v>0</v>
      </c>
      <c r="BC155" s="61">
        <f>'d)Pers.Técnico'!BA109</f>
        <v>0</v>
      </c>
      <c r="BD155" s="3">
        <f>'d)Pers.Técnico'!BB109</f>
        <v>0</v>
      </c>
      <c r="BE155" s="3">
        <f>'d)Pers.Técnico'!BC109</f>
        <v>0</v>
      </c>
      <c r="BF155" s="3">
        <f>'d)Pers.Técnico'!BD109</f>
        <v>0</v>
      </c>
      <c r="BG155" s="3">
        <f>'d)Pers.Técnico'!BE109</f>
        <v>0</v>
      </c>
      <c r="BH155" s="3">
        <f>'d)Pers.Técnico'!BF109</f>
        <v>0</v>
      </c>
      <c r="BI155" s="3">
        <f>'d)Pers.Técnico'!BG109</f>
        <v>0</v>
      </c>
      <c r="BJ155" s="3">
        <f>'d)Pers.Técnico'!BH109</f>
        <v>0</v>
      </c>
      <c r="BK155" s="3">
        <f>'d)Pers.Técnico'!BI109</f>
        <v>0</v>
      </c>
      <c r="BL155" s="3">
        <f>'d)Pers.Técnico'!BJ109</f>
        <v>0</v>
      </c>
      <c r="BM155" s="3">
        <f>'d)Pers.Técnico'!BK109</f>
        <v>0</v>
      </c>
      <c r="BN155" s="14">
        <f>'d)Pers.Técnico'!BL109</f>
        <v>0</v>
      </c>
    </row>
    <row r="156" spans="1:66">
      <c r="A156" s="67"/>
      <c r="B156" s="46" t="str">
        <f>+'d)Pers.Técnico'!B109</f>
        <v/>
      </c>
      <c r="C156" s="127" t="str">
        <f>'d)Pers.Técnico'!C109</f>
        <v/>
      </c>
      <c r="D156" s="52">
        <f>SUM(G155:BN155)</f>
        <v>0</v>
      </c>
      <c r="E156" s="7">
        <f>IF('a)Plantilla'!C54&gt;0,'a)Plantilla'!D54/30,0)</f>
        <v>0</v>
      </c>
      <c r="F156" s="7">
        <f>SUM(G156:BN156)</f>
        <v>0</v>
      </c>
      <c r="G156" s="2">
        <f>IF(TipoProgramaPersonalTecnico=1,$E156*'a)Plantilla'!$C54*Programa!D$13,IF(TipoProgramaPersonalTecnico=2,$E156*G155,$E156/Hjor*G155))</f>
        <v>0</v>
      </c>
      <c r="H156" s="2">
        <f>IF(TipoProgramaPersonalTecnico=1,$E156*'a)Plantilla'!$C54*Programa!D$14,IF(TipoProgramaPersonalTecnico=2,$E156*H155,$E156/Hjor*H155))</f>
        <v>0</v>
      </c>
      <c r="I156" s="2">
        <f>IF(TipoProgramaPersonalTecnico=1,$E156*'a)Plantilla'!$C54*Programa!D$15,IF(TipoProgramaPersonalTecnico=2,$E156*I155,$E156/Hjor*I155))</f>
        <v>0</v>
      </c>
      <c r="J156" s="2">
        <f>IF(TipoProgramaPersonalTecnico=1,$E156*'a)Plantilla'!$C54*Programa!D$16,IF(TipoProgramaPersonalTecnico=2,$E156*J155,$E156/Hjor*J155))</f>
        <v>0</v>
      </c>
      <c r="K156" s="2">
        <f>IF(TipoProgramaPersonalTecnico=1,$E156*'a)Plantilla'!$C54*Programa!D$17,IF(TipoProgramaPersonalTecnico=2,$E156*K155,$E156/Hjor*K155))</f>
        <v>0</v>
      </c>
      <c r="L156" s="2">
        <f>IF(TipoProgramaPersonalTecnico=1,$E156*'a)Plantilla'!$C54*Programa!D$18,IF(TipoProgramaPersonalTecnico=2,$E156*L155,$E156/Hjor*L155))</f>
        <v>0</v>
      </c>
      <c r="M156" s="2">
        <f>IF(TipoProgramaPersonalTecnico=1,$E156*'a)Plantilla'!$C54*Programa!D$19,IF(TipoProgramaPersonalTecnico=2,$E156*M155,$E156/Hjor*M155))</f>
        <v>0</v>
      </c>
      <c r="N156" s="2">
        <f>IF(TipoProgramaPersonalTecnico=1,$E156*'a)Plantilla'!$C54*Programa!D$20,IF(TipoProgramaPersonalTecnico=2,$E156*N155,$E156/Hjor*N155))</f>
        <v>0</v>
      </c>
      <c r="O156" s="2">
        <f>IF(TipoProgramaPersonalTecnico=1,$E156*'a)Plantilla'!$C54*Programa!D$21,IF(TipoProgramaPersonalTecnico=2,$E156*O155,$E156/Hjor*O155))</f>
        <v>0</v>
      </c>
      <c r="P156" s="2">
        <f>IF(TipoProgramaPersonalTecnico=1,$E156*'a)Plantilla'!$C54*Programa!D$22,IF(TipoProgramaPersonalTecnico=2,$E156*P155,$E156/Hjor*P155))</f>
        <v>0</v>
      </c>
      <c r="Q156" s="2">
        <f>IF(TipoProgramaPersonalTecnico=1,$E156*'a)Plantilla'!$C54*Programa!D$23,IF(TipoProgramaPersonalTecnico=2,$E156*Q155,$E156/Hjor*Q155))</f>
        <v>0</v>
      </c>
      <c r="R156" s="12">
        <f>IF(TipoProgramaPersonalTecnico=1,$E156*'a)Plantilla'!$C54*Programa!D$24,IF(TipoProgramaPersonalTecnico=2,$E156*R155,$E156/Hjor*R155))</f>
        <v>0</v>
      </c>
      <c r="S156" s="7">
        <f>IF(TipoProgramaPersonalTecnico=1,$E156*'a)Plantilla'!$C54*Programa!D$25,IF(TipoProgramaPersonalTecnico=2,$E156*S155,$E156/Hjor*S155))</f>
        <v>0</v>
      </c>
      <c r="T156" s="2">
        <f>IF(TipoProgramaPersonalTecnico=1,$E156*'a)Plantilla'!$C54*Programa!D$26,IF(TipoProgramaPersonalTecnico=2,$E156*T155,$E156/Hjor*T155))</f>
        <v>0</v>
      </c>
      <c r="U156" s="2">
        <f>IF(TipoProgramaPersonalTecnico=1,$E156*'a)Plantilla'!$C54*Programa!D$27,IF(TipoProgramaPersonalTecnico=2,$E156*U155,$E156/Hjor*U155))</f>
        <v>0</v>
      </c>
      <c r="V156" s="2">
        <f>IF(TipoProgramaPersonalTecnico=1,$E156*'a)Plantilla'!$C54*Programa!D$28,IF(TipoProgramaPersonalTecnico=2,$E156*V155,$E156/Hjor*V155))</f>
        <v>0</v>
      </c>
      <c r="W156" s="2">
        <f>IF(TipoProgramaPersonalTecnico=1,$E156*'a)Plantilla'!$C54*Programa!D$29,IF(TipoProgramaPersonalTecnico=2,$E156*W155,$E156/Hjor*W155))</f>
        <v>0</v>
      </c>
      <c r="X156" s="2">
        <f>IF(TipoProgramaPersonalTecnico=1,$E156*'a)Plantilla'!$C54*Programa!D$30,IF(TipoProgramaPersonalTecnico=2,$E156*X155,$E156/Hjor*X155))</f>
        <v>0</v>
      </c>
      <c r="Y156" s="2">
        <f>IF(TipoProgramaPersonalTecnico=1,$E156*'a)Plantilla'!$C54*Programa!D$31,IF(TipoProgramaPersonalTecnico=2,$E156*Y155,$E156/Hjor*Y155))</f>
        <v>0</v>
      </c>
      <c r="Z156" s="2">
        <f>IF(TipoProgramaPersonalTecnico=1,$E156*'a)Plantilla'!$C54*Programa!D$32,IF(TipoProgramaPersonalTecnico=2,$E156*Z155,$E156/Hjor*Z155))</f>
        <v>0</v>
      </c>
      <c r="AA156" s="2">
        <f>IF(TipoProgramaPersonalTecnico=1,$E156*'a)Plantilla'!$C54*Programa!D$33,IF(TipoProgramaPersonalTecnico=2,$E156*AA155,$E156/Hjor*AA155))</f>
        <v>0</v>
      </c>
      <c r="AB156" s="2">
        <f>IF(TipoProgramaPersonalTecnico=1,$E156*'a)Plantilla'!$C54*Programa!D$34,IF(TipoProgramaPersonalTecnico=2,$E156*AB155,$E156/Hjor*AB155))</f>
        <v>0</v>
      </c>
      <c r="AC156" s="2">
        <f>IF(TipoProgramaPersonalTecnico=1,$E156*'a)Plantilla'!$C54*Programa!D$35,IF(TipoProgramaPersonalTecnico=2,$E156*AC155,$E156/Hjor*AC155))</f>
        <v>0</v>
      </c>
      <c r="AD156" s="12">
        <f>IF(TipoProgramaPersonalTecnico=1,$E156*'a)Plantilla'!$C54*Programa!D$36,IF(TipoProgramaPersonalTecnico=2,$E156*AD155,$E156/Hjor*AD155))</f>
        <v>0</v>
      </c>
      <c r="AE156" s="7">
        <f>IF(TipoProgramaPersonalTecnico=1,$E156*'a)Plantilla'!$C54*Programa!D$37,IF(TipoProgramaPersonalTecnico=2,$E156*AE155,$E156/Hjor*AE155))</f>
        <v>0</v>
      </c>
      <c r="AF156" s="2">
        <f>IF(TipoProgramaPersonalTecnico=1,$E156*'a)Plantilla'!$C54*Programa!D$38,IF(TipoProgramaPersonalTecnico=2,$E156*AF155,$E156/Hjor*AF155))</f>
        <v>0</v>
      </c>
      <c r="AG156" s="2">
        <f>IF(TipoProgramaPersonalTecnico=1,$E156*'a)Plantilla'!$C54*Programa!D$39,IF(TipoProgramaPersonalTecnico=2,$E156*AG155,$E156/Hjor*AG155))</f>
        <v>0</v>
      </c>
      <c r="AH156" s="2">
        <f>IF(TipoProgramaPersonalTecnico=1,$E156*'a)Plantilla'!$C54*Programa!D$40,IF(TipoProgramaPersonalTecnico=2,$E156*AH155,$E156/Hjor*AH155))</f>
        <v>0</v>
      </c>
      <c r="AI156" s="2">
        <f>IF(TipoProgramaPersonalTecnico=1,$E156*'a)Plantilla'!$C54*Programa!D$41,IF(TipoProgramaPersonalTecnico=2,$E156*AI155,$E156/Hjor*AI155))</f>
        <v>0</v>
      </c>
      <c r="AJ156" s="2">
        <f>IF(TipoProgramaPersonalTecnico=1,$E156*'a)Plantilla'!$C54*Programa!D$42,IF(TipoProgramaPersonalTecnico=2,$E156*AJ155,$E156/Hjor*AJ155))</f>
        <v>0</v>
      </c>
      <c r="AK156" s="2">
        <f>IF(TipoProgramaPersonalTecnico=1,$E156*'a)Plantilla'!$C54*Programa!D$43,IF(TipoProgramaPersonalTecnico=2,$E156*AK155,$E156/Hjor*AK155))</f>
        <v>0</v>
      </c>
      <c r="AL156" s="2">
        <f>IF(TipoProgramaPersonalTecnico=1,$E156*'a)Plantilla'!$C54*Programa!D$44,IF(TipoProgramaPersonalTecnico=2,$E156*AL155,$E156/Hjor*AL155))</f>
        <v>0</v>
      </c>
      <c r="AM156" s="2">
        <f>IF(TipoProgramaPersonalTecnico=1,$E156*'a)Plantilla'!$C54*Programa!D$45,IF(TipoProgramaPersonalTecnico=2,$E156*AM155,$E156/Hjor*AM155))</f>
        <v>0</v>
      </c>
      <c r="AN156" s="2">
        <f>IF(TipoProgramaPersonalTecnico=1,$E156*'a)Plantilla'!$C54*Programa!D$46,IF(TipoProgramaPersonalTecnico=2,$E156*AN155,$E156/Hjor*AN155))</f>
        <v>0</v>
      </c>
      <c r="AO156" s="2">
        <f>IF(TipoProgramaPersonalTecnico=1,$E156*'a)Plantilla'!$C54*Programa!D$47,IF(TipoProgramaPersonalTecnico=2,$E156*AO155,$E156/Hjor*AO155))</f>
        <v>0</v>
      </c>
      <c r="AP156" s="12">
        <f>IF(TipoProgramaPersonalTecnico=1,$E156*'a)Plantilla'!$C54*Programa!D$48,IF(TipoProgramaPersonalTecnico=2,$E156*AP155,$E156/Hjor*AP155))</f>
        <v>0</v>
      </c>
      <c r="AQ156" s="7">
        <f>IF(TipoProgramaPersonalTecnico=1,$E156*'a)Plantilla'!$C54*Programa!D$49,IF(TipoProgramaPersonalTecnico=2,$E156*AQ155,$E156/Hjor*AQ155))</f>
        <v>0</v>
      </c>
      <c r="AR156" s="2">
        <f>IF(TipoProgramaPersonalTecnico=1,$E156*'a)Plantilla'!$C54*Programa!D$50,IF(TipoProgramaPersonalTecnico=2,$E156*AR155,$E156/Hjor*AR155))</f>
        <v>0</v>
      </c>
      <c r="AS156" s="2">
        <f>IF(TipoProgramaPersonalTecnico=1,$E156*'a)Plantilla'!$C54*Programa!D$51,IF(TipoProgramaPersonalTecnico=2,$E156*AS155,$E156/Hjor*AS155))</f>
        <v>0</v>
      </c>
      <c r="AT156" s="2">
        <f>IF(TipoProgramaPersonalTecnico=1,$E156*'a)Plantilla'!$C54*Programa!D$52,IF(TipoProgramaPersonalTecnico=2,$E156*AT155,$E156/Hjor*AT155))</f>
        <v>0</v>
      </c>
      <c r="AU156" s="2">
        <f>IF(TipoProgramaPersonalTecnico=1,$E156*'a)Plantilla'!$C54*Programa!D$53,IF(TipoProgramaPersonalTecnico=2,$E156*AU155,$E156/Hjor*AU155))</f>
        <v>0</v>
      </c>
      <c r="AV156" s="2">
        <f>IF(TipoProgramaPersonalTecnico=1,$E156*'a)Plantilla'!$C54*Programa!D$54,IF(TipoProgramaPersonalTecnico=2,$E156*AV155,$E156/Hjor*AV155))</f>
        <v>0</v>
      </c>
      <c r="AW156" s="2">
        <f>IF(TipoProgramaPersonalTecnico=1,$E156*'a)Plantilla'!$C54*Programa!D$55,IF(TipoProgramaPersonalTecnico=2,$E156*AW155,$E156/Hjor*AW155))</f>
        <v>0</v>
      </c>
      <c r="AX156" s="2">
        <f>IF(TipoProgramaPersonalTecnico=1,$E156*'a)Plantilla'!$C54*Programa!D$56,IF(TipoProgramaPersonalTecnico=2,$E156*AX155,$E156/Hjor*AX155))</f>
        <v>0</v>
      </c>
      <c r="AY156" s="2">
        <f>IF(TipoProgramaPersonalTecnico=1,$E156*'a)Plantilla'!$C54*Programa!D$57,IF(TipoProgramaPersonalTecnico=2,$E156*AY155,$E156/Hjor*AY155))</f>
        <v>0</v>
      </c>
      <c r="AZ156" s="2">
        <f>IF(TipoProgramaPersonalTecnico=1,$E156*'a)Plantilla'!$C54*Programa!D$58,IF(TipoProgramaPersonalTecnico=2,$E156*AZ155,$E156/Hjor*AZ155))</f>
        <v>0</v>
      </c>
      <c r="BA156" s="55">
        <f>IF(TipoProgramaPersonalTecnico=1,$E156*'a)Plantilla'!$C54*Programa!D$59,IF(TipoProgramaPersonalTecnico=2,$E156*BA155,$E156/Hjor*BA155))</f>
        <v>0</v>
      </c>
      <c r="BB156" s="56">
        <f>IF(TipoProgramaPersonalTecnico=1,$E156*'a)Plantilla'!$C54*Programa!D$60,IF(TipoProgramaPersonalTecnico=2,$E156*BB155,$E156/Hjor*BB155))</f>
        <v>0</v>
      </c>
      <c r="BC156" s="53">
        <f>IF(TipoProgramaPersonalTecnico=1,$E156*'a)Plantilla'!$C54*Programa!D$61,IF(TipoProgramaPersonalTecnico=2,$E156*BC155,$E156/Hjor*BC155))</f>
        <v>0</v>
      </c>
      <c r="BD156" s="2">
        <f>IF(TipoProgramaPersonalTecnico=1,$E156*'a)Plantilla'!$C54*Programa!D$62,IF(TipoProgramaPersonalTecnico=2,$E156*BD155,$E156/Hjor*BD155))</f>
        <v>0</v>
      </c>
      <c r="BE156" s="2">
        <f>IF(TipoProgramaPersonalTecnico=1,$E156*'a)Plantilla'!$C54*Programa!D$63,IF(TipoProgramaPersonalTecnico=2,$E156*BE155,$E156/Hjor*BE155))</f>
        <v>0</v>
      </c>
      <c r="BF156" s="2">
        <f>IF(TipoProgramaPersonalTecnico=1,$E156*'a)Plantilla'!$C54*Programa!D$64,IF(TipoProgramaPersonalTecnico=2,$E156*BF155,$E156/Hjor*BF155))</f>
        <v>0</v>
      </c>
      <c r="BG156" s="2">
        <f>IF(TipoProgramaPersonalTecnico=1,$E156*'a)Plantilla'!$C54*Programa!D$65,IF(TipoProgramaPersonalTecnico=2,$E156*BG155,$E156/Hjor*BG155))</f>
        <v>0</v>
      </c>
      <c r="BH156" s="2">
        <f>IF(TipoProgramaPersonalTecnico=1,$E156*'a)Plantilla'!$C54*Programa!D$66,IF(TipoProgramaPersonalTecnico=2,$E156*BH155,$E156/Hjor*BH155))</f>
        <v>0</v>
      </c>
      <c r="BI156" s="2">
        <f>IF(TipoProgramaPersonalTecnico=1,$E156*'a)Plantilla'!$C54*Programa!D$67,IF(TipoProgramaPersonalTecnico=2,$E156*BI155,$E156/Hjor*BI155))</f>
        <v>0</v>
      </c>
      <c r="BJ156" s="2">
        <f>IF(TipoProgramaPersonalTecnico=1,$E156*'a)Plantilla'!$C54*Programa!D$68,IF(TipoProgramaPersonalTecnico=2,$E156*BJ155,$E156/Hjor*BJ155))</f>
        <v>0</v>
      </c>
      <c r="BK156" s="2">
        <f>IF(TipoProgramaPersonalTecnico=1,$E156*'a)Plantilla'!$C54*Programa!D$69,IF(TipoProgramaPersonalTecnico=2,$E156*BK155,$E156/Hjor*BK155))</f>
        <v>0</v>
      </c>
      <c r="BL156" s="2">
        <f>IF(TipoProgramaPersonalTecnico=1,$E156*'a)Plantilla'!$C54*Programa!D$70,IF(TipoProgramaPersonalTecnico=2,$E156*BL155,$E156/Hjor*BL155))</f>
        <v>0</v>
      </c>
      <c r="BM156" s="2">
        <f>IF(TipoProgramaPersonalTecnico=1,$E156*'a)Plantilla'!$C54*Programa!D$71,IF(TipoProgramaPersonalTecnico=2,$E156*BM155,$E156/Hjor*BM155))</f>
        <v>0</v>
      </c>
      <c r="BN156" s="12">
        <f>IF(TipoProgramaPersonalTecnico=1,$E156*'a)Plantilla'!$C54*Programa!D$72,IF(TipoProgramaPersonalTecnico=2,$E156*BN155,$E156/Hjor*BN155))</f>
        <v>0</v>
      </c>
    </row>
    <row r="157" spans="1:66" ht="7.5" customHeight="1">
      <c r="A157" s="67"/>
      <c r="B157" s="19"/>
      <c r="C157" s="127"/>
      <c r="D157" s="54"/>
      <c r="E157" s="19"/>
      <c r="F157" s="19"/>
      <c r="G157" s="1" t="s">
        <v>168</v>
      </c>
      <c r="H157" s="1" t="s">
        <v>168</v>
      </c>
      <c r="I157" s="1" t="s">
        <v>168</v>
      </c>
      <c r="J157" s="1" t="s">
        <v>168</v>
      </c>
      <c r="K157" s="1" t="s">
        <v>168</v>
      </c>
      <c r="L157" s="1" t="s">
        <v>168</v>
      </c>
      <c r="M157" s="1" t="s">
        <v>168</v>
      </c>
      <c r="N157" s="1" t="s">
        <v>168</v>
      </c>
      <c r="O157" s="1" t="s">
        <v>168</v>
      </c>
      <c r="P157" s="1" t="s">
        <v>168</v>
      </c>
      <c r="Q157" s="1" t="s">
        <v>168</v>
      </c>
      <c r="R157" s="8" t="s">
        <v>168</v>
      </c>
      <c r="S157" s="13" t="s">
        <v>168</v>
      </c>
      <c r="T157" s="1" t="s">
        <v>168</v>
      </c>
      <c r="U157" s="1" t="s">
        <v>168</v>
      </c>
      <c r="V157" s="1" t="s">
        <v>168</v>
      </c>
      <c r="W157" s="1" t="s">
        <v>168</v>
      </c>
      <c r="X157" s="1" t="s">
        <v>168</v>
      </c>
      <c r="Y157" s="1" t="s">
        <v>168</v>
      </c>
      <c r="Z157" s="1" t="s">
        <v>168</v>
      </c>
      <c r="AA157" s="1" t="s">
        <v>168</v>
      </c>
      <c r="AB157" s="1" t="s">
        <v>168</v>
      </c>
      <c r="AC157" s="1" t="s">
        <v>168</v>
      </c>
      <c r="AD157" s="8" t="s">
        <v>168</v>
      </c>
      <c r="AE157" s="13" t="s">
        <v>168</v>
      </c>
      <c r="AF157" s="1" t="s">
        <v>168</v>
      </c>
      <c r="AG157" s="1" t="s">
        <v>168</v>
      </c>
      <c r="AH157" s="1" t="s">
        <v>168</v>
      </c>
      <c r="AI157" s="1" t="s">
        <v>168</v>
      </c>
      <c r="AJ157" s="1" t="s">
        <v>168</v>
      </c>
      <c r="AK157" s="1" t="s">
        <v>168</v>
      </c>
      <c r="AL157" s="1" t="s">
        <v>168</v>
      </c>
      <c r="AM157" s="1" t="s">
        <v>168</v>
      </c>
      <c r="AN157" s="1" t="s">
        <v>168</v>
      </c>
      <c r="AO157" s="1" t="s">
        <v>168</v>
      </c>
      <c r="AP157" s="8" t="s">
        <v>168</v>
      </c>
      <c r="AQ157" s="13" t="s">
        <v>168</v>
      </c>
      <c r="AR157" s="1" t="s">
        <v>168</v>
      </c>
      <c r="AS157" s="1" t="s">
        <v>168</v>
      </c>
      <c r="AT157" s="1" t="s">
        <v>168</v>
      </c>
      <c r="AU157" s="1" t="s">
        <v>168</v>
      </c>
      <c r="AV157" s="1" t="s">
        <v>168</v>
      </c>
      <c r="AW157" s="1" t="s">
        <v>168</v>
      </c>
      <c r="AX157" s="1" t="s">
        <v>168</v>
      </c>
      <c r="AY157" s="1" t="s">
        <v>168</v>
      </c>
      <c r="AZ157" s="1" t="s">
        <v>168</v>
      </c>
      <c r="BA157" s="1" t="s">
        <v>168</v>
      </c>
      <c r="BB157" s="8" t="s">
        <v>168</v>
      </c>
      <c r="BC157" s="13" t="s">
        <v>168</v>
      </c>
      <c r="BD157" s="1" t="s">
        <v>168</v>
      </c>
      <c r="BE157" s="1" t="s">
        <v>168</v>
      </c>
      <c r="BF157" s="1" t="s">
        <v>168</v>
      </c>
      <c r="BG157" s="1" t="s">
        <v>168</v>
      </c>
      <c r="BH157" s="1" t="s">
        <v>168</v>
      </c>
      <c r="BI157" s="1" t="s">
        <v>168</v>
      </c>
      <c r="BJ157" s="1" t="s">
        <v>168</v>
      </c>
      <c r="BK157" s="1" t="s">
        <v>168</v>
      </c>
      <c r="BL157" s="1" t="s">
        <v>168</v>
      </c>
      <c r="BM157" s="1" t="s">
        <v>168</v>
      </c>
      <c r="BN157" s="8" t="s">
        <v>168</v>
      </c>
    </row>
    <row r="158" spans="1:66">
      <c r="A158" s="67"/>
      <c r="B158" s="46"/>
      <c r="C158" s="127"/>
      <c r="D158" s="52"/>
      <c r="E158" s="7"/>
      <c r="F158" s="7"/>
      <c r="G158" s="3">
        <f>'d)Pers.Técnico'!E111</f>
        <v>0</v>
      </c>
      <c r="H158" s="3">
        <f>'d)Pers.Técnico'!F111</f>
        <v>0</v>
      </c>
      <c r="I158" s="3">
        <f>'d)Pers.Técnico'!G111</f>
        <v>0</v>
      </c>
      <c r="J158" s="3">
        <f>'d)Pers.Técnico'!H111</f>
        <v>0</v>
      </c>
      <c r="K158" s="3">
        <f>'d)Pers.Técnico'!I111</f>
        <v>0</v>
      </c>
      <c r="L158" s="3">
        <f>'d)Pers.Técnico'!J111</f>
        <v>0</v>
      </c>
      <c r="M158" s="3">
        <f>'d)Pers.Técnico'!K111</f>
        <v>0</v>
      </c>
      <c r="N158" s="3">
        <f>'d)Pers.Técnico'!L111</f>
        <v>0</v>
      </c>
      <c r="O158" s="3">
        <f>'d)Pers.Técnico'!M111</f>
        <v>0</v>
      </c>
      <c r="P158" s="3">
        <f>'d)Pers.Técnico'!N111</f>
        <v>0</v>
      </c>
      <c r="Q158" s="3">
        <f>'d)Pers.Técnico'!O111</f>
        <v>0</v>
      </c>
      <c r="R158" s="14">
        <f>'d)Pers.Técnico'!P111</f>
        <v>0</v>
      </c>
      <c r="S158" s="20">
        <f>'d)Pers.Técnico'!Q111</f>
        <v>0</v>
      </c>
      <c r="T158" s="3">
        <f>'d)Pers.Técnico'!R111</f>
        <v>0</v>
      </c>
      <c r="U158" s="3">
        <f>'d)Pers.Técnico'!S111</f>
        <v>0</v>
      </c>
      <c r="V158" s="3">
        <f>'d)Pers.Técnico'!T111</f>
        <v>0</v>
      </c>
      <c r="W158" s="3">
        <f>'d)Pers.Técnico'!U111</f>
        <v>0</v>
      </c>
      <c r="X158" s="3">
        <f>'d)Pers.Técnico'!V111</f>
        <v>0</v>
      </c>
      <c r="Y158" s="3">
        <f>'d)Pers.Técnico'!W111</f>
        <v>0</v>
      </c>
      <c r="Z158" s="3">
        <f>'d)Pers.Técnico'!X111</f>
        <v>0</v>
      </c>
      <c r="AA158" s="3">
        <f>'d)Pers.Técnico'!Y111</f>
        <v>0</v>
      </c>
      <c r="AB158" s="3">
        <f>'d)Pers.Técnico'!Z111</f>
        <v>0</v>
      </c>
      <c r="AC158" s="3">
        <f>'d)Pers.Técnico'!AA111</f>
        <v>0</v>
      </c>
      <c r="AD158" s="14">
        <f>'d)Pers.Técnico'!AB111</f>
        <v>0</v>
      </c>
      <c r="AE158" s="20">
        <f>'d)Pers.Técnico'!AC111</f>
        <v>0</v>
      </c>
      <c r="AF158" s="3">
        <f>'d)Pers.Técnico'!AD111</f>
        <v>0</v>
      </c>
      <c r="AG158" s="3">
        <f>'d)Pers.Técnico'!AE111</f>
        <v>0</v>
      </c>
      <c r="AH158" s="3">
        <f>'d)Pers.Técnico'!AF111</f>
        <v>0</v>
      </c>
      <c r="AI158" s="3">
        <f>'d)Pers.Técnico'!AG111</f>
        <v>0</v>
      </c>
      <c r="AJ158" s="3">
        <f>'d)Pers.Técnico'!AH111</f>
        <v>0</v>
      </c>
      <c r="AK158" s="3">
        <f>'d)Pers.Técnico'!AI111</f>
        <v>0</v>
      </c>
      <c r="AL158" s="3">
        <f>'d)Pers.Técnico'!AJ111</f>
        <v>0</v>
      </c>
      <c r="AM158" s="3">
        <f>'d)Pers.Técnico'!AK111</f>
        <v>0</v>
      </c>
      <c r="AN158" s="3">
        <f>'d)Pers.Técnico'!AL111</f>
        <v>0</v>
      </c>
      <c r="AO158" s="3">
        <f>'d)Pers.Técnico'!AM111</f>
        <v>0</v>
      </c>
      <c r="AP158" s="14">
        <f>'d)Pers.Técnico'!AN111</f>
        <v>0</v>
      </c>
      <c r="AQ158" s="20">
        <f>'d)Pers.Técnico'!AO111</f>
        <v>0</v>
      </c>
      <c r="AR158" s="3">
        <f>'d)Pers.Técnico'!AP111</f>
        <v>0</v>
      </c>
      <c r="AS158" s="3">
        <f>'d)Pers.Técnico'!AQ111</f>
        <v>0</v>
      </c>
      <c r="AT158" s="3">
        <f>'d)Pers.Técnico'!AR111</f>
        <v>0</v>
      </c>
      <c r="AU158" s="3">
        <f>'d)Pers.Técnico'!AS111</f>
        <v>0</v>
      </c>
      <c r="AV158" s="3">
        <f>'d)Pers.Técnico'!AT111</f>
        <v>0</v>
      </c>
      <c r="AW158" s="3">
        <f>'d)Pers.Técnico'!AU111</f>
        <v>0</v>
      </c>
      <c r="AX158" s="3">
        <f>'d)Pers.Técnico'!AV111</f>
        <v>0</v>
      </c>
      <c r="AY158" s="3">
        <f>'d)Pers.Técnico'!AW111</f>
        <v>0</v>
      </c>
      <c r="AZ158" s="3">
        <f>'d)Pers.Técnico'!AX111</f>
        <v>0</v>
      </c>
      <c r="BA158" s="1">
        <f>'d)Pers.Técnico'!AY111</f>
        <v>0</v>
      </c>
      <c r="BB158" s="60">
        <f>'d)Pers.Técnico'!AZ111</f>
        <v>0</v>
      </c>
      <c r="BC158" s="61">
        <f>'d)Pers.Técnico'!BA111</f>
        <v>0</v>
      </c>
      <c r="BD158" s="3">
        <f>'d)Pers.Técnico'!BB111</f>
        <v>0</v>
      </c>
      <c r="BE158" s="3">
        <f>'d)Pers.Técnico'!BC111</f>
        <v>0</v>
      </c>
      <c r="BF158" s="3">
        <f>'d)Pers.Técnico'!BD111</f>
        <v>0</v>
      </c>
      <c r="BG158" s="3">
        <f>'d)Pers.Técnico'!BE111</f>
        <v>0</v>
      </c>
      <c r="BH158" s="3">
        <f>'d)Pers.Técnico'!BF111</f>
        <v>0</v>
      </c>
      <c r="BI158" s="3">
        <f>'d)Pers.Técnico'!BG111</f>
        <v>0</v>
      </c>
      <c r="BJ158" s="3">
        <f>'d)Pers.Técnico'!BH111</f>
        <v>0</v>
      </c>
      <c r="BK158" s="3">
        <f>'d)Pers.Técnico'!BI111</f>
        <v>0</v>
      </c>
      <c r="BL158" s="3">
        <f>'d)Pers.Técnico'!BJ111</f>
        <v>0</v>
      </c>
      <c r="BM158" s="3">
        <f>'d)Pers.Técnico'!BK111</f>
        <v>0</v>
      </c>
      <c r="BN158" s="14">
        <f>'d)Pers.Técnico'!BL111</f>
        <v>0</v>
      </c>
    </row>
    <row r="159" spans="1:66">
      <c r="A159" s="67"/>
      <c r="B159" s="46" t="str">
        <f>+'d)Pers.Técnico'!B111</f>
        <v/>
      </c>
      <c r="C159" s="127" t="str">
        <f>'d)Pers.Técnico'!C111</f>
        <v/>
      </c>
      <c r="D159" s="52">
        <f>SUM(G158:BN158)</f>
        <v>0</v>
      </c>
      <c r="E159" s="7">
        <f>IF('a)Plantilla'!C55&gt;0,'a)Plantilla'!D55/30,0)</f>
        <v>0</v>
      </c>
      <c r="F159" s="7">
        <f>SUM(G159:BN159)</f>
        <v>0</v>
      </c>
      <c r="G159" s="2">
        <f>IF(TipoProgramaPersonalTecnico=1,$E159*'a)Plantilla'!$C55*Programa!D$13,IF(TipoProgramaPersonalTecnico=2,$E159*G158,$E159/Hjor*G158))</f>
        <v>0</v>
      </c>
      <c r="H159" s="2">
        <f>IF(TipoProgramaPersonalTecnico=1,$E159*'a)Plantilla'!$C55*Programa!D$14,IF(TipoProgramaPersonalTecnico=2,$E159*H158,$E159/Hjor*H158))</f>
        <v>0</v>
      </c>
      <c r="I159" s="2">
        <f>IF(TipoProgramaPersonalTecnico=1,$E159*'a)Plantilla'!$C55*Programa!D$15,IF(TipoProgramaPersonalTecnico=2,$E159*I158,$E159/Hjor*I158))</f>
        <v>0</v>
      </c>
      <c r="J159" s="2">
        <f>IF(TipoProgramaPersonalTecnico=1,$E159*'a)Plantilla'!$C55*Programa!D$16,IF(TipoProgramaPersonalTecnico=2,$E159*J158,$E159/Hjor*J158))</f>
        <v>0</v>
      </c>
      <c r="K159" s="2">
        <f>IF(TipoProgramaPersonalTecnico=1,$E159*'a)Plantilla'!$C55*Programa!D$17,IF(TipoProgramaPersonalTecnico=2,$E159*K158,$E159/Hjor*K158))</f>
        <v>0</v>
      </c>
      <c r="L159" s="2">
        <f>IF(TipoProgramaPersonalTecnico=1,$E159*'a)Plantilla'!$C55*Programa!D$18,IF(TipoProgramaPersonalTecnico=2,$E159*L158,$E159/Hjor*L158))</f>
        <v>0</v>
      </c>
      <c r="M159" s="2">
        <f>IF(TipoProgramaPersonalTecnico=1,$E159*'a)Plantilla'!$C55*Programa!D$19,IF(TipoProgramaPersonalTecnico=2,$E159*M158,$E159/Hjor*M158))</f>
        <v>0</v>
      </c>
      <c r="N159" s="2">
        <f>IF(TipoProgramaPersonalTecnico=1,$E159*'a)Plantilla'!$C55*Programa!D$20,IF(TipoProgramaPersonalTecnico=2,$E159*N158,$E159/Hjor*N158))</f>
        <v>0</v>
      </c>
      <c r="O159" s="2">
        <f>IF(TipoProgramaPersonalTecnico=1,$E159*'a)Plantilla'!$C55*Programa!D$21,IF(TipoProgramaPersonalTecnico=2,$E159*O158,$E159/Hjor*O158))</f>
        <v>0</v>
      </c>
      <c r="P159" s="2">
        <f>IF(TipoProgramaPersonalTecnico=1,$E159*'a)Plantilla'!$C55*Programa!D$22,IF(TipoProgramaPersonalTecnico=2,$E159*P158,$E159/Hjor*P158))</f>
        <v>0</v>
      </c>
      <c r="Q159" s="2">
        <f>IF(TipoProgramaPersonalTecnico=1,$E159*'a)Plantilla'!$C55*Programa!D$23,IF(TipoProgramaPersonalTecnico=2,$E159*Q158,$E159/Hjor*Q158))</f>
        <v>0</v>
      </c>
      <c r="R159" s="12">
        <f>IF(TipoProgramaPersonalTecnico=1,$E159*'a)Plantilla'!$C55*Programa!D$24,IF(TipoProgramaPersonalTecnico=2,$E159*R158,$E159/Hjor*R158))</f>
        <v>0</v>
      </c>
      <c r="S159" s="7">
        <f>IF(TipoProgramaPersonalTecnico=1,$E159*'a)Plantilla'!$C55*Programa!D$25,IF(TipoProgramaPersonalTecnico=2,$E159*S158,$E159/Hjor*S158))</f>
        <v>0</v>
      </c>
      <c r="T159" s="2">
        <f>IF(TipoProgramaPersonalTecnico=1,$E159*'a)Plantilla'!$C55*Programa!D$26,IF(TipoProgramaPersonalTecnico=2,$E159*T158,$E159/Hjor*T158))</f>
        <v>0</v>
      </c>
      <c r="U159" s="2">
        <f>IF(TipoProgramaPersonalTecnico=1,$E159*'a)Plantilla'!$C55*Programa!D$27,IF(TipoProgramaPersonalTecnico=2,$E159*U158,$E159/Hjor*U158))</f>
        <v>0</v>
      </c>
      <c r="V159" s="2">
        <f>IF(TipoProgramaPersonalTecnico=1,$E159*'a)Plantilla'!$C55*Programa!D$28,IF(TipoProgramaPersonalTecnico=2,$E159*V158,$E159/Hjor*V158))</f>
        <v>0</v>
      </c>
      <c r="W159" s="2">
        <f>IF(TipoProgramaPersonalTecnico=1,$E159*'a)Plantilla'!$C55*Programa!D$29,IF(TipoProgramaPersonalTecnico=2,$E159*W158,$E159/Hjor*W158))</f>
        <v>0</v>
      </c>
      <c r="X159" s="2">
        <f>IF(TipoProgramaPersonalTecnico=1,$E159*'a)Plantilla'!$C55*Programa!D$30,IF(TipoProgramaPersonalTecnico=2,$E159*X158,$E159/Hjor*X158))</f>
        <v>0</v>
      </c>
      <c r="Y159" s="2">
        <f>IF(TipoProgramaPersonalTecnico=1,$E159*'a)Plantilla'!$C55*Programa!D$31,IF(TipoProgramaPersonalTecnico=2,$E159*Y158,$E159/Hjor*Y158))</f>
        <v>0</v>
      </c>
      <c r="Z159" s="2">
        <f>IF(TipoProgramaPersonalTecnico=1,$E159*'a)Plantilla'!$C55*Programa!D$32,IF(TipoProgramaPersonalTecnico=2,$E159*Z158,$E159/Hjor*Z158))</f>
        <v>0</v>
      </c>
      <c r="AA159" s="2">
        <f>IF(TipoProgramaPersonalTecnico=1,$E159*'a)Plantilla'!$C55*Programa!D$33,IF(TipoProgramaPersonalTecnico=2,$E159*AA158,$E159/Hjor*AA158))</f>
        <v>0</v>
      </c>
      <c r="AB159" s="2">
        <f>IF(TipoProgramaPersonalTecnico=1,$E159*'a)Plantilla'!$C55*Programa!D$34,IF(TipoProgramaPersonalTecnico=2,$E159*AB158,$E159/Hjor*AB158))</f>
        <v>0</v>
      </c>
      <c r="AC159" s="2">
        <f>IF(TipoProgramaPersonalTecnico=1,$E159*'a)Plantilla'!$C55*Programa!D$35,IF(TipoProgramaPersonalTecnico=2,$E159*AC158,$E159/Hjor*AC158))</f>
        <v>0</v>
      </c>
      <c r="AD159" s="12">
        <f>IF(TipoProgramaPersonalTecnico=1,$E159*'a)Plantilla'!$C55*Programa!D$36,IF(TipoProgramaPersonalTecnico=2,$E159*AD158,$E159/Hjor*AD158))</f>
        <v>0</v>
      </c>
      <c r="AE159" s="7">
        <f>IF(TipoProgramaPersonalTecnico=1,$E159*'a)Plantilla'!$C55*Programa!D$37,IF(TipoProgramaPersonalTecnico=2,$E159*AE158,$E159/Hjor*AE158))</f>
        <v>0</v>
      </c>
      <c r="AF159" s="2">
        <f>IF(TipoProgramaPersonalTecnico=1,$E159*'a)Plantilla'!$C55*Programa!D$38,IF(TipoProgramaPersonalTecnico=2,$E159*AF158,$E159/Hjor*AF158))</f>
        <v>0</v>
      </c>
      <c r="AG159" s="2">
        <f>IF(TipoProgramaPersonalTecnico=1,$E159*'a)Plantilla'!$C55*Programa!D$39,IF(TipoProgramaPersonalTecnico=2,$E159*AG158,$E159/Hjor*AG158))</f>
        <v>0</v>
      </c>
      <c r="AH159" s="2">
        <f>IF(TipoProgramaPersonalTecnico=1,$E159*'a)Plantilla'!$C55*Programa!D$40,IF(TipoProgramaPersonalTecnico=2,$E159*AH158,$E159/Hjor*AH158))</f>
        <v>0</v>
      </c>
      <c r="AI159" s="2">
        <f>IF(TipoProgramaPersonalTecnico=1,$E159*'a)Plantilla'!$C55*Programa!D$41,IF(TipoProgramaPersonalTecnico=2,$E159*AI158,$E159/Hjor*AI158))</f>
        <v>0</v>
      </c>
      <c r="AJ159" s="2">
        <f>IF(TipoProgramaPersonalTecnico=1,$E159*'a)Plantilla'!$C55*Programa!D$42,IF(TipoProgramaPersonalTecnico=2,$E159*AJ158,$E159/Hjor*AJ158))</f>
        <v>0</v>
      </c>
      <c r="AK159" s="2">
        <f>IF(TipoProgramaPersonalTecnico=1,$E159*'a)Plantilla'!$C55*Programa!D$43,IF(TipoProgramaPersonalTecnico=2,$E159*AK158,$E159/Hjor*AK158))</f>
        <v>0</v>
      </c>
      <c r="AL159" s="2">
        <f>IF(TipoProgramaPersonalTecnico=1,$E159*'a)Plantilla'!$C55*Programa!D$44,IF(TipoProgramaPersonalTecnico=2,$E159*AL158,$E159/Hjor*AL158))</f>
        <v>0</v>
      </c>
      <c r="AM159" s="2">
        <f>IF(TipoProgramaPersonalTecnico=1,$E159*'a)Plantilla'!$C55*Programa!D$45,IF(TipoProgramaPersonalTecnico=2,$E159*AM158,$E159/Hjor*AM158))</f>
        <v>0</v>
      </c>
      <c r="AN159" s="2">
        <f>IF(TipoProgramaPersonalTecnico=1,$E159*'a)Plantilla'!$C55*Programa!D$46,IF(TipoProgramaPersonalTecnico=2,$E159*AN158,$E159/Hjor*AN158))</f>
        <v>0</v>
      </c>
      <c r="AO159" s="2">
        <f>IF(TipoProgramaPersonalTecnico=1,$E159*'a)Plantilla'!$C55*Programa!D$47,IF(TipoProgramaPersonalTecnico=2,$E159*AO158,$E159/Hjor*AO158))</f>
        <v>0</v>
      </c>
      <c r="AP159" s="12">
        <f>IF(TipoProgramaPersonalTecnico=1,$E159*'a)Plantilla'!$C55*Programa!D$48,IF(TipoProgramaPersonalTecnico=2,$E159*AP158,$E159/Hjor*AP158))</f>
        <v>0</v>
      </c>
      <c r="AQ159" s="7">
        <f>IF(TipoProgramaPersonalTecnico=1,$E159*'a)Plantilla'!$C55*Programa!D$49,IF(TipoProgramaPersonalTecnico=2,$E159*AQ158,$E159/Hjor*AQ158))</f>
        <v>0</v>
      </c>
      <c r="AR159" s="2">
        <f>IF(TipoProgramaPersonalTecnico=1,$E159*'a)Plantilla'!$C55*Programa!D$50,IF(TipoProgramaPersonalTecnico=2,$E159*AR158,$E159/Hjor*AR158))</f>
        <v>0</v>
      </c>
      <c r="AS159" s="2">
        <f>IF(TipoProgramaPersonalTecnico=1,$E159*'a)Plantilla'!$C55*Programa!D$51,IF(TipoProgramaPersonalTecnico=2,$E159*AS158,$E159/Hjor*AS158))</f>
        <v>0</v>
      </c>
      <c r="AT159" s="2">
        <f>IF(TipoProgramaPersonalTecnico=1,$E159*'a)Plantilla'!$C55*Programa!D$52,IF(TipoProgramaPersonalTecnico=2,$E159*AT158,$E159/Hjor*AT158))</f>
        <v>0</v>
      </c>
      <c r="AU159" s="2">
        <f>IF(TipoProgramaPersonalTecnico=1,$E159*'a)Plantilla'!$C55*Programa!D$53,IF(TipoProgramaPersonalTecnico=2,$E159*AU158,$E159/Hjor*AU158))</f>
        <v>0</v>
      </c>
      <c r="AV159" s="2">
        <f>IF(TipoProgramaPersonalTecnico=1,$E159*'a)Plantilla'!$C55*Programa!D$54,IF(TipoProgramaPersonalTecnico=2,$E159*AV158,$E159/Hjor*AV158))</f>
        <v>0</v>
      </c>
      <c r="AW159" s="2">
        <f>IF(TipoProgramaPersonalTecnico=1,$E159*'a)Plantilla'!$C55*Programa!D$55,IF(TipoProgramaPersonalTecnico=2,$E159*AW158,$E159/Hjor*AW158))</f>
        <v>0</v>
      </c>
      <c r="AX159" s="2">
        <f>IF(TipoProgramaPersonalTecnico=1,$E159*'a)Plantilla'!$C55*Programa!D$56,IF(TipoProgramaPersonalTecnico=2,$E159*AX158,$E159/Hjor*AX158))</f>
        <v>0</v>
      </c>
      <c r="AY159" s="2">
        <f>IF(TipoProgramaPersonalTecnico=1,$E159*'a)Plantilla'!$C55*Programa!D$57,IF(TipoProgramaPersonalTecnico=2,$E159*AY158,$E159/Hjor*AY158))</f>
        <v>0</v>
      </c>
      <c r="AZ159" s="2">
        <f>IF(TipoProgramaPersonalTecnico=1,$E159*'a)Plantilla'!$C55*Programa!D$58,IF(TipoProgramaPersonalTecnico=2,$E159*AZ158,$E159/Hjor*AZ158))</f>
        <v>0</v>
      </c>
      <c r="BA159" s="55">
        <f>IF(TipoProgramaPersonalTecnico=1,$E159*'a)Plantilla'!$C55*Programa!D$59,IF(TipoProgramaPersonalTecnico=2,$E159*BA158,$E159/Hjor*BA158))</f>
        <v>0</v>
      </c>
      <c r="BB159" s="56">
        <f>IF(TipoProgramaPersonalTecnico=1,$E159*'a)Plantilla'!$C55*Programa!D$60,IF(TipoProgramaPersonalTecnico=2,$E159*BB158,$E159/Hjor*BB158))</f>
        <v>0</v>
      </c>
      <c r="BC159" s="53">
        <f>IF(TipoProgramaPersonalTecnico=1,$E159*'a)Plantilla'!$C55*Programa!D$61,IF(TipoProgramaPersonalTecnico=2,$E159*BC158,$E159/Hjor*BC158))</f>
        <v>0</v>
      </c>
      <c r="BD159" s="2">
        <f>IF(TipoProgramaPersonalTecnico=1,$E159*'a)Plantilla'!$C55*Programa!D$62,IF(TipoProgramaPersonalTecnico=2,$E159*BD158,$E159/Hjor*BD158))</f>
        <v>0</v>
      </c>
      <c r="BE159" s="2">
        <f>IF(TipoProgramaPersonalTecnico=1,$E159*'a)Plantilla'!$C55*Programa!D$63,IF(TipoProgramaPersonalTecnico=2,$E159*BE158,$E159/Hjor*BE158))</f>
        <v>0</v>
      </c>
      <c r="BF159" s="2">
        <f>IF(TipoProgramaPersonalTecnico=1,$E159*'a)Plantilla'!$C55*Programa!D$64,IF(TipoProgramaPersonalTecnico=2,$E159*BF158,$E159/Hjor*BF158))</f>
        <v>0</v>
      </c>
      <c r="BG159" s="2">
        <f>IF(TipoProgramaPersonalTecnico=1,$E159*'a)Plantilla'!$C55*Programa!D$65,IF(TipoProgramaPersonalTecnico=2,$E159*BG158,$E159/Hjor*BG158))</f>
        <v>0</v>
      </c>
      <c r="BH159" s="2">
        <f>IF(TipoProgramaPersonalTecnico=1,$E159*'a)Plantilla'!$C55*Programa!D$66,IF(TipoProgramaPersonalTecnico=2,$E159*BH158,$E159/Hjor*BH158))</f>
        <v>0</v>
      </c>
      <c r="BI159" s="2">
        <f>IF(TipoProgramaPersonalTecnico=1,$E159*'a)Plantilla'!$C55*Programa!D$67,IF(TipoProgramaPersonalTecnico=2,$E159*BI158,$E159/Hjor*BI158))</f>
        <v>0</v>
      </c>
      <c r="BJ159" s="2">
        <f>IF(TipoProgramaPersonalTecnico=1,$E159*'a)Plantilla'!$C55*Programa!D$68,IF(TipoProgramaPersonalTecnico=2,$E159*BJ158,$E159/Hjor*BJ158))</f>
        <v>0</v>
      </c>
      <c r="BK159" s="2">
        <f>IF(TipoProgramaPersonalTecnico=1,$E159*'a)Plantilla'!$C55*Programa!D$69,IF(TipoProgramaPersonalTecnico=2,$E159*BK158,$E159/Hjor*BK158))</f>
        <v>0</v>
      </c>
      <c r="BL159" s="2">
        <f>IF(TipoProgramaPersonalTecnico=1,$E159*'a)Plantilla'!$C55*Programa!D$70,IF(TipoProgramaPersonalTecnico=2,$E159*BL158,$E159/Hjor*BL158))</f>
        <v>0</v>
      </c>
      <c r="BM159" s="2">
        <f>IF(TipoProgramaPersonalTecnico=1,$E159*'a)Plantilla'!$C55*Programa!D$71,IF(TipoProgramaPersonalTecnico=2,$E159*BM158,$E159/Hjor*BM158))</f>
        <v>0</v>
      </c>
      <c r="BN159" s="12">
        <f>IF(TipoProgramaPersonalTecnico=1,$E159*'a)Plantilla'!$C55*Programa!D$72,IF(TipoProgramaPersonalTecnico=2,$E159*BN158,$E159/Hjor*BN158))</f>
        <v>0</v>
      </c>
    </row>
    <row r="160" spans="1:66" ht="7.5" customHeight="1">
      <c r="A160" s="67"/>
      <c r="B160" s="19"/>
      <c r="C160" s="127"/>
      <c r="D160" s="54"/>
      <c r="E160" s="19"/>
      <c r="F160" s="19"/>
      <c r="G160" s="1" t="s">
        <v>168</v>
      </c>
      <c r="H160" s="1" t="s">
        <v>168</v>
      </c>
      <c r="I160" s="1" t="s">
        <v>168</v>
      </c>
      <c r="J160" s="1" t="s">
        <v>168</v>
      </c>
      <c r="K160" s="1" t="s">
        <v>168</v>
      </c>
      <c r="L160" s="1" t="s">
        <v>168</v>
      </c>
      <c r="M160" s="1" t="s">
        <v>168</v>
      </c>
      <c r="N160" s="1" t="s">
        <v>168</v>
      </c>
      <c r="O160" s="1" t="s">
        <v>168</v>
      </c>
      <c r="P160" s="1" t="s">
        <v>168</v>
      </c>
      <c r="Q160" s="1" t="s">
        <v>168</v>
      </c>
      <c r="R160" s="8" t="s">
        <v>168</v>
      </c>
      <c r="S160" s="13" t="s">
        <v>168</v>
      </c>
      <c r="T160" s="1" t="s">
        <v>168</v>
      </c>
      <c r="U160" s="1" t="s">
        <v>168</v>
      </c>
      <c r="V160" s="1" t="s">
        <v>168</v>
      </c>
      <c r="W160" s="1" t="s">
        <v>168</v>
      </c>
      <c r="X160" s="1" t="s">
        <v>168</v>
      </c>
      <c r="Y160" s="1" t="s">
        <v>168</v>
      </c>
      <c r="Z160" s="1" t="s">
        <v>168</v>
      </c>
      <c r="AA160" s="1" t="s">
        <v>168</v>
      </c>
      <c r="AB160" s="1" t="s">
        <v>168</v>
      </c>
      <c r="AC160" s="1" t="s">
        <v>168</v>
      </c>
      <c r="AD160" s="8" t="s">
        <v>168</v>
      </c>
      <c r="AE160" s="13" t="s">
        <v>168</v>
      </c>
      <c r="AF160" s="1" t="s">
        <v>168</v>
      </c>
      <c r="AG160" s="1" t="s">
        <v>168</v>
      </c>
      <c r="AH160" s="1" t="s">
        <v>168</v>
      </c>
      <c r="AI160" s="1" t="s">
        <v>168</v>
      </c>
      <c r="AJ160" s="1" t="s">
        <v>168</v>
      </c>
      <c r="AK160" s="1" t="s">
        <v>168</v>
      </c>
      <c r="AL160" s="1" t="s">
        <v>168</v>
      </c>
      <c r="AM160" s="1" t="s">
        <v>168</v>
      </c>
      <c r="AN160" s="1" t="s">
        <v>168</v>
      </c>
      <c r="AO160" s="1" t="s">
        <v>168</v>
      </c>
      <c r="AP160" s="8" t="s">
        <v>168</v>
      </c>
      <c r="AQ160" s="13" t="s">
        <v>168</v>
      </c>
      <c r="AR160" s="1" t="s">
        <v>168</v>
      </c>
      <c r="AS160" s="1" t="s">
        <v>168</v>
      </c>
      <c r="AT160" s="1" t="s">
        <v>168</v>
      </c>
      <c r="AU160" s="1" t="s">
        <v>168</v>
      </c>
      <c r="AV160" s="1" t="s">
        <v>168</v>
      </c>
      <c r="AW160" s="1" t="s">
        <v>168</v>
      </c>
      <c r="AX160" s="1" t="s">
        <v>168</v>
      </c>
      <c r="AY160" s="1" t="s">
        <v>168</v>
      </c>
      <c r="AZ160" s="1" t="s">
        <v>168</v>
      </c>
      <c r="BA160" s="1" t="s">
        <v>168</v>
      </c>
      <c r="BB160" s="8" t="s">
        <v>168</v>
      </c>
      <c r="BC160" s="13" t="s">
        <v>168</v>
      </c>
      <c r="BD160" s="1" t="s">
        <v>168</v>
      </c>
      <c r="BE160" s="1" t="s">
        <v>168</v>
      </c>
      <c r="BF160" s="1" t="s">
        <v>168</v>
      </c>
      <c r="BG160" s="1" t="s">
        <v>168</v>
      </c>
      <c r="BH160" s="1" t="s">
        <v>168</v>
      </c>
      <c r="BI160" s="1" t="s">
        <v>168</v>
      </c>
      <c r="BJ160" s="1" t="s">
        <v>168</v>
      </c>
      <c r="BK160" s="1" t="s">
        <v>168</v>
      </c>
      <c r="BL160" s="1" t="s">
        <v>168</v>
      </c>
      <c r="BM160" s="1" t="s">
        <v>168</v>
      </c>
      <c r="BN160" s="8" t="s">
        <v>168</v>
      </c>
    </row>
    <row r="161" spans="1:66">
      <c r="A161" s="67"/>
      <c r="B161" s="46"/>
      <c r="C161" s="127"/>
      <c r="D161" s="52"/>
      <c r="E161" s="7"/>
      <c r="F161" s="7"/>
      <c r="G161" s="3">
        <f>'d)Pers.Técnico'!E113</f>
        <v>0</v>
      </c>
      <c r="H161" s="3">
        <f>'d)Pers.Técnico'!F113</f>
        <v>0</v>
      </c>
      <c r="I161" s="3">
        <f>'d)Pers.Técnico'!G113</f>
        <v>0</v>
      </c>
      <c r="J161" s="3">
        <f>'d)Pers.Técnico'!H113</f>
        <v>0</v>
      </c>
      <c r="K161" s="3">
        <f>'d)Pers.Técnico'!I113</f>
        <v>0</v>
      </c>
      <c r="L161" s="3">
        <f>'d)Pers.Técnico'!J113</f>
        <v>0</v>
      </c>
      <c r="M161" s="3">
        <f>'d)Pers.Técnico'!K113</f>
        <v>0</v>
      </c>
      <c r="N161" s="3">
        <f>'d)Pers.Técnico'!L113</f>
        <v>0</v>
      </c>
      <c r="O161" s="3">
        <f>'d)Pers.Técnico'!M113</f>
        <v>0</v>
      </c>
      <c r="P161" s="3">
        <f>'d)Pers.Técnico'!N113</f>
        <v>0</v>
      </c>
      <c r="Q161" s="3">
        <f>'d)Pers.Técnico'!O113</f>
        <v>0</v>
      </c>
      <c r="R161" s="14">
        <f>'d)Pers.Técnico'!P113</f>
        <v>0</v>
      </c>
      <c r="S161" s="20">
        <f>'d)Pers.Técnico'!Q113</f>
        <v>0</v>
      </c>
      <c r="T161" s="3">
        <f>'d)Pers.Técnico'!R113</f>
        <v>0</v>
      </c>
      <c r="U161" s="3">
        <f>'d)Pers.Técnico'!S113</f>
        <v>0</v>
      </c>
      <c r="V161" s="3">
        <f>'d)Pers.Técnico'!T113</f>
        <v>0</v>
      </c>
      <c r="W161" s="3">
        <f>'d)Pers.Técnico'!U113</f>
        <v>0</v>
      </c>
      <c r="X161" s="3">
        <f>'d)Pers.Técnico'!V113</f>
        <v>0</v>
      </c>
      <c r="Y161" s="3">
        <f>'d)Pers.Técnico'!W113</f>
        <v>0</v>
      </c>
      <c r="Z161" s="3">
        <f>'d)Pers.Técnico'!X113</f>
        <v>0</v>
      </c>
      <c r="AA161" s="3">
        <f>'d)Pers.Técnico'!Y113</f>
        <v>0</v>
      </c>
      <c r="AB161" s="3">
        <f>'d)Pers.Técnico'!Z113</f>
        <v>0</v>
      </c>
      <c r="AC161" s="3">
        <f>'d)Pers.Técnico'!AA113</f>
        <v>0</v>
      </c>
      <c r="AD161" s="14">
        <f>'d)Pers.Técnico'!AB113</f>
        <v>0</v>
      </c>
      <c r="AE161" s="20">
        <f>'d)Pers.Técnico'!AC113</f>
        <v>0</v>
      </c>
      <c r="AF161" s="3">
        <f>'d)Pers.Técnico'!AD113</f>
        <v>0</v>
      </c>
      <c r="AG161" s="3">
        <f>'d)Pers.Técnico'!AE113</f>
        <v>0</v>
      </c>
      <c r="AH161" s="3">
        <f>'d)Pers.Técnico'!AF113</f>
        <v>0</v>
      </c>
      <c r="AI161" s="3">
        <f>'d)Pers.Técnico'!AG113</f>
        <v>0</v>
      </c>
      <c r="AJ161" s="3">
        <f>'d)Pers.Técnico'!AH113</f>
        <v>0</v>
      </c>
      <c r="AK161" s="3">
        <f>'d)Pers.Técnico'!AI113</f>
        <v>0</v>
      </c>
      <c r="AL161" s="3">
        <f>'d)Pers.Técnico'!AJ113</f>
        <v>0</v>
      </c>
      <c r="AM161" s="3">
        <f>'d)Pers.Técnico'!AK113</f>
        <v>0</v>
      </c>
      <c r="AN161" s="3">
        <f>'d)Pers.Técnico'!AL113</f>
        <v>0</v>
      </c>
      <c r="AO161" s="3">
        <f>'d)Pers.Técnico'!AM113</f>
        <v>0</v>
      </c>
      <c r="AP161" s="14">
        <f>'d)Pers.Técnico'!AN113</f>
        <v>0</v>
      </c>
      <c r="AQ161" s="20">
        <f>'d)Pers.Técnico'!AO113</f>
        <v>0</v>
      </c>
      <c r="AR161" s="3">
        <f>'d)Pers.Técnico'!AP113</f>
        <v>0</v>
      </c>
      <c r="AS161" s="3">
        <f>'d)Pers.Técnico'!AQ113</f>
        <v>0</v>
      </c>
      <c r="AT161" s="3">
        <f>'d)Pers.Técnico'!AR113</f>
        <v>0</v>
      </c>
      <c r="AU161" s="3">
        <f>'d)Pers.Técnico'!AS113</f>
        <v>0</v>
      </c>
      <c r="AV161" s="3">
        <f>'d)Pers.Técnico'!AT113</f>
        <v>0</v>
      </c>
      <c r="AW161" s="3">
        <f>'d)Pers.Técnico'!AU113</f>
        <v>0</v>
      </c>
      <c r="AX161" s="3">
        <f>'d)Pers.Técnico'!AV113</f>
        <v>0</v>
      </c>
      <c r="AY161" s="3">
        <f>'d)Pers.Técnico'!AW113</f>
        <v>0</v>
      </c>
      <c r="AZ161" s="3">
        <f>'d)Pers.Técnico'!AX113</f>
        <v>0</v>
      </c>
      <c r="BA161" s="1">
        <f>'d)Pers.Técnico'!AY113</f>
        <v>0</v>
      </c>
      <c r="BB161" s="60">
        <f>'d)Pers.Técnico'!AZ113</f>
        <v>0</v>
      </c>
      <c r="BC161" s="61">
        <f>'d)Pers.Técnico'!BA113</f>
        <v>0</v>
      </c>
      <c r="BD161" s="3">
        <f>'d)Pers.Técnico'!BB113</f>
        <v>0</v>
      </c>
      <c r="BE161" s="3">
        <f>'d)Pers.Técnico'!BC113</f>
        <v>0</v>
      </c>
      <c r="BF161" s="3">
        <f>'d)Pers.Técnico'!BD113</f>
        <v>0</v>
      </c>
      <c r="BG161" s="3">
        <f>'d)Pers.Técnico'!BE113</f>
        <v>0</v>
      </c>
      <c r="BH161" s="3">
        <f>'d)Pers.Técnico'!BF113</f>
        <v>0</v>
      </c>
      <c r="BI161" s="3">
        <f>'d)Pers.Técnico'!BG113</f>
        <v>0</v>
      </c>
      <c r="BJ161" s="3">
        <f>'d)Pers.Técnico'!BH113</f>
        <v>0</v>
      </c>
      <c r="BK161" s="3">
        <f>'d)Pers.Técnico'!BI113</f>
        <v>0</v>
      </c>
      <c r="BL161" s="3">
        <f>'d)Pers.Técnico'!BJ113</f>
        <v>0</v>
      </c>
      <c r="BM161" s="3">
        <f>'d)Pers.Técnico'!BK113</f>
        <v>0</v>
      </c>
      <c r="BN161" s="14">
        <f>'d)Pers.Técnico'!BL113</f>
        <v>0</v>
      </c>
    </row>
    <row r="162" spans="1:66">
      <c r="A162" s="67"/>
      <c r="B162" s="46" t="str">
        <f>+'d)Pers.Técnico'!B113</f>
        <v/>
      </c>
      <c r="C162" s="127" t="str">
        <f>'d)Pers.Técnico'!C113</f>
        <v/>
      </c>
      <c r="D162" s="52">
        <f>SUM(G161:BN161)</f>
        <v>0</v>
      </c>
      <c r="E162" s="7">
        <f>IF('a)Plantilla'!C56&gt;0,'a)Plantilla'!D56/30,0)</f>
        <v>0</v>
      </c>
      <c r="F162" s="7">
        <f>SUM(G162:BN162)</f>
        <v>0</v>
      </c>
      <c r="G162" s="2">
        <f>IF(TipoProgramaPersonalTecnico=1,$E162*'a)Plantilla'!$C56*Programa!D$13,IF(TipoProgramaPersonalTecnico=2,$E162*G161,$E162/Hjor*G161))</f>
        <v>0</v>
      </c>
      <c r="H162" s="2">
        <f>IF(TipoProgramaPersonalTecnico=1,$E162*'a)Plantilla'!$C56*Programa!D$14,IF(TipoProgramaPersonalTecnico=2,$E162*H161,$E162/Hjor*H161))</f>
        <v>0</v>
      </c>
      <c r="I162" s="2">
        <f>IF(TipoProgramaPersonalTecnico=1,$E162*'a)Plantilla'!$C56*Programa!D$15,IF(TipoProgramaPersonalTecnico=2,$E162*I161,$E162/Hjor*I161))</f>
        <v>0</v>
      </c>
      <c r="J162" s="2">
        <f>IF(TipoProgramaPersonalTecnico=1,$E162*'a)Plantilla'!$C56*Programa!D$16,IF(TipoProgramaPersonalTecnico=2,$E162*J161,$E162/Hjor*J161))</f>
        <v>0</v>
      </c>
      <c r="K162" s="2">
        <f>IF(TipoProgramaPersonalTecnico=1,$E162*'a)Plantilla'!$C56*Programa!D$17,IF(TipoProgramaPersonalTecnico=2,$E162*K161,$E162/Hjor*K161))</f>
        <v>0</v>
      </c>
      <c r="L162" s="2">
        <f>IF(TipoProgramaPersonalTecnico=1,$E162*'a)Plantilla'!$C56*Programa!D$18,IF(TipoProgramaPersonalTecnico=2,$E162*L161,$E162/Hjor*L161))</f>
        <v>0</v>
      </c>
      <c r="M162" s="2">
        <f>IF(TipoProgramaPersonalTecnico=1,$E162*'a)Plantilla'!$C56*Programa!D$19,IF(TipoProgramaPersonalTecnico=2,$E162*M161,$E162/Hjor*M161))</f>
        <v>0</v>
      </c>
      <c r="N162" s="2">
        <f>IF(TipoProgramaPersonalTecnico=1,$E162*'a)Plantilla'!$C56*Programa!D$20,IF(TipoProgramaPersonalTecnico=2,$E162*N161,$E162/Hjor*N161))</f>
        <v>0</v>
      </c>
      <c r="O162" s="2">
        <f>IF(TipoProgramaPersonalTecnico=1,$E162*'a)Plantilla'!$C56*Programa!D$21,IF(TipoProgramaPersonalTecnico=2,$E162*O161,$E162/Hjor*O161))</f>
        <v>0</v>
      </c>
      <c r="P162" s="2">
        <f>IF(TipoProgramaPersonalTecnico=1,$E162*'a)Plantilla'!$C56*Programa!D$22,IF(TipoProgramaPersonalTecnico=2,$E162*P161,$E162/Hjor*P161))</f>
        <v>0</v>
      </c>
      <c r="Q162" s="2">
        <f>IF(TipoProgramaPersonalTecnico=1,$E162*'a)Plantilla'!$C56*Programa!D$23,IF(TipoProgramaPersonalTecnico=2,$E162*Q161,$E162/Hjor*Q161))</f>
        <v>0</v>
      </c>
      <c r="R162" s="12">
        <f>IF(TipoProgramaPersonalTecnico=1,$E162*'a)Plantilla'!$C56*Programa!D$24,IF(TipoProgramaPersonalTecnico=2,$E162*R161,$E162/Hjor*R161))</f>
        <v>0</v>
      </c>
      <c r="S162" s="7">
        <f>IF(TipoProgramaPersonalTecnico=1,$E162*'a)Plantilla'!$C56*Programa!D$25,IF(TipoProgramaPersonalTecnico=2,$E162*S161,$E162/Hjor*S161))</f>
        <v>0</v>
      </c>
      <c r="T162" s="2">
        <f>IF(TipoProgramaPersonalTecnico=1,$E162*'a)Plantilla'!$C56*Programa!D$26,IF(TipoProgramaPersonalTecnico=2,$E162*T161,$E162/Hjor*T161))</f>
        <v>0</v>
      </c>
      <c r="U162" s="2">
        <f>IF(TipoProgramaPersonalTecnico=1,$E162*'a)Plantilla'!$C56*Programa!D$27,IF(TipoProgramaPersonalTecnico=2,$E162*U161,$E162/Hjor*U161))</f>
        <v>0</v>
      </c>
      <c r="V162" s="2">
        <f>IF(TipoProgramaPersonalTecnico=1,$E162*'a)Plantilla'!$C56*Programa!D$28,IF(TipoProgramaPersonalTecnico=2,$E162*V161,$E162/Hjor*V161))</f>
        <v>0</v>
      </c>
      <c r="W162" s="2">
        <f>IF(TipoProgramaPersonalTecnico=1,$E162*'a)Plantilla'!$C56*Programa!D$29,IF(TipoProgramaPersonalTecnico=2,$E162*W161,$E162/Hjor*W161))</f>
        <v>0</v>
      </c>
      <c r="X162" s="2">
        <f>IF(TipoProgramaPersonalTecnico=1,$E162*'a)Plantilla'!$C56*Programa!D$30,IF(TipoProgramaPersonalTecnico=2,$E162*X161,$E162/Hjor*X161))</f>
        <v>0</v>
      </c>
      <c r="Y162" s="2">
        <f>IF(TipoProgramaPersonalTecnico=1,$E162*'a)Plantilla'!$C56*Programa!D$31,IF(TipoProgramaPersonalTecnico=2,$E162*Y161,$E162/Hjor*Y161))</f>
        <v>0</v>
      </c>
      <c r="Z162" s="2">
        <f>IF(TipoProgramaPersonalTecnico=1,$E162*'a)Plantilla'!$C56*Programa!D$32,IF(TipoProgramaPersonalTecnico=2,$E162*Z161,$E162/Hjor*Z161))</f>
        <v>0</v>
      </c>
      <c r="AA162" s="2">
        <f>IF(TipoProgramaPersonalTecnico=1,$E162*'a)Plantilla'!$C56*Programa!D$33,IF(TipoProgramaPersonalTecnico=2,$E162*AA161,$E162/Hjor*AA161))</f>
        <v>0</v>
      </c>
      <c r="AB162" s="2">
        <f>IF(TipoProgramaPersonalTecnico=1,$E162*'a)Plantilla'!$C56*Programa!D$34,IF(TipoProgramaPersonalTecnico=2,$E162*AB161,$E162/Hjor*AB161))</f>
        <v>0</v>
      </c>
      <c r="AC162" s="2">
        <f>IF(TipoProgramaPersonalTecnico=1,$E162*'a)Plantilla'!$C56*Programa!D$35,IF(TipoProgramaPersonalTecnico=2,$E162*AC161,$E162/Hjor*AC161))</f>
        <v>0</v>
      </c>
      <c r="AD162" s="12">
        <f>IF(TipoProgramaPersonalTecnico=1,$E162*'a)Plantilla'!$C56*Programa!D$36,IF(TipoProgramaPersonalTecnico=2,$E162*AD161,$E162/Hjor*AD161))</f>
        <v>0</v>
      </c>
      <c r="AE162" s="7">
        <f>IF(TipoProgramaPersonalTecnico=1,$E162*'a)Plantilla'!$C56*Programa!D$37,IF(TipoProgramaPersonalTecnico=2,$E162*AE161,$E162/Hjor*AE161))</f>
        <v>0</v>
      </c>
      <c r="AF162" s="2">
        <f>IF(TipoProgramaPersonalTecnico=1,$E162*'a)Plantilla'!$C56*Programa!D$38,IF(TipoProgramaPersonalTecnico=2,$E162*AF161,$E162/Hjor*AF161))</f>
        <v>0</v>
      </c>
      <c r="AG162" s="2">
        <f>IF(TipoProgramaPersonalTecnico=1,$E162*'a)Plantilla'!$C56*Programa!D$39,IF(TipoProgramaPersonalTecnico=2,$E162*AG161,$E162/Hjor*AG161))</f>
        <v>0</v>
      </c>
      <c r="AH162" s="2">
        <f>IF(TipoProgramaPersonalTecnico=1,$E162*'a)Plantilla'!$C56*Programa!D$40,IF(TipoProgramaPersonalTecnico=2,$E162*AH161,$E162/Hjor*AH161))</f>
        <v>0</v>
      </c>
      <c r="AI162" s="2">
        <f>IF(TipoProgramaPersonalTecnico=1,$E162*'a)Plantilla'!$C56*Programa!D$41,IF(TipoProgramaPersonalTecnico=2,$E162*AI161,$E162/Hjor*AI161))</f>
        <v>0</v>
      </c>
      <c r="AJ162" s="2">
        <f>IF(TipoProgramaPersonalTecnico=1,$E162*'a)Plantilla'!$C56*Programa!D$42,IF(TipoProgramaPersonalTecnico=2,$E162*AJ161,$E162/Hjor*AJ161))</f>
        <v>0</v>
      </c>
      <c r="AK162" s="2">
        <f>IF(TipoProgramaPersonalTecnico=1,$E162*'a)Plantilla'!$C56*Programa!D$43,IF(TipoProgramaPersonalTecnico=2,$E162*AK161,$E162/Hjor*AK161))</f>
        <v>0</v>
      </c>
      <c r="AL162" s="2">
        <f>IF(TipoProgramaPersonalTecnico=1,$E162*'a)Plantilla'!$C56*Programa!D$44,IF(TipoProgramaPersonalTecnico=2,$E162*AL161,$E162/Hjor*AL161))</f>
        <v>0</v>
      </c>
      <c r="AM162" s="2">
        <f>IF(TipoProgramaPersonalTecnico=1,$E162*'a)Plantilla'!$C56*Programa!D$45,IF(TipoProgramaPersonalTecnico=2,$E162*AM161,$E162/Hjor*AM161))</f>
        <v>0</v>
      </c>
      <c r="AN162" s="2">
        <f>IF(TipoProgramaPersonalTecnico=1,$E162*'a)Plantilla'!$C56*Programa!D$46,IF(TipoProgramaPersonalTecnico=2,$E162*AN161,$E162/Hjor*AN161))</f>
        <v>0</v>
      </c>
      <c r="AO162" s="2">
        <f>IF(TipoProgramaPersonalTecnico=1,$E162*'a)Plantilla'!$C56*Programa!D$47,IF(TipoProgramaPersonalTecnico=2,$E162*AO161,$E162/Hjor*AO161))</f>
        <v>0</v>
      </c>
      <c r="AP162" s="12">
        <f>IF(TipoProgramaPersonalTecnico=1,$E162*'a)Plantilla'!$C56*Programa!D$48,IF(TipoProgramaPersonalTecnico=2,$E162*AP161,$E162/Hjor*AP161))</f>
        <v>0</v>
      </c>
      <c r="AQ162" s="7">
        <f>IF(TipoProgramaPersonalTecnico=1,$E162*'a)Plantilla'!$C56*Programa!D$49,IF(TipoProgramaPersonalTecnico=2,$E162*AQ161,$E162/Hjor*AQ161))</f>
        <v>0</v>
      </c>
      <c r="AR162" s="2">
        <f>IF(TipoProgramaPersonalTecnico=1,$E162*'a)Plantilla'!$C56*Programa!D$50,IF(TipoProgramaPersonalTecnico=2,$E162*AR161,$E162/Hjor*AR161))</f>
        <v>0</v>
      </c>
      <c r="AS162" s="2">
        <f>IF(TipoProgramaPersonalTecnico=1,$E162*'a)Plantilla'!$C56*Programa!D$51,IF(TipoProgramaPersonalTecnico=2,$E162*AS161,$E162/Hjor*AS161))</f>
        <v>0</v>
      </c>
      <c r="AT162" s="2">
        <f>IF(TipoProgramaPersonalTecnico=1,$E162*'a)Plantilla'!$C56*Programa!D$52,IF(TipoProgramaPersonalTecnico=2,$E162*AT161,$E162/Hjor*AT161))</f>
        <v>0</v>
      </c>
      <c r="AU162" s="2">
        <f>IF(TipoProgramaPersonalTecnico=1,$E162*'a)Plantilla'!$C56*Programa!D$53,IF(TipoProgramaPersonalTecnico=2,$E162*AU161,$E162/Hjor*AU161))</f>
        <v>0</v>
      </c>
      <c r="AV162" s="2">
        <f>IF(TipoProgramaPersonalTecnico=1,$E162*'a)Plantilla'!$C56*Programa!D$54,IF(TipoProgramaPersonalTecnico=2,$E162*AV161,$E162/Hjor*AV161))</f>
        <v>0</v>
      </c>
      <c r="AW162" s="2">
        <f>IF(TipoProgramaPersonalTecnico=1,$E162*'a)Plantilla'!$C56*Programa!D$55,IF(TipoProgramaPersonalTecnico=2,$E162*AW161,$E162/Hjor*AW161))</f>
        <v>0</v>
      </c>
      <c r="AX162" s="2">
        <f>IF(TipoProgramaPersonalTecnico=1,$E162*'a)Plantilla'!$C56*Programa!D$56,IF(TipoProgramaPersonalTecnico=2,$E162*AX161,$E162/Hjor*AX161))</f>
        <v>0</v>
      </c>
      <c r="AY162" s="2">
        <f>IF(TipoProgramaPersonalTecnico=1,$E162*'a)Plantilla'!$C56*Programa!D$57,IF(TipoProgramaPersonalTecnico=2,$E162*AY161,$E162/Hjor*AY161))</f>
        <v>0</v>
      </c>
      <c r="AZ162" s="2">
        <f>IF(TipoProgramaPersonalTecnico=1,$E162*'a)Plantilla'!$C56*Programa!D$58,IF(TipoProgramaPersonalTecnico=2,$E162*AZ161,$E162/Hjor*AZ161))</f>
        <v>0</v>
      </c>
      <c r="BA162" s="55">
        <f>IF(TipoProgramaPersonalTecnico=1,$E162*'a)Plantilla'!$C56*Programa!D$59,IF(TipoProgramaPersonalTecnico=2,$E162*BA161,$E162/Hjor*BA161))</f>
        <v>0</v>
      </c>
      <c r="BB162" s="56">
        <f>IF(TipoProgramaPersonalTecnico=1,$E162*'a)Plantilla'!$C56*Programa!D$60,IF(TipoProgramaPersonalTecnico=2,$E162*BB161,$E162/Hjor*BB161))</f>
        <v>0</v>
      </c>
      <c r="BC162" s="53">
        <f>IF(TipoProgramaPersonalTecnico=1,$E162*'a)Plantilla'!$C56*Programa!D$61,IF(TipoProgramaPersonalTecnico=2,$E162*BC161,$E162/Hjor*BC161))</f>
        <v>0</v>
      </c>
      <c r="BD162" s="2">
        <f>IF(TipoProgramaPersonalTecnico=1,$E162*'a)Plantilla'!$C56*Programa!D$62,IF(TipoProgramaPersonalTecnico=2,$E162*BD161,$E162/Hjor*BD161))</f>
        <v>0</v>
      </c>
      <c r="BE162" s="2">
        <f>IF(TipoProgramaPersonalTecnico=1,$E162*'a)Plantilla'!$C56*Programa!D$63,IF(TipoProgramaPersonalTecnico=2,$E162*BE161,$E162/Hjor*BE161))</f>
        <v>0</v>
      </c>
      <c r="BF162" s="2">
        <f>IF(TipoProgramaPersonalTecnico=1,$E162*'a)Plantilla'!$C56*Programa!D$64,IF(TipoProgramaPersonalTecnico=2,$E162*BF161,$E162/Hjor*BF161))</f>
        <v>0</v>
      </c>
      <c r="BG162" s="2">
        <f>IF(TipoProgramaPersonalTecnico=1,$E162*'a)Plantilla'!$C56*Programa!D$65,IF(TipoProgramaPersonalTecnico=2,$E162*BG161,$E162/Hjor*BG161))</f>
        <v>0</v>
      </c>
      <c r="BH162" s="2">
        <f>IF(TipoProgramaPersonalTecnico=1,$E162*'a)Plantilla'!$C56*Programa!D$66,IF(TipoProgramaPersonalTecnico=2,$E162*BH161,$E162/Hjor*BH161))</f>
        <v>0</v>
      </c>
      <c r="BI162" s="2">
        <f>IF(TipoProgramaPersonalTecnico=1,$E162*'a)Plantilla'!$C56*Programa!D$67,IF(TipoProgramaPersonalTecnico=2,$E162*BI161,$E162/Hjor*BI161))</f>
        <v>0</v>
      </c>
      <c r="BJ162" s="2">
        <f>IF(TipoProgramaPersonalTecnico=1,$E162*'a)Plantilla'!$C56*Programa!D$68,IF(TipoProgramaPersonalTecnico=2,$E162*BJ161,$E162/Hjor*BJ161))</f>
        <v>0</v>
      </c>
      <c r="BK162" s="2">
        <f>IF(TipoProgramaPersonalTecnico=1,$E162*'a)Plantilla'!$C56*Programa!D$69,IF(TipoProgramaPersonalTecnico=2,$E162*BK161,$E162/Hjor*BK161))</f>
        <v>0</v>
      </c>
      <c r="BL162" s="2">
        <f>IF(TipoProgramaPersonalTecnico=1,$E162*'a)Plantilla'!$C56*Programa!D$70,IF(TipoProgramaPersonalTecnico=2,$E162*BL161,$E162/Hjor*BL161))</f>
        <v>0</v>
      </c>
      <c r="BM162" s="2">
        <f>IF(TipoProgramaPersonalTecnico=1,$E162*'a)Plantilla'!$C56*Programa!D$71,IF(TipoProgramaPersonalTecnico=2,$E162*BM161,$E162/Hjor*BM161))</f>
        <v>0</v>
      </c>
      <c r="BN162" s="12">
        <f>IF(TipoProgramaPersonalTecnico=1,$E162*'a)Plantilla'!$C56*Programa!D$72,IF(TipoProgramaPersonalTecnico=2,$E162*BN161,$E162/Hjor*BN161))</f>
        <v>0</v>
      </c>
    </row>
    <row r="163" spans="1:66" ht="7.5" customHeight="1">
      <c r="A163" s="67"/>
      <c r="B163" s="19"/>
      <c r="C163" s="127"/>
      <c r="D163" s="54"/>
      <c r="E163" s="19"/>
      <c r="F163" s="19"/>
      <c r="G163" s="1" t="s">
        <v>168</v>
      </c>
      <c r="H163" s="1" t="s">
        <v>168</v>
      </c>
      <c r="I163" s="1" t="s">
        <v>168</v>
      </c>
      <c r="J163" s="1" t="s">
        <v>168</v>
      </c>
      <c r="K163" s="1" t="s">
        <v>168</v>
      </c>
      <c r="L163" s="1" t="s">
        <v>168</v>
      </c>
      <c r="M163" s="1" t="s">
        <v>168</v>
      </c>
      <c r="N163" s="1" t="s">
        <v>168</v>
      </c>
      <c r="O163" s="1" t="s">
        <v>168</v>
      </c>
      <c r="P163" s="1" t="s">
        <v>168</v>
      </c>
      <c r="Q163" s="1" t="s">
        <v>168</v>
      </c>
      <c r="R163" s="8" t="s">
        <v>168</v>
      </c>
      <c r="S163" s="13" t="s">
        <v>168</v>
      </c>
      <c r="T163" s="1" t="s">
        <v>168</v>
      </c>
      <c r="U163" s="1" t="s">
        <v>168</v>
      </c>
      <c r="V163" s="1" t="s">
        <v>168</v>
      </c>
      <c r="W163" s="1" t="s">
        <v>168</v>
      </c>
      <c r="X163" s="1" t="s">
        <v>168</v>
      </c>
      <c r="Y163" s="1" t="s">
        <v>168</v>
      </c>
      <c r="Z163" s="1" t="s">
        <v>168</v>
      </c>
      <c r="AA163" s="1" t="s">
        <v>168</v>
      </c>
      <c r="AB163" s="1" t="s">
        <v>168</v>
      </c>
      <c r="AC163" s="1" t="s">
        <v>168</v>
      </c>
      <c r="AD163" s="8" t="s">
        <v>168</v>
      </c>
      <c r="AE163" s="13" t="s">
        <v>168</v>
      </c>
      <c r="AF163" s="1" t="s">
        <v>168</v>
      </c>
      <c r="AG163" s="1" t="s">
        <v>168</v>
      </c>
      <c r="AH163" s="1" t="s">
        <v>168</v>
      </c>
      <c r="AI163" s="1" t="s">
        <v>168</v>
      </c>
      <c r="AJ163" s="1" t="s">
        <v>168</v>
      </c>
      <c r="AK163" s="1" t="s">
        <v>168</v>
      </c>
      <c r="AL163" s="1" t="s">
        <v>168</v>
      </c>
      <c r="AM163" s="1" t="s">
        <v>168</v>
      </c>
      <c r="AN163" s="1" t="s">
        <v>168</v>
      </c>
      <c r="AO163" s="1" t="s">
        <v>168</v>
      </c>
      <c r="AP163" s="8" t="s">
        <v>168</v>
      </c>
      <c r="AQ163" s="13" t="s">
        <v>168</v>
      </c>
      <c r="AR163" s="1" t="s">
        <v>168</v>
      </c>
      <c r="AS163" s="1" t="s">
        <v>168</v>
      </c>
      <c r="AT163" s="1" t="s">
        <v>168</v>
      </c>
      <c r="AU163" s="1" t="s">
        <v>168</v>
      </c>
      <c r="AV163" s="1" t="s">
        <v>168</v>
      </c>
      <c r="AW163" s="1" t="s">
        <v>168</v>
      </c>
      <c r="AX163" s="1" t="s">
        <v>168</v>
      </c>
      <c r="AY163" s="1" t="s">
        <v>168</v>
      </c>
      <c r="AZ163" s="1" t="s">
        <v>168</v>
      </c>
      <c r="BA163" s="1" t="s">
        <v>168</v>
      </c>
      <c r="BB163" s="8" t="s">
        <v>168</v>
      </c>
      <c r="BC163" s="13" t="s">
        <v>168</v>
      </c>
      <c r="BD163" s="1" t="s">
        <v>168</v>
      </c>
      <c r="BE163" s="1" t="s">
        <v>168</v>
      </c>
      <c r="BF163" s="1" t="s">
        <v>168</v>
      </c>
      <c r="BG163" s="1" t="s">
        <v>168</v>
      </c>
      <c r="BH163" s="1" t="s">
        <v>168</v>
      </c>
      <c r="BI163" s="1" t="s">
        <v>168</v>
      </c>
      <c r="BJ163" s="1" t="s">
        <v>168</v>
      </c>
      <c r="BK163" s="1" t="s">
        <v>168</v>
      </c>
      <c r="BL163" s="1" t="s">
        <v>168</v>
      </c>
      <c r="BM163" s="1" t="s">
        <v>168</v>
      </c>
      <c r="BN163" s="8" t="s">
        <v>168</v>
      </c>
    </row>
    <row r="164" spans="1:66">
      <c r="A164" s="67"/>
      <c r="B164" s="46"/>
      <c r="C164" s="127"/>
      <c r="D164" s="52"/>
      <c r="E164" s="7"/>
      <c r="F164" s="7"/>
      <c r="G164" s="3">
        <f>'d)Pers.Técnico'!E115</f>
        <v>0</v>
      </c>
      <c r="H164" s="3">
        <f>'d)Pers.Técnico'!F115</f>
        <v>0</v>
      </c>
      <c r="I164" s="3">
        <f>'d)Pers.Técnico'!G115</f>
        <v>0</v>
      </c>
      <c r="J164" s="3">
        <f>'d)Pers.Técnico'!H115</f>
        <v>0</v>
      </c>
      <c r="K164" s="3">
        <f>'d)Pers.Técnico'!I115</f>
        <v>0</v>
      </c>
      <c r="L164" s="3">
        <f>'d)Pers.Técnico'!J115</f>
        <v>0</v>
      </c>
      <c r="M164" s="3">
        <f>'d)Pers.Técnico'!K115</f>
        <v>0</v>
      </c>
      <c r="N164" s="3">
        <f>'d)Pers.Técnico'!L115</f>
        <v>0</v>
      </c>
      <c r="O164" s="3">
        <f>'d)Pers.Técnico'!M115</f>
        <v>0</v>
      </c>
      <c r="P164" s="3">
        <f>'d)Pers.Técnico'!N115</f>
        <v>0</v>
      </c>
      <c r="Q164" s="3">
        <f>'d)Pers.Técnico'!O115</f>
        <v>0</v>
      </c>
      <c r="R164" s="14">
        <f>'d)Pers.Técnico'!P115</f>
        <v>0</v>
      </c>
      <c r="S164" s="20">
        <f>'d)Pers.Técnico'!Q115</f>
        <v>0</v>
      </c>
      <c r="T164" s="3">
        <f>'d)Pers.Técnico'!R115</f>
        <v>0</v>
      </c>
      <c r="U164" s="3">
        <f>'d)Pers.Técnico'!S115</f>
        <v>0</v>
      </c>
      <c r="V164" s="3">
        <f>'d)Pers.Técnico'!T115</f>
        <v>0</v>
      </c>
      <c r="W164" s="3">
        <f>'d)Pers.Técnico'!U115</f>
        <v>0</v>
      </c>
      <c r="X164" s="3">
        <f>'d)Pers.Técnico'!V115</f>
        <v>0</v>
      </c>
      <c r="Y164" s="3">
        <f>'d)Pers.Técnico'!W115</f>
        <v>0</v>
      </c>
      <c r="Z164" s="3">
        <f>'d)Pers.Técnico'!X115</f>
        <v>0</v>
      </c>
      <c r="AA164" s="3">
        <f>'d)Pers.Técnico'!Y115</f>
        <v>0</v>
      </c>
      <c r="AB164" s="3">
        <f>'d)Pers.Técnico'!Z115</f>
        <v>0</v>
      </c>
      <c r="AC164" s="3">
        <f>'d)Pers.Técnico'!AA115</f>
        <v>0</v>
      </c>
      <c r="AD164" s="14">
        <f>'d)Pers.Técnico'!AB115</f>
        <v>0</v>
      </c>
      <c r="AE164" s="20">
        <f>'d)Pers.Técnico'!AC115</f>
        <v>0</v>
      </c>
      <c r="AF164" s="3">
        <f>'d)Pers.Técnico'!AD115</f>
        <v>0</v>
      </c>
      <c r="AG164" s="3">
        <f>'d)Pers.Técnico'!AE115</f>
        <v>0</v>
      </c>
      <c r="AH164" s="3">
        <f>'d)Pers.Técnico'!AF115</f>
        <v>0</v>
      </c>
      <c r="AI164" s="3">
        <f>'d)Pers.Técnico'!AG115</f>
        <v>0</v>
      </c>
      <c r="AJ164" s="3">
        <f>'d)Pers.Técnico'!AH115</f>
        <v>0</v>
      </c>
      <c r="AK164" s="3">
        <f>'d)Pers.Técnico'!AI115</f>
        <v>0</v>
      </c>
      <c r="AL164" s="3">
        <f>'d)Pers.Técnico'!AJ115</f>
        <v>0</v>
      </c>
      <c r="AM164" s="3">
        <f>'d)Pers.Técnico'!AK115</f>
        <v>0</v>
      </c>
      <c r="AN164" s="3">
        <f>'d)Pers.Técnico'!AL115</f>
        <v>0</v>
      </c>
      <c r="AO164" s="3">
        <f>'d)Pers.Técnico'!AM115</f>
        <v>0</v>
      </c>
      <c r="AP164" s="14">
        <f>'d)Pers.Técnico'!AN115</f>
        <v>0</v>
      </c>
      <c r="AQ164" s="20">
        <f>'d)Pers.Técnico'!AO115</f>
        <v>0</v>
      </c>
      <c r="AR164" s="3">
        <f>'d)Pers.Técnico'!AP115</f>
        <v>0</v>
      </c>
      <c r="AS164" s="3">
        <f>'d)Pers.Técnico'!AQ115</f>
        <v>0</v>
      </c>
      <c r="AT164" s="3">
        <f>'d)Pers.Técnico'!AR115</f>
        <v>0</v>
      </c>
      <c r="AU164" s="3">
        <f>'d)Pers.Técnico'!AS115</f>
        <v>0</v>
      </c>
      <c r="AV164" s="3">
        <f>'d)Pers.Técnico'!AT115</f>
        <v>0</v>
      </c>
      <c r="AW164" s="3">
        <f>'d)Pers.Técnico'!AU115</f>
        <v>0</v>
      </c>
      <c r="AX164" s="3">
        <f>'d)Pers.Técnico'!AV115</f>
        <v>0</v>
      </c>
      <c r="AY164" s="3">
        <f>'d)Pers.Técnico'!AW115</f>
        <v>0</v>
      </c>
      <c r="AZ164" s="3">
        <f>'d)Pers.Técnico'!AX115</f>
        <v>0</v>
      </c>
      <c r="BA164" s="1">
        <f>'d)Pers.Técnico'!AY115</f>
        <v>0</v>
      </c>
      <c r="BB164" s="60">
        <f>'d)Pers.Técnico'!AZ115</f>
        <v>0</v>
      </c>
      <c r="BC164" s="61">
        <f>'d)Pers.Técnico'!BA115</f>
        <v>0</v>
      </c>
      <c r="BD164" s="3">
        <f>'d)Pers.Técnico'!BB115</f>
        <v>0</v>
      </c>
      <c r="BE164" s="3">
        <f>'d)Pers.Técnico'!BC115</f>
        <v>0</v>
      </c>
      <c r="BF164" s="3">
        <f>'d)Pers.Técnico'!BD115</f>
        <v>0</v>
      </c>
      <c r="BG164" s="3">
        <f>'d)Pers.Técnico'!BE115</f>
        <v>0</v>
      </c>
      <c r="BH164" s="3">
        <f>'d)Pers.Técnico'!BF115</f>
        <v>0</v>
      </c>
      <c r="BI164" s="3">
        <f>'d)Pers.Técnico'!BG115</f>
        <v>0</v>
      </c>
      <c r="BJ164" s="3">
        <f>'d)Pers.Técnico'!BH115</f>
        <v>0</v>
      </c>
      <c r="BK164" s="3">
        <f>'d)Pers.Técnico'!BI115</f>
        <v>0</v>
      </c>
      <c r="BL164" s="3">
        <f>'d)Pers.Técnico'!BJ115</f>
        <v>0</v>
      </c>
      <c r="BM164" s="3">
        <f>'d)Pers.Técnico'!BK115</f>
        <v>0</v>
      </c>
      <c r="BN164" s="14">
        <f>'d)Pers.Técnico'!BL115</f>
        <v>0</v>
      </c>
    </row>
    <row r="165" spans="1:66">
      <c r="A165" s="67"/>
      <c r="B165" s="46" t="str">
        <f>+'d)Pers.Técnico'!B115</f>
        <v/>
      </c>
      <c r="C165" s="127" t="str">
        <f>'d)Pers.Técnico'!C115</f>
        <v/>
      </c>
      <c r="D165" s="52">
        <f>SUM(G164:BN164)</f>
        <v>0</v>
      </c>
      <c r="E165" s="7">
        <f>IF('a)Plantilla'!C57&gt;0,'a)Plantilla'!D57/30,0)</f>
        <v>0</v>
      </c>
      <c r="F165" s="7">
        <f>SUM(G165:BN165)</f>
        <v>0</v>
      </c>
      <c r="G165" s="2">
        <f>IF(TipoProgramaPersonalTecnico=1,$E165*'a)Plantilla'!$C57*Programa!D$13,IF(TipoProgramaPersonalTecnico=2,$E165*G164,$E165/Hjor*G164))</f>
        <v>0</v>
      </c>
      <c r="H165" s="2">
        <f>IF(TipoProgramaPersonalTecnico=1,$E165*'a)Plantilla'!$C57*Programa!D$14,IF(TipoProgramaPersonalTecnico=2,$E165*H164,$E165/Hjor*H164))</f>
        <v>0</v>
      </c>
      <c r="I165" s="2">
        <f>IF(TipoProgramaPersonalTecnico=1,$E165*'a)Plantilla'!$C57*Programa!D$15,IF(TipoProgramaPersonalTecnico=2,$E165*I164,$E165/Hjor*I164))</f>
        <v>0</v>
      </c>
      <c r="J165" s="2">
        <f>IF(TipoProgramaPersonalTecnico=1,$E165*'a)Plantilla'!$C57*Programa!D$16,IF(TipoProgramaPersonalTecnico=2,$E165*J164,$E165/Hjor*J164))</f>
        <v>0</v>
      </c>
      <c r="K165" s="2">
        <f>IF(TipoProgramaPersonalTecnico=1,$E165*'a)Plantilla'!$C57*Programa!D$17,IF(TipoProgramaPersonalTecnico=2,$E165*K164,$E165/Hjor*K164))</f>
        <v>0</v>
      </c>
      <c r="L165" s="2">
        <f>IF(TipoProgramaPersonalTecnico=1,$E165*'a)Plantilla'!$C57*Programa!D$18,IF(TipoProgramaPersonalTecnico=2,$E165*L164,$E165/Hjor*L164))</f>
        <v>0</v>
      </c>
      <c r="M165" s="2">
        <f>IF(TipoProgramaPersonalTecnico=1,$E165*'a)Plantilla'!$C57*Programa!D$19,IF(TipoProgramaPersonalTecnico=2,$E165*M164,$E165/Hjor*M164))</f>
        <v>0</v>
      </c>
      <c r="N165" s="2">
        <f>IF(TipoProgramaPersonalTecnico=1,$E165*'a)Plantilla'!$C57*Programa!D$20,IF(TipoProgramaPersonalTecnico=2,$E165*N164,$E165/Hjor*N164))</f>
        <v>0</v>
      </c>
      <c r="O165" s="2">
        <f>IF(TipoProgramaPersonalTecnico=1,$E165*'a)Plantilla'!$C57*Programa!D$21,IF(TipoProgramaPersonalTecnico=2,$E165*O164,$E165/Hjor*O164))</f>
        <v>0</v>
      </c>
      <c r="P165" s="2">
        <f>IF(TipoProgramaPersonalTecnico=1,$E165*'a)Plantilla'!$C57*Programa!D$22,IF(TipoProgramaPersonalTecnico=2,$E165*P164,$E165/Hjor*P164))</f>
        <v>0</v>
      </c>
      <c r="Q165" s="2">
        <f>IF(TipoProgramaPersonalTecnico=1,$E165*'a)Plantilla'!$C57*Programa!D$23,IF(TipoProgramaPersonalTecnico=2,$E165*Q164,$E165/Hjor*Q164))</f>
        <v>0</v>
      </c>
      <c r="R165" s="12">
        <f>IF(TipoProgramaPersonalTecnico=1,$E165*'a)Plantilla'!$C57*Programa!D$24,IF(TipoProgramaPersonalTecnico=2,$E165*R164,$E165/Hjor*R164))</f>
        <v>0</v>
      </c>
      <c r="S165" s="7">
        <f>IF(TipoProgramaPersonalTecnico=1,$E165*'a)Plantilla'!$C57*Programa!D$25,IF(TipoProgramaPersonalTecnico=2,$E165*S164,$E165/Hjor*S164))</f>
        <v>0</v>
      </c>
      <c r="T165" s="2">
        <f>IF(TipoProgramaPersonalTecnico=1,$E165*'a)Plantilla'!$C57*Programa!D$26,IF(TipoProgramaPersonalTecnico=2,$E165*T164,$E165/Hjor*T164))</f>
        <v>0</v>
      </c>
      <c r="U165" s="2">
        <f>IF(TipoProgramaPersonalTecnico=1,$E165*'a)Plantilla'!$C57*Programa!D$27,IF(TipoProgramaPersonalTecnico=2,$E165*U164,$E165/Hjor*U164))</f>
        <v>0</v>
      </c>
      <c r="V165" s="2">
        <f>IF(TipoProgramaPersonalTecnico=1,$E165*'a)Plantilla'!$C57*Programa!D$28,IF(TipoProgramaPersonalTecnico=2,$E165*V164,$E165/Hjor*V164))</f>
        <v>0</v>
      </c>
      <c r="W165" s="2">
        <f>IF(TipoProgramaPersonalTecnico=1,$E165*'a)Plantilla'!$C57*Programa!D$29,IF(TipoProgramaPersonalTecnico=2,$E165*W164,$E165/Hjor*W164))</f>
        <v>0</v>
      </c>
      <c r="X165" s="2">
        <f>IF(TipoProgramaPersonalTecnico=1,$E165*'a)Plantilla'!$C57*Programa!D$30,IF(TipoProgramaPersonalTecnico=2,$E165*X164,$E165/Hjor*X164))</f>
        <v>0</v>
      </c>
      <c r="Y165" s="2">
        <f>IF(TipoProgramaPersonalTecnico=1,$E165*'a)Plantilla'!$C57*Programa!D$31,IF(TipoProgramaPersonalTecnico=2,$E165*Y164,$E165/Hjor*Y164))</f>
        <v>0</v>
      </c>
      <c r="Z165" s="2">
        <f>IF(TipoProgramaPersonalTecnico=1,$E165*'a)Plantilla'!$C57*Programa!D$32,IF(TipoProgramaPersonalTecnico=2,$E165*Z164,$E165/Hjor*Z164))</f>
        <v>0</v>
      </c>
      <c r="AA165" s="2">
        <f>IF(TipoProgramaPersonalTecnico=1,$E165*'a)Plantilla'!$C57*Programa!D$33,IF(TipoProgramaPersonalTecnico=2,$E165*AA164,$E165/Hjor*AA164))</f>
        <v>0</v>
      </c>
      <c r="AB165" s="2">
        <f>IF(TipoProgramaPersonalTecnico=1,$E165*'a)Plantilla'!$C57*Programa!D$34,IF(TipoProgramaPersonalTecnico=2,$E165*AB164,$E165/Hjor*AB164))</f>
        <v>0</v>
      </c>
      <c r="AC165" s="2">
        <f>IF(TipoProgramaPersonalTecnico=1,$E165*'a)Plantilla'!$C57*Programa!D$35,IF(TipoProgramaPersonalTecnico=2,$E165*AC164,$E165/Hjor*AC164))</f>
        <v>0</v>
      </c>
      <c r="AD165" s="12">
        <f>IF(TipoProgramaPersonalTecnico=1,$E165*'a)Plantilla'!$C57*Programa!D$36,IF(TipoProgramaPersonalTecnico=2,$E165*AD164,$E165/Hjor*AD164))</f>
        <v>0</v>
      </c>
      <c r="AE165" s="7">
        <f>IF(TipoProgramaPersonalTecnico=1,$E165*'a)Plantilla'!$C57*Programa!D$37,IF(TipoProgramaPersonalTecnico=2,$E165*AE164,$E165/Hjor*AE164))</f>
        <v>0</v>
      </c>
      <c r="AF165" s="2">
        <f>IF(TipoProgramaPersonalTecnico=1,$E165*'a)Plantilla'!$C57*Programa!D$38,IF(TipoProgramaPersonalTecnico=2,$E165*AF164,$E165/Hjor*AF164))</f>
        <v>0</v>
      </c>
      <c r="AG165" s="2">
        <f>IF(TipoProgramaPersonalTecnico=1,$E165*'a)Plantilla'!$C57*Programa!D$39,IF(TipoProgramaPersonalTecnico=2,$E165*AG164,$E165/Hjor*AG164))</f>
        <v>0</v>
      </c>
      <c r="AH165" s="2">
        <f>IF(TipoProgramaPersonalTecnico=1,$E165*'a)Plantilla'!$C57*Programa!D$40,IF(TipoProgramaPersonalTecnico=2,$E165*AH164,$E165/Hjor*AH164))</f>
        <v>0</v>
      </c>
      <c r="AI165" s="2">
        <f>IF(TipoProgramaPersonalTecnico=1,$E165*'a)Plantilla'!$C57*Programa!D$41,IF(TipoProgramaPersonalTecnico=2,$E165*AI164,$E165/Hjor*AI164))</f>
        <v>0</v>
      </c>
      <c r="AJ165" s="2">
        <f>IF(TipoProgramaPersonalTecnico=1,$E165*'a)Plantilla'!$C57*Programa!D$42,IF(TipoProgramaPersonalTecnico=2,$E165*AJ164,$E165/Hjor*AJ164))</f>
        <v>0</v>
      </c>
      <c r="AK165" s="2">
        <f>IF(TipoProgramaPersonalTecnico=1,$E165*'a)Plantilla'!$C57*Programa!D$43,IF(TipoProgramaPersonalTecnico=2,$E165*AK164,$E165/Hjor*AK164))</f>
        <v>0</v>
      </c>
      <c r="AL165" s="2">
        <f>IF(TipoProgramaPersonalTecnico=1,$E165*'a)Plantilla'!$C57*Programa!D$44,IF(TipoProgramaPersonalTecnico=2,$E165*AL164,$E165/Hjor*AL164))</f>
        <v>0</v>
      </c>
      <c r="AM165" s="2">
        <f>IF(TipoProgramaPersonalTecnico=1,$E165*'a)Plantilla'!$C57*Programa!D$45,IF(TipoProgramaPersonalTecnico=2,$E165*AM164,$E165/Hjor*AM164))</f>
        <v>0</v>
      </c>
      <c r="AN165" s="2">
        <f>IF(TipoProgramaPersonalTecnico=1,$E165*'a)Plantilla'!$C57*Programa!D$46,IF(TipoProgramaPersonalTecnico=2,$E165*AN164,$E165/Hjor*AN164))</f>
        <v>0</v>
      </c>
      <c r="AO165" s="2">
        <f>IF(TipoProgramaPersonalTecnico=1,$E165*'a)Plantilla'!$C57*Programa!D$47,IF(TipoProgramaPersonalTecnico=2,$E165*AO164,$E165/Hjor*AO164))</f>
        <v>0</v>
      </c>
      <c r="AP165" s="12">
        <f>IF(TipoProgramaPersonalTecnico=1,$E165*'a)Plantilla'!$C57*Programa!D$48,IF(TipoProgramaPersonalTecnico=2,$E165*AP164,$E165/Hjor*AP164))</f>
        <v>0</v>
      </c>
      <c r="AQ165" s="7">
        <f>IF(TipoProgramaPersonalTecnico=1,$E165*'a)Plantilla'!$C57*Programa!D$49,IF(TipoProgramaPersonalTecnico=2,$E165*AQ164,$E165/Hjor*AQ164))</f>
        <v>0</v>
      </c>
      <c r="AR165" s="2">
        <f>IF(TipoProgramaPersonalTecnico=1,$E165*'a)Plantilla'!$C57*Programa!D$50,IF(TipoProgramaPersonalTecnico=2,$E165*AR164,$E165/Hjor*AR164))</f>
        <v>0</v>
      </c>
      <c r="AS165" s="2">
        <f>IF(TipoProgramaPersonalTecnico=1,$E165*'a)Plantilla'!$C57*Programa!D$51,IF(TipoProgramaPersonalTecnico=2,$E165*AS164,$E165/Hjor*AS164))</f>
        <v>0</v>
      </c>
      <c r="AT165" s="2">
        <f>IF(TipoProgramaPersonalTecnico=1,$E165*'a)Plantilla'!$C57*Programa!D$52,IF(TipoProgramaPersonalTecnico=2,$E165*AT164,$E165/Hjor*AT164))</f>
        <v>0</v>
      </c>
      <c r="AU165" s="2">
        <f>IF(TipoProgramaPersonalTecnico=1,$E165*'a)Plantilla'!$C57*Programa!D$53,IF(TipoProgramaPersonalTecnico=2,$E165*AU164,$E165/Hjor*AU164))</f>
        <v>0</v>
      </c>
      <c r="AV165" s="2">
        <f>IF(TipoProgramaPersonalTecnico=1,$E165*'a)Plantilla'!$C57*Programa!D$54,IF(TipoProgramaPersonalTecnico=2,$E165*AV164,$E165/Hjor*AV164))</f>
        <v>0</v>
      </c>
      <c r="AW165" s="2">
        <f>IF(TipoProgramaPersonalTecnico=1,$E165*'a)Plantilla'!$C57*Programa!D$55,IF(TipoProgramaPersonalTecnico=2,$E165*AW164,$E165/Hjor*AW164))</f>
        <v>0</v>
      </c>
      <c r="AX165" s="2">
        <f>IF(TipoProgramaPersonalTecnico=1,$E165*'a)Plantilla'!$C57*Programa!D$56,IF(TipoProgramaPersonalTecnico=2,$E165*AX164,$E165/Hjor*AX164))</f>
        <v>0</v>
      </c>
      <c r="AY165" s="2">
        <f>IF(TipoProgramaPersonalTecnico=1,$E165*'a)Plantilla'!$C57*Programa!D$57,IF(TipoProgramaPersonalTecnico=2,$E165*AY164,$E165/Hjor*AY164))</f>
        <v>0</v>
      </c>
      <c r="AZ165" s="2">
        <f>IF(TipoProgramaPersonalTecnico=1,$E165*'a)Plantilla'!$C57*Programa!D$58,IF(TipoProgramaPersonalTecnico=2,$E165*AZ164,$E165/Hjor*AZ164))</f>
        <v>0</v>
      </c>
      <c r="BA165" s="55">
        <f>IF(TipoProgramaPersonalTecnico=1,$E165*'a)Plantilla'!$C57*Programa!D$59,IF(TipoProgramaPersonalTecnico=2,$E165*BA164,$E165/Hjor*BA164))</f>
        <v>0</v>
      </c>
      <c r="BB165" s="56">
        <f>IF(TipoProgramaPersonalTecnico=1,$E165*'a)Plantilla'!$C57*Programa!D$60,IF(TipoProgramaPersonalTecnico=2,$E165*BB164,$E165/Hjor*BB164))</f>
        <v>0</v>
      </c>
      <c r="BC165" s="53">
        <f>IF(TipoProgramaPersonalTecnico=1,$E165*'a)Plantilla'!$C57*Programa!D$61,IF(TipoProgramaPersonalTecnico=2,$E165*BC164,$E165/Hjor*BC164))</f>
        <v>0</v>
      </c>
      <c r="BD165" s="2">
        <f>IF(TipoProgramaPersonalTecnico=1,$E165*'a)Plantilla'!$C57*Programa!D$62,IF(TipoProgramaPersonalTecnico=2,$E165*BD164,$E165/Hjor*BD164))</f>
        <v>0</v>
      </c>
      <c r="BE165" s="2">
        <f>IF(TipoProgramaPersonalTecnico=1,$E165*'a)Plantilla'!$C57*Programa!D$63,IF(TipoProgramaPersonalTecnico=2,$E165*BE164,$E165/Hjor*BE164))</f>
        <v>0</v>
      </c>
      <c r="BF165" s="2">
        <f>IF(TipoProgramaPersonalTecnico=1,$E165*'a)Plantilla'!$C57*Programa!D$64,IF(TipoProgramaPersonalTecnico=2,$E165*BF164,$E165/Hjor*BF164))</f>
        <v>0</v>
      </c>
      <c r="BG165" s="2">
        <f>IF(TipoProgramaPersonalTecnico=1,$E165*'a)Plantilla'!$C57*Programa!D$65,IF(TipoProgramaPersonalTecnico=2,$E165*BG164,$E165/Hjor*BG164))</f>
        <v>0</v>
      </c>
      <c r="BH165" s="2">
        <f>IF(TipoProgramaPersonalTecnico=1,$E165*'a)Plantilla'!$C57*Programa!D$66,IF(TipoProgramaPersonalTecnico=2,$E165*BH164,$E165/Hjor*BH164))</f>
        <v>0</v>
      </c>
      <c r="BI165" s="2">
        <f>IF(TipoProgramaPersonalTecnico=1,$E165*'a)Plantilla'!$C57*Programa!D$67,IF(TipoProgramaPersonalTecnico=2,$E165*BI164,$E165/Hjor*BI164))</f>
        <v>0</v>
      </c>
      <c r="BJ165" s="2">
        <f>IF(TipoProgramaPersonalTecnico=1,$E165*'a)Plantilla'!$C57*Programa!D$68,IF(TipoProgramaPersonalTecnico=2,$E165*BJ164,$E165/Hjor*BJ164))</f>
        <v>0</v>
      </c>
      <c r="BK165" s="2">
        <f>IF(TipoProgramaPersonalTecnico=1,$E165*'a)Plantilla'!$C57*Programa!D$69,IF(TipoProgramaPersonalTecnico=2,$E165*BK164,$E165/Hjor*BK164))</f>
        <v>0</v>
      </c>
      <c r="BL165" s="2">
        <f>IF(TipoProgramaPersonalTecnico=1,$E165*'a)Plantilla'!$C57*Programa!D$70,IF(TipoProgramaPersonalTecnico=2,$E165*BL164,$E165/Hjor*BL164))</f>
        <v>0</v>
      </c>
      <c r="BM165" s="2">
        <f>IF(TipoProgramaPersonalTecnico=1,$E165*'a)Plantilla'!$C57*Programa!D$71,IF(TipoProgramaPersonalTecnico=2,$E165*BM164,$E165/Hjor*BM164))</f>
        <v>0</v>
      </c>
      <c r="BN165" s="12">
        <f>IF(TipoProgramaPersonalTecnico=1,$E165*'a)Plantilla'!$C57*Programa!D$72,IF(TipoProgramaPersonalTecnico=2,$E165*BN164,$E165/Hjor*BN164))</f>
        <v>0</v>
      </c>
    </row>
    <row r="166" spans="1:66" ht="7.5" customHeight="1">
      <c r="A166" s="67"/>
      <c r="B166" s="19"/>
      <c r="C166" s="127"/>
      <c r="D166" s="54"/>
      <c r="E166" s="19"/>
      <c r="F166" s="19"/>
      <c r="G166" s="1" t="s">
        <v>168</v>
      </c>
      <c r="H166" s="1" t="s">
        <v>168</v>
      </c>
      <c r="I166" s="1" t="s">
        <v>168</v>
      </c>
      <c r="J166" s="1" t="s">
        <v>168</v>
      </c>
      <c r="K166" s="1" t="s">
        <v>168</v>
      </c>
      <c r="L166" s="1" t="s">
        <v>168</v>
      </c>
      <c r="M166" s="1" t="s">
        <v>168</v>
      </c>
      <c r="N166" s="1" t="s">
        <v>168</v>
      </c>
      <c r="O166" s="1" t="s">
        <v>168</v>
      </c>
      <c r="P166" s="1" t="s">
        <v>168</v>
      </c>
      <c r="Q166" s="1" t="s">
        <v>168</v>
      </c>
      <c r="R166" s="8" t="s">
        <v>168</v>
      </c>
      <c r="S166" s="13" t="s">
        <v>168</v>
      </c>
      <c r="T166" s="1" t="s">
        <v>168</v>
      </c>
      <c r="U166" s="1" t="s">
        <v>168</v>
      </c>
      <c r="V166" s="1" t="s">
        <v>168</v>
      </c>
      <c r="W166" s="1" t="s">
        <v>168</v>
      </c>
      <c r="X166" s="1" t="s">
        <v>168</v>
      </c>
      <c r="Y166" s="1" t="s">
        <v>168</v>
      </c>
      <c r="Z166" s="1" t="s">
        <v>168</v>
      </c>
      <c r="AA166" s="1" t="s">
        <v>168</v>
      </c>
      <c r="AB166" s="1" t="s">
        <v>168</v>
      </c>
      <c r="AC166" s="1" t="s">
        <v>168</v>
      </c>
      <c r="AD166" s="8" t="s">
        <v>168</v>
      </c>
      <c r="AE166" s="13" t="s">
        <v>168</v>
      </c>
      <c r="AF166" s="1" t="s">
        <v>168</v>
      </c>
      <c r="AG166" s="1" t="s">
        <v>168</v>
      </c>
      <c r="AH166" s="1" t="s">
        <v>168</v>
      </c>
      <c r="AI166" s="1" t="s">
        <v>168</v>
      </c>
      <c r="AJ166" s="1" t="s">
        <v>168</v>
      </c>
      <c r="AK166" s="1" t="s">
        <v>168</v>
      </c>
      <c r="AL166" s="1" t="s">
        <v>168</v>
      </c>
      <c r="AM166" s="1" t="s">
        <v>168</v>
      </c>
      <c r="AN166" s="1" t="s">
        <v>168</v>
      </c>
      <c r="AO166" s="1" t="s">
        <v>168</v>
      </c>
      <c r="AP166" s="8" t="s">
        <v>168</v>
      </c>
      <c r="AQ166" s="13" t="s">
        <v>168</v>
      </c>
      <c r="AR166" s="1" t="s">
        <v>168</v>
      </c>
      <c r="AS166" s="1" t="s">
        <v>168</v>
      </c>
      <c r="AT166" s="1" t="s">
        <v>168</v>
      </c>
      <c r="AU166" s="1" t="s">
        <v>168</v>
      </c>
      <c r="AV166" s="1" t="s">
        <v>168</v>
      </c>
      <c r="AW166" s="1" t="s">
        <v>168</v>
      </c>
      <c r="AX166" s="1" t="s">
        <v>168</v>
      </c>
      <c r="AY166" s="1" t="s">
        <v>168</v>
      </c>
      <c r="AZ166" s="1" t="s">
        <v>168</v>
      </c>
      <c r="BA166" s="1" t="s">
        <v>168</v>
      </c>
      <c r="BB166" s="8" t="s">
        <v>168</v>
      </c>
      <c r="BC166" s="13" t="s">
        <v>168</v>
      </c>
      <c r="BD166" s="1" t="s">
        <v>168</v>
      </c>
      <c r="BE166" s="1" t="s">
        <v>168</v>
      </c>
      <c r="BF166" s="1" t="s">
        <v>168</v>
      </c>
      <c r="BG166" s="1" t="s">
        <v>168</v>
      </c>
      <c r="BH166" s="1" t="s">
        <v>168</v>
      </c>
      <c r="BI166" s="1" t="s">
        <v>168</v>
      </c>
      <c r="BJ166" s="1" t="s">
        <v>168</v>
      </c>
      <c r="BK166" s="1" t="s">
        <v>168</v>
      </c>
      <c r="BL166" s="1" t="s">
        <v>168</v>
      </c>
      <c r="BM166" s="1" t="s">
        <v>168</v>
      </c>
      <c r="BN166" s="8" t="s">
        <v>168</v>
      </c>
    </row>
    <row r="167" spans="1:66">
      <c r="A167" s="67"/>
      <c r="B167" s="46"/>
      <c r="C167" s="127"/>
      <c r="D167" s="52"/>
      <c r="E167" s="7"/>
      <c r="F167" s="7"/>
      <c r="G167" s="3">
        <f>'d)Pers.Técnico'!E117</f>
        <v>0</v>
      </c>
      <c r="H167" s="3">
        <f>'d)Pers.Técnico'!F117</f>
        <v>0</v>
      </c>
      <c r="I167" s="3">
        <f>'d)Pers.Técnico'!G117</f>
        <v>0</v>
      </c>
      <c r="J167" s="3">
        <f>'d)Pers.Técnico'!H117</f>
        <v>0</v>
      </c>
      <c r="K167" s="3">
        <f>'d)Pers.Técnico'!I117</f>
        <v>0</v>
      </c>
      <c r="L167" s="3">
        <f>'d)Pers.Técnico'!J117</f>
        <v>0</v>
      </c>
      <c r="M167" s="3">
        <f>'d)Pers.Técnico'!K117</f>
        <v>0</v>
      </c>
      <c r="N167" s="3">
        <f>'d)Pers.Técnico'!L117</f>
        <v>0</v>
      </c>
      <c r="O167" s="3">
        <f>'d)Pers.Técnico'!M117</f>
        <v>0</v>
      </c>
      <c r="P167" s="3">
        <f>'d)Pers.Técnico'!N117</f>
        <v>0</v>
      </c>
      <c r="Q167" s="3">
        <f>'d)Pers.Técnico'!O117</f>
        <v>0</v>
      </c>
      <c r="R167" s="14">
        <f>'d)Pers.Técnico'!P117</f>
        <v>0</v>
      </c>
      <c r="S167" s="20">
        <f>'d)Pers.Técnico'!Q117</f>
        <v>0</v>
      </c>
      <c r="T167" s="3">
        <f>'d)Pers.Técnico'!R117</f>
        <v>0</v>
      </c>
      <c r="U167" s="3">
        <f>'d)Pers.Técnico'!S117</f>
        <v>0</v>
      </c>
      <c r="V167" s="3">
        <f>'d)Pers.Técnico'!T117</f>
        <v>0</v>
      </c>
      <c r="W167" s="3">
        <f>'d)Pers.Técnico'!U117</f>
        <v>0</v>
      </c>
      <c r="X167" s="3">
        <f>'d)Pers.Técnico'!V117</f>
        <v>0</v>
      </c>
      <c r="Y167" s="3">
        <f>'d)Pers.Técnico'!W117</f>
        <v>0</v>
      </c>
      <c r="Z167" s="3">
        <f>'d)Pers.Técnico'!X117</f>
        <v>0</v>
      </c>
      <c r="AA167" s="3">
        <f>'d)Pers.Técnico'!Y117</f>
        <v>0</v>
      </c>
      <c r="AB167" s="3">
        <f>'d)Pers.Técnico'!Z117</f>
        <v>0</v>
      </c>
      <c r="AC167" s="3">
        <f>'d)Pers.Técnico'!AA117</f>
        <v>0</v>
      </c>
      <c r="AD167" s="14">
        <f>'d)Pers.Técnico'!AB117</f>
        <v>0</v>
      </c>
      <c r="AE167" s="20">
        <f>'d)Pers.Técnico'!AC117</f>
        <v>0</v>
      </c>
      <c r="AF167" s="3">
        <f>'d)Pers.Técnico'!AD117</f>
        <v>0</v>
      </c>
      <c r="AG167" s="3">
        <f>'d)Pers.Técnico'!AE117</f>
        <v>0</v>
      </c>
      <c r="AH167" s="3">
        <f>'d)Pers.Técnico'!AF117</f>
        <v>0</v>
      </c>
      <c r="AI167" s="3">
        <f>'d)Pers.Técnico'!AG117</f>
        <v>0</v>
      </c>
      <c r="AJ167" s="3">
        <f>'d)Pers.Técnico'!AH117</f>
        <v>0</v>
      </c>
      <c r="AK167" s="3">
        <f>'d)Pers.Técnico'!AI117</f>
        <v>0</v>
      </c>
      <c r="AL167" s="3">
        <f>'d)Pers.Técnico'!AJ117</f>
        <v>0</v>
      </c>
      <c r="AM167" s="3">
        <f>'d)Pers.Técnico'!AK117</f>
        <v>0</v>
      </c>
      <c r="AN167" s="3">
        <f>'d)Pers.Técnico'!AL117</f>
        <v>0</v>
      </c>
      <c r="AO167" s="3">
        <f>'d)Pers.Técnico'!AM117</f>
        <v>0</v>
      </c>
      <c r="AP167" s="14">
        <f>'d)Pers.Técnico'!AN117</f>
        <v>0</v>
      </c>
      <c r="AQ167" s="20">
        <f>'d)Pers.Técnico'!AO117</f>
        <v>0</v>
      </c>
      <c r="AR167" s="3">
        <f>'d)Pers.Técnico'!AP117</f>
        <v>0</v>
      </c>
      <c r="AS167" s="3">
        <f>'d)Pers.Técnico'!AQ117</f>
        <v>0</v>
      </c>
      <c r="AT167" s="3">
        <f>'d)Pers.Técnico'!AR117</f>
        <v>0</v>
      </c>
      <c r="AU167" s="3">
        <f>'d)Pers.Técnico'!AS117</f>
        <v>0</v>
      </c>
      <c r="AV167" s="3">
        <f>'d)Pers.Técnico'!AT117</f>
        <v>0</v>
      </c>
      <c r="AW167" s="3">
        <f>'d)Pers.Técnico'!AU117</f>
        <v>0</v>
      </c>
      <c r="AX167" s="3">
        <f>'d)Pers.Técnico'!AV117</f>
        <v>0</v>
      </c>
      <c r="AY167" s="3">
        <f>'d)Pers.Técnico'!AW117</f>
        <v>0</v>
      </c>
      <c r="AZ167" s="3">
        <f>'d)Pers.Técnico'!AX117</f>
        <v>0</v>
      </c>
      <c r="BA167" s="1">
        <f>'d)Pers.Técnico'!AY117</f>
        <v>0</v>
      </c>
      <c r="BB167" s="60">
        <f>'d)Pers.Técnico'!AZ117</f>
        <v>0</v>
      </c>
      <c r="BC167" s="61">
        <f>'d)Pers.Técnico'!BA117</f>
        <v>0</v>
      </c>
      <c r="BD167" s="3">
        <f>'d)Pers.Técnico'!BB117</f>
        <v>0</v>
      </c>
      <c r="BE167" s="3">
        <f>'d)Pers.Técnico'!BC117</f>
        <v>0</v>
      </c>
      <c r="BF167" s="3">
        <f>'d)Pers.Técnico'!BD117</f>
        <v>0</v>
      </c>
      <c r="BG167" s="3">
        <f>'d)Pers.Técnico'!BE117</f>
        <v>0</v>
      </c>
      <c r="BH167" s="3">
        <f>'d)Pers.Técnico'!BF117</f>
        <v>0</v>
      </c>
      <c r="BI167" s="3">
        <f>'d)Pers.Técnico'!BG117</f>
        <v>0</v>
      </c>
      <c r="BJ167" s="3">
        <f>'d)Pers.Técnico'!BH117</f>
        <v>0</v>
      </c>
      <c r="BK167" s="3">
        <f>'d)Pers.Técnico'!BI117</f>
        <v>0</v>
      </c>
      <c r="BL167" s="3">
        <f>'d)Pers.Técnico'!BJ117</f>
        <v>0</v>
      </c>
      <c r="BM167" s="3">
        <f>'d)Pers.Técnico'!BK117</f>
        <v>0</v>
      </c>
      <c r="BN167" s="14">
        <f>'d)Pers.Técnico'!BL117</f>
        <v>0</v>
      </c>
    </row>
    <row r="168" spans="1:66">
      <c r="A168" s="67"/>
      <c r="B168" s="46" t="str">
        <f>+'d)Pers.Técnico'!B117</f>
        <v/>
      </c>
      <c r="C168" s="127" t="str">
        <f>'d)Pers.Técnico'!C117</f>
        <v/>
      </c>
      <c r="D168" s="52">
        <f>SUM(G167:BN167)</f>
        <v>0</v>
      </c>
      <c r="E168" s="7">
        <f>IF('a)Plantilla'!C58&gt;0,'a)Plantilla'!D58/30,0)</f>
        <v>0</v>
      </c>
      <c r="F168" s="7">
        <f>SUM(G168:BN168)</f>
        <v>0</v>
      </c>
      <c r="G168" s="2">
        <f>IF(TipoProgramaPersonalTecnico=1,$E168*'a)Plantilla'!$C58*Programa!D$13,IF(TipoProgramaPersonalTecnico=2,$E168*G167,$E168/Hjor*G167))</f>
        <v>0</v>
      </c>
      <c r="H168" s="2">
        <f>IF(TipoProgramaPersonalTecnico=1,$E168*'a)Plantilla'!$C58*Programa!D$14,IF(TipoProgramaPersonalTecnico=2,$E168*H167,$E168/Hjor*H167))</f>
        <v>0</v>
      </c>
      <c r="I168" s="2">
        <f>IF(TipoProgramaPersonalTecnico=1,$E168*'a)Plantilla'!$C58*Programa!D$15,IF(TipoProgramaPersonalTecnico=2,$E168*I167,$E168/Hjor*I167))</f>
        <v>0</v>
      </c>
      <c r="J168" s="2">
        <f>IF(TipoProgramaPersonalTecnico=1,$E168*'a)Plantilla'!$C58*Programa!D$16,IF(TipoProgramaPersonalTecnico=2,$E168*J167,$E168/Hjor*J167))</f>
        <v>0</v>
      </c>
      <c r="K168" s="2">
        <f>IF(TipoProgramaPersonalTecnico=1,$E168*'a)Plantilla'!$C58*Programa!D$17,IF(TipoProgramaPersonalTecnico=2,$E168*K167,$E168/Hjor*K167))</f>
        <v>0</v>
      </c>
      <c r="L168" s="2">
        <f>IF(TipoProgramaPersonalTecnico=1,$E168*'a)Plantilla'!$C58*Programa!D$18,IF(TipoProgramaPersonalTecnico=2,$E168*L167,$E168/Hjor*L167))</f>
        <v>0</v>
      </c>
      <c r="M168" s="2">
        <f>IF(TipoProgramaPersonalTecnico=1,$E168*'a)Plantilla'!$C58*Programa!D$19,IF(TipoProgramaPersonalTecnico=2,$E168*M167,$E168/Hjor*M167))</f>
        <v>0</v>
      </c>
      <c r="N168" s="2">
        <f>IF(TipoProgramaPersonalTecnico=1,$E168*'a)Plantilla'!$C58*Programa!D$20,IF(TipoProgramaPersonalTecnico=2,$E168*N167,$E168/Hjor*N167))</f>
        <v>0</v>
      </c>
      <c r="O168" s="2">
        <f>IF(TipoProgramaPersonalTecnico=1,$E168*'a)Plantilla'!$C58*Programa!D$21,IF(TipoProgramaPersonalTecnico=2,$E168*O167,$E168/Hjor*O167))</f>
        <v>0</v>
      </c>
      <c r="P168" s="2">
        <f>IF(TipoProgramaPersonalTecnico=1,$E168*'a)Plantilla'!$C58*Programa!D$22,IF(TipoProgramaPersonalTecnico=2,$E168*P167,$E168/Hjor*P167))</f>
        <v>0</v>
      </c>
      <c r="Q168" s="2">
        <f>IF(TipoProgramaPersonalTecnico=1,$E168*'a)Plantilla'!$C58*Programa!D$23,IF(TipoProgramaPersonalTecnico=2,$E168*Q167,$E168/Hjor*Q167))</f>
        <v>0</v>
      </c>
      <c r="R168" s="12">
        <f>IF(TipoProgramaPersonalTecnico=1,$E168*'a)Plantilla'!$C58*Programa!D$24,IF(TipoProgramaPersonalTecnico=2,$E168*R167,$E168/Hjor*R167))</f>
        <v>0</v>
      </c>
      <c r="S168" s="7">
        <f>IF(TipoProgramaPersonalTecnico=1,$E168*'a)Plantilla'!$C58*Programa!D$25,IF(TipoProgramaPersonalTecnico=2,$E168*S167,$E168/Hjor*S167))</f>
        <v>0</v>
      </c>
      <c r="T168" s="2">
        <f>IF(TipoProgramaPersonalTecnico=1,$E168*'a)Plantilla'!$C58*Programa!D$26,IF(TipoProgramaPersonalTecnico=2,$E168*T167,$E168/Hjor*T167))</f>
        <v>0</v>
      </c>
      <c r="U168" s="2">
        <f>IF(TipoProgramaPersonalTecnico=1,$E168*'a)Plantilla'!$C58*Programa!D$27,IF(TipoProgramaPersonalTecnico=2,$E168*U167,$E168/Hjor*U167))</f>
        <v>0</v>
      </c>
      <c r="V168" s="2">
        <f>IF(TipoProgramaPersonalTecnico=1,$E168*'a)Plantilla'!$C58*Programa!D$28,IF(TipoProgramaPersonalTecnico=2,$E168*V167,$E168/Hjor*V167))</f>
        <v>0</v>
      </c>
      <c r="W168" s="2">
        <f>IF(TipoProgramaPersonalTecnico=1,$E168*'a)Plantilla'!$C58*Programa!D$29,IF(TipoProgramaPersonalTecnico=2,$E168*W167,$E168/Hjor*W167))</f>
        <v>0</v>
      </c>
      <c r="X168" s="2">
        <f>IF(TipoProgramaPersonalTecnico=1,$E168*'a)Plantilla'!$C58*Programa!D$30,IF(TipoProgramaPersonalTecnico=2,$E168*X167,$E168/Hjor*X167))</f>
        <v>0</v>
      </c>
      <c r="Y168" s="2">
        <f>IF(TipoProgramaPersonalTecnico=1,$E168*'a)Plantilla'!$C58*Programa!D$31,IF(TipoProgramaPersonalTecnico=2,$E168*Y167,$E168/Hjor*Y167))</f>
        <v>0</v>
      </c>
      <c r="Z168" s="2">
        <f>IF(TipoProgramaPersonalTecnico=1,$E168*'a)Plantilla'!$C58*Programa!D$32,IF(TipoProgramaPersonalTecnico=2,$E168*Z167,$E168/Hjor*Z167))</f>
        <v>0</v>
      </c>
      <c r="AA168" s="2">
        <f>IF(TipoProgramaPersonalTecnico=1,$E168*'a)Plantilla'!$C58*Programa!D$33,IF(TipoProgramaPersonalTecnico=2,$E168*AA167,$E168/Hjor*AA167))</f>
        <v>0</v>
      </c>
      <c r="AB168" s="2">
        <f>IF(TipoProgramaPersonalTecnico=1,$E168*'a)Plantilla'!$C58*Programa!D$34,IF(TipoProgramaPersonalTecnico=2,$E168*AB167,$E168/Hjor*AB167))</f>
        <v>0</v>
      </c>
      <c r="AC168" s="2">
        <f>IF(TipoProgramaPersonalTecnico=1,$E168*'a)Plantilla'!$C58*Programa!D$35,IF(TipoProgramaPersonalTecnico=2,$E168*AC167,$E168/Hjor*AC167))</f>
        <v>0</v>
      </c>
      <c r="AD168" s="12">
        <f>IF(TipoProgramaPersonalTecnico=1,$E168*'a)Plantilla'!$C58*Programa!D$36,IF(TipoProgramaPersonalTecnico=2,$E168*AD167,$E168/Hjor*AD167))</f>
        <v>0</v>
      </c>
      <c r="AE168" s="7">
        <f>IF(TipoProgramaPersonalTecnico=1,$E168*'a)Plantilla'!$C58*Programa!D$37,IF(TipoProgramaPersonalTecnico=2,$E168*AE167,$E168/Hjor*AE167))</f>
        <v>0</v>
      </c>
      <c r="AF168" s="2">
        <f>IF(TipoProgramaPersonalTecnico=1,$E168*'a)Plantilla'!$C58*Programa!D$38,IF(TipoProgramaPersonalTecnico=2,$E168*AF167,$E168/Hjor*AF167))</f>
        <v>0</v>
      </c>
      <c r="AG168" s="2">
        <f>IF(TipoProgramaPersonalTecnico=1,$E168*'a)Plantilla'!$C58*Programa!D$39,IF(TipoProgramaPersonalTecnico=2,$E168*AG167,$E168/Hjor*AG167))</f>
        <v>0</v>
      </c>
      <c r="AH168" s="2">
        <f>IF(TipoProgramaPersonalTecnico=1,$E168*'a)Plantilla'!$C58*Programa!D$40,IF(TipoProgramaPersonalTecnico=2,$E168*AH167,$E168/Hjor*AH167))</f>
        <v>0</v>
      </c>
      <c r="AI168" s="2">
        <f>IF(TipoProgramaPersonalTecnico=1,$E168*'a)Plantilla'!$C58*Programa!D$41,IF(TipoProgramaPersonalTecnico=2,$E168*AI167,$E168/Hjor*AI167))</f>
        <v>0</v>
      </c>
      <c r="AJ168" s="2">
        <f>IF(TipoProgramaPersonalTecnico=1,$E168*'a)Plantilla'!$C58*Programa!D$42,IF(TipoProgramaPersonalTecnico=2,$E168*AJ167,$E168/Hjor*AJ167))</f>
        <v>0</v>
      </c>
      <c r="AK168" s="2">
        <f>IF(TipoProgramaPersonalTecnico=1,$E168*'a)Plantilla'!$C58*Programa!D$43,IF(TipoProgramaPersonalTecnico=2,$E168*AK167,$E168/Hjor*AK167))</f>
        <v>0</v>
      </c>
      <c r="AL168" s="2">
        <f>IF(TipoProgramaPersonalTecnico=1,$E168*'a)Plantilla'!$C58*Programa!D$44,IF(TipoProgramaPersonalTecnico=2,$E168*AL167,$E168/Hjor*AL167))</f>
        <v>0</v>
      </c>
      <c r="AM168" s="2">
        <f>IF(TipoProgramaPersonalTecnico=1,$E168*'a)Plantilla'!$C58*Programa!D$45,IF(TipoProgramaPersonalTecnico=2,$E168*AM167,$E168/Hjor*AM167))</f>
        <v>0</v>
      </c>
      <c r="AN168" s="2">
        <f>IF(TipoProgramaPersonalTecnico=1,$E168*'a)Plantilla'!$C58*Programa!D$46,IF(TipoProgramaPersonalTecnico=2,$E168*AN167,$E168/Hjor*AN167))</f>
        <v>0</v>
      </c>
      <c r="AO168" s="2">
        <f>IF(TipoProgramaPersonalTecnico=1,$E168*'a)Plantilla'!$C58*Programa!D$47,IF(TipoProgramaPersonalTecnico=2,$E168*AO167,$E168/Hjor*AO167))</f>
        <v>0</v>
      </c>
      <c r="AP168" s="12">
        <f>IF(TipoProgramaPersonalTecnico=1,$E168*'a)Plantilla'!$C58*Programa!D$48,IF(TipoProgramaPersonalTecnico=2,$E168*AP167,$E168/Hjor*AP167))</f>
        <v>0</v>
      </c>
      <c r="AQ168" s="7">
        <f>IF(TipoProgramaPersonalTecnico=1,$E168*'a)Plantilla'!$C58*Programa!D$49,IF(TipoProgramaPersonalTecnico=2,$E168*AQ167,$E168/Hjor*AQ167))</f>
        <v>0</v>
      </c>
      <c r="AR168" s="2">
        <f>IF(TipoProgramaPersonalTecnico=1,$E168*'a)Plantilla'!$C58*Programa!D$50,IF(TipoProgramaPersonalTecnico=2,$E168*AR167,$E168/Hjor*AR167))</f>
        <v>0</v>
      </c>
      <c r="AS168" s="2">
        <f>IF(TipoProgramaPersonalTecnico=1,$E168*'a)Plantilla'!$C58*Programa!D$51,IF(TipoProgramaPersonalTecnico=2,$E168*AS167,$E168/Hjor*AS167))</f>
        <v>0</v>
      </c>
      <c r="AT168" s="2">
        <f>IF(TipoProgramaPersonalTecnico=1,$E168*'a)Plantilla'!$C58*Programa!D$52,IF(TipoProgramaPersonalTecnico=2,$E168*AT167,$E168/Hjor*AT167))</f>
        <v>0</v>
      </c>
      <c r="AU168" s="2">
        <f>IF(TipoProgramaPersonalTecnico=1,$E168*'a)Plantilla'!$C58*Programa!D$53,IF(TipoProgramaPersonalTecnico=2,$E168*AU167,$E168/Hjor*AU167))</f>
        <v>0</v>
      </c>
      <c r="AV168" s="2">
        <f>IF(TipoProgramaPersonalTecnico=1,$E168*'a)Plantilla'!$C58*Programa!D$54,IF(TipoProgramaPersonalTecnico=2,$E168*AV167,$E168/Hjor*AV167))</f>
        <v>0</v>
      </c>
      <c r="AW168" s="2">
        <f>IF(TipoProgramaPersonalTecnico=1,$E168*'a)Plantilla'!$C58*Programa!D$55,IF(TipoProgramaPersonalTecnico=2,$E168*AW167,$E168/Hjor*AW167))</f>
        <v>0</v>
      </c>
      <c r="AX168" s="2">
        <f>IF(TipoProgramaPersonalTecnico=1,$E168*'a)Plantilla'!$C58*Programa!D$56,IF(TipoProgramaPersonalTecnico=2,$E168*AX167,$E168/Hjor*AX167))</f>
        <v>0</v>
      </c>
      <c r="AY168" s="2">
        <f>IF(TipoProgramaPersonalTecnico=1,$E168*'a)Plantilla'!$C58*Programa!D$57,IF(TipoProgramaPersonalTecnico=2,$E168*AY167,$E168/Hjor*AY167))</f>
        <v>0</v>
      </c>
      <c r="AZ168" s="2">
        <f>IF(TipoProgramaPersonalTecnico=1,$E168*'a)Plantilla'!$C58*Programa!D$58,IF(TipoProgramaPersonalTecnico=2,$E168*AZ167,$E168/Hjor*AZ167))</f>
        <v>0</v>
      </c>
      <c r="BA168" s="55">
        <f>IF(TipoProgramaPersonalTecnico=1,$E168*'a)Plantilla'!$C58*Programa!D$59,IF(TipoProgramaPersonalTecnico=2,$E168*BA167,$E168/Hjor*BA167))</f>
        <v>0</v>
      </c>
      <c r="BB168" s="56">
        <f>IF(TipoProgramaPersonalTecnico=1,$E168*'a)Plantilla'!$C58*Programa!D$60,IF(TipoProgramaPersonalTecnico=2,$E168*BB167,$E168/Hjor*BB167))</f>
        <v>0</v>
      </c>
      <c r="BC168" s="53">
        <f>IF(TipoProgramaPersonalTecnico=1,$E168*'a)Plantilla'!$C58*Programa!D$61,IF(TipoProgramaPersonalTecnico=2,$E168*BC167,$E168/Hjor*BC167))</f>
        <v>0</v>
      </c>
      <c r="BD168" s="2">
        <f>IF(TipoProgramaPersonalTecnico=1,$E168*'a)Plantilla'!$C58*Programa!D$62,IF(TipoProgramaPersonalTecnico=2,$E168*BD167,$E168/Hjor*BD167))</f>
        <v>0</v>
      </c>
      <c r="BE168" s="2">
        <f>IF(TipoProgramaPersonalTecnico=1,$E168*'a)Plantilla'!$C58*Programa!D$63,IF(TipoProgramaPersonalTecnico=2,$E168*BE167,$E168/Hjor*BE167))</f>
        <v>0</v>
      </c>
      <c r="BF168" s="2">
        <f>IF(TipoProgramaPersonalTecnico=1,$E168*'a)Plantilla'!$C58*Programa!D$64,IF(TipoProgramaPersonalTecnico=2,$E168*BF167,$E168/Hjor*BF167))</f>
        <v>0</v>
      </c>
      <c r="BG168" s="2">
        <f>IF(TipoProgramaPersonalTecnico=1,$E168*'a)Plantilla'!$C58*Programa!D$65,IF(TipoProgramaPersonalTecnico=2,$E168*BG167,$E168/Hjor*BG167))</f>
        <v>0</v>
      </c>
      <c r="BH168" s="2">
        <f>IF(TipoProgramaPersonalTecnico=1,$E168*'a)Plantilla'!$C58*Programa!D$66,IF(TipoProgramaPersonalTecnico=2,$E168*BH167,$E168/Hjor*BH167))</f>
        <v>0</v>
      </c>
      <c r="BI168" s="2">
        <f>IF(TipoProgramaPersonalTecnico=1,$E168*'a)Plantilla'!$C58*Programa!D$67,IF(TipoProgramaPersonalTecnico=2,$E168*BI167,$E168/Hjor*BI167))</f>
        <v>0</v>
      </c>
      <c r="BJ168" s="2">
        <f>IF(TipoProgramaPersonalTecnico=1,$E168*'a)Plantilla'!$C58*Programa!D$68,IF(TipoProgramaPersonalTecnico=2,$E168*BJ167,$E168/Hjor*BJ167))</f>
        <v>0</v>
      </c>
      <c r="BK168" s="2">
        <f>IF(TipoProgramaPersonalTecnico=1,$E168*'a)Plantilla'!$C58*Programa!D$69,IF(TipoProgramaPersonalTecnico=2,$E168*BK167,$E168/Hjor*BK167))</f>
        <v>0</v>
      </c>
      <c r="BL168" s="2">
        <f>IF(TipoProgramaPersonalTecnico=1,$E168*'a)Plantilla'!$C58*Programa!D$70,IF(TipoProgramaPersonalTecnico=2,$E168*BL167,$E168/Hjor*BL167))</f>
        <v>0</v>
      </c>
      <c r="BM168" s="2">
        <f>IF(TipoProgramaPersonalTecnico=1,$E168*'a)Plantilla'!$C58*Programa!D$71,IF(TipoProgramaPersonalTecnico=2,$E168*BM167,$E168/Hjor*BM167))</f>
        <v>0</v>
      </c>
      <c r="BN168" s="12">
        <f>IF(TipoProgramaPersonalTecnico=1,$E168*'a)Plantilla'!$C58*Programa!D$72,IF(TipoProgramaPersonalTecnico=2,$E168*BN167,$E168/Hjor*BN167))</f>
        <v>0</v>
      </c>
    </row>
    <row r="169" spans="1:66" ht="7.5" customHeight="1">
      <c r="A169" s="67"/>
      <c r="B169" s="19"/>
      <c r="C169" s="127"/>
      <c r="D169" s="54"/>
      <c r="E169" s="19"/>
      <c r="F169" s="19"/>
      <c r="G169" s="1" t="s">
        <v>168</v>
      </c>
      <c r="H169" s="1" t="s">
        <v>168</v>
      </c>
      <c r="I169" s="1" t="s">
        <v>168</v>
      </c>
      <c r="J169" s="1" t="s">
        <v>168</v>
      </c>
      <c r="K169" s="1" t="s">
        <v>168</v>
      </c>
      <c r="L169" s="1" t="s">
        <v>168</v>
      </c>
      <c r="M169" s="1" t="s">
        <v>168</v>
      </c>
      <c r="N169" s="1" t="s">
        <v>168</v>
      </c>
      <c r="O169" s="1" t="s">
        <v>168</v>
      </c>
      <c r="P169" s="1" t="s">
        <v>168</v>
      </c>
      <c r="Q169" s="1" t="s">
        <v>168</v>
      </c>
      <c r="R169" s="8" t="s">
        <v>168</v>
      </c>
      <c r="S169" s="13" t="s">
        <v>168</v>
      </c>
      <c r="T169" s="1" t="s">
        <v>168</v>
      </c>
      <c r="U169" s="1" t="s">
        <v>168</v>
      </c>
      <c r="V169" s="1" t="s">
        <v>168</v>
      </c>
      <c r="W169" s="1" t="s">
        <v>168</v>
      </c>
      <c r="X169" s="1" t="s">
        <v>168</v>
      </c>
      <c r="Y169" s="1" t="s">
        <v>168</v>
      </c>
      <c r="Z169" s="1" t="s">
        <v>168</v>
      </c>
      <c r="AA169" s="1" t="s">
        <v>168</v>
      </c>
      <c r="AB169" s="1" t="s">
        <v>168</v>
      </c>
      <c r="AC169" s="1" t="s">
        <v>168</v>
      </c>
      <c r="AD169" s="8" t="s">
        <v>168</v>
      </c>
      <c r="AE169" s="13" t="s">
        <v>168</v>
      </c>
      <c r="AF169" s="1" t="s">
        <v>168</v>
      </c>
      <c r="AG169" s="1" t="s">
        <v>168</v>
      </c>
      <c r="AH169" s="1" t="s">
        <v>168</v>
      </c>
      <c r="AI169" s="1" t="s">
        <v>168</v>
      </c>
      <c r="AJ169" s="1" t="s">
        <v>168</v>
      </c>
      <c r="AK169" s="1" t="s">
        <v>168</v>
      </c>
      <c r="AL169" s="1" t="s">
        <v>168</v>
      </c>
      <c r="AM169" s="1" t="s">
        <v>168</v>
      </c>
      <c r="AN169" s="1" t="s">
        <v>168</v>
      </c>
      <c r="AO169" s="1" t="s">
        <v>168</v>
      </c>
      <c r="AP169" s="8" t="s">
        <v>168</v>
      </c>
      <c r="AQ169" s="13" t="s">
        <v>168</v>
      </c>
      <c r="AR169" s="1" t="s">
        <v>168</v>
      </c>
      <c r="AS169" s="1" t="s">
        <v>168</v>
      </c>
      <c r="AT169" s="1" t="s">
        <v>168</v>
      </c>
      <c r="AU169" s="1" t="s">
        <v>168</v>
      </c>
      <c r="AV169" s="1" t="s">
        <v>168</v>
      </c>
      <c r="AW169" s="1" t="s">
        <v>168</v>
      </c>
      <c r="AX169" s="1" t="s">
        <v>168</v>
      </c>
      <c r="AY169" s="1" t="s">
        <v>168</v>
      </c>
      <c r="AZ169" s="1" t="s">
        <v>168</v>
      </c>
      <c r="BA169" s="1" t="s">
        <v>168</v>
      </c>
      <c r="BB169" s="8" t="s">
        <v>168</v>
      </c>
      <c r="BC169" s="13" t="s">
        <v>168</v>
      </c>
      <c r="BD169" s="1" t="s">
        <v>168</v>
      </c>
      <c r="BE169" s="1" t="s">
        <v>168</v>
      </c>
      <c r="BF169" s="1" t="s">
        <v>168</v>
      </c>
      <c r="BG169" s="1" t="s">
        <v>168</v>
      </c>
      <c r="BH169" s="1" t="s">
        <v>168</v>
      </c>
      <c r="BI169" s="1" t="s">
        <v>168</v>
      </c>
      <c r="BJ169" s="1" t="s">
        <v>168</v>
      </c>
      <c r="BK169" s="1" t="s">
        <v>168</v>
      </c>
      <c r="BL169" s="1" t="s">
        <v>168</v>
      </c>
      <c r="BM169" s="1" t="s">
        <v>168</v>
      </c>
      <c r="BN169" s="8" t="s">
        <v>168</v>
      </c>
    </row>
    <row r="170" spans="1:66">
      <c r="A170" s="67"/>
      <c r="B170" s="46"/>
      <c r="C170" s="127"/>
      <c r="D170" s="52"/>
      <c r="E170" s="7"/>
      <c r="F170" s="7"/>
      <c r="G170" s="3">
        <f>'d)Pers.Técnico'!E119</f>
        <v>0</v>
      </c>
      <c r="H170" s="3">
        <f>'d)Pers.Técnico'!F119</f>
        <v>0</v>
      </c>
      <c r="I170" s="3">
        <f>'d)Pers.Técnico'!G119</f>
        <v>0</v>
      </c>
      <c r="J170" s="3">
        <f>'d)Pers.Técnico'!H119</f>
        <v>0</v>
      </c>
      <c r="K170" s="3">
        <f>'d)Pers.Técnico'!I119</f>
        <v>0</v>
      </c>
      <c r="L170" s="3">
        <f>'d)Pers.Técnico'!J119</f>
        <v>0</v>
      </c>
      <c r="M170" s="3">
        <f>'d)Pers.Técnico'!K119</f>
        <v>0</v>
      </c>
      <c r="N170" s="3">
        <f>'d)Pers.Técnico'!L119</f>
        <v>0</v>
      </c>
      <c r="O170" s="3">
        <f>'d)Pers.Técnico'!M119</f>
        <v>0</v>
      </c>
      <c r="P170" s="3">
        <f>'d)Pers.Técnico'!N119</f>
        <v>0</v>
      </c>
      <c r="Q170" s="3">
        <f>'d)Pers.Técnico'!O119</f>
        <v>0</v>
      </c>
      <c r="R170" s="14">
        <f>'d)Pers.Técnico'!P119</f>
        <v>0</v>
      </c>
      <c r="S170" s="20">
        <f>'d)Pers.Técnico'!Q119</f>
        <v>0</v>
      </c>
      <c r="T170" s="3">
        <f>'d)Pers.Técnico'!R119</f>
        <v>0</v>
      </c>
      <c r="U170" s="3">
        <f>'d)Pers.Técnico'!S119</f>
        <v>0</v>
      </c>
      <c r="V170" s="3">
        <f>'d)Pers.Técnico'!T119</f>
        <v>0</v>
      </c>
      <c r="W170" s="3">
        <f>'d)Pers.Técnico'!U119</f>
        <v>0</v>
      </c>
      <c r="X170" s="3">
        <f>'d)Pers.Técnico'!V119</f>
        <v>0</v>
      </c>
      <c r="Y170" s="3">
        <f>'d)Pers.Técnico'!W119</f>
        <v>0</v>
      </c>
      <c r="Z170" s="3">
        <f>'d)Pers.Técnico'!X119</f>
        <v>0</v>
      </c>
      <c r="AA170" s="3">
        <f>'d)Pers.Técnico'!Y119</f>
        <v>0</v>
      </c>
      <c r="AB170" s="3">
        <f>'d)Pers.Técnico'!Z119</f>
        <v>0</v>
      </c>
      <c r="AC170" s="3">
        <f>'d)Pers.Técnico'!AA119</f>
        <v>0</v>
      </c>
      <c r="AD170" s="14">
        <f>'d)Pers.Técnico'!AB119</f>
        <v>0</v>
      </c>
      <c r="AE170" s="20">
        <f>'d)Pers.Técnico'!AC119</f>
        <v>0</v>
      </c>
      <c r="AF170" s="3">
        <f>'d)Pers.Técnico'!AD119</f>
        <v>0</v>
      </c>
      <c r="AG170" s="3">
        <f>'d)Pers.Técnico'!AE119</f>
        <v>0</v>
      </c>
      <c r="AH170" s="3">
        <f>'d)Pers.Técnico'!AF119</f>
        <v>0</v>
      </c>
      <c r="AI170" s="3">
        <f>'d)Pers.Técnico'!AG119</f>
        <v>0</v>
      </c>
      <c r="AJ170" s="3">
        <f>'d)Pers.Técnico'!AH119</f>
        <v>0</v>
      </c>
      <c r="AK170" s="3">
        <f>'d)Pers.Técnico'!AI119</f>
        <v>0</v>
      </c>
      <c r="AL170" s="3">
        <f>'d)Pers.Técnico'!AJ119</f>
        <v>0</v>
      </c>
      <c r="AM170" s="3">
        <f>'d)Pers.Técnico'!AK119</f>
        <v>0</v>
      </c>
      <c r="AN170" s="3">
        <f>'d)Pers.Técnico'!AL119</f>
        <v>0</v>
      </c>
      <c r="AO170" s="3">
        <f>'d)Pers.Técnico'!AM119</f>
        <v>0</v>
      </c>
      <c r="AP170" s="14">
        <f>'d)Pers.Técnico'!AN119</f>
        <v>0</v>
      </c>
      <c r="AQ170" s="20">
        <f>'d)Pers.Técnico'!AO119</f>
        <v>0</v>
      </c>
      <c r="AR170" s="3">
        <f>'d)Pers.Técnico'!AP119</f>
        <v>0</v>
      </c>
      <c r="AS170" s="3">
        <f>'d)Pers.Técnico'!AQ119</f>
        <v>0</v>
      </c>
      <c r="AT170" s="3">
        <f>'d)Pers.Técnico'!AR119</f>
        <v>0</v>
      </c>
      <c r="AU170" s="3">
        <f>'d)Pers.Técnico'!AS119</f>
        <v>0</v>
      </c>
      <c r="AV170" s="3">
        <f>'d)Pers.Técnico'!AT119</f>
        <v>0</v>
      </c>
      <c r="AW170" s="3">
        <f>'d)Pers.Técnico'!AU119</f>
        <v>0</v>
      </c>
      <c r="AX170" s="3">
        <f>'d)Pers.Técnico'!AV119</f>
        <v>0</v>
      </c>
      <c r="AY170" s="3">
        <f>'d)Pers.Técnico'!AW119</f>
        <v>0</v>
      </c>
      <c r="AZ170" s="3">
        <f>'d)Pers.Técnico'!AX119</f>
        <v>0</v>
      </c>
      <c r="BA170" s="1">
        <f>'d)Pers.Técnico'!AY119</f>
        <v>0</v>
      </c>
      <c r="BB170" s="60">
        <f>'d)Pers.Técnico'!AZ119</f>
        <v>0</v>
      </c>
      <c r="BC170" s="61">
        <f>'d)Pers.Técnico'!BA119</f>
        <v>0</v>
      </c>
      <c r="BD170" s="3">
        <f>'d)Pers.Técnico'!BB119</f>
        <v>0</v>
      </c>
      <c r="BE170" s="3">
        <f>'d)Pers.Técnico'!BC119</f>
        <v>0</v>
      </c>
      <c r="BF170" s="3">
        <f>'d)Pers.Técnico'!BD119</f>
        <v>0</v>
      </c>
      <c r="BG170" s="3">
        <f>'d)Pers.Técnico'!BE119</f>
        <v>0</v>
      </c>
      <c r="BH170" s="3">
        <f>'d)Pers.Técnico'!BF119</f>
        <v>0</v>
      </c>
      <c r="BI170" s="3">
        <f>'d)Pers.Técnico'!BG119</f>
        <v>0</v>
      </c>
      <c r="BJ170" s="3">
        <f>'d)Pers.Técnico'!BH119</f>
        <v>0</v>
      </c>
      <c r="BK170" s="3">
        <f>'d)Pers.Técnico'!BI119</f>
        <v>0</v>
      </c>
      <c r="BL170" s="3">
        <f>'d)Pers.Técnico'!BJ119</f>
        <v>0</v>
      </c>
      <c r="BM170" s="3">
        <f>'d)Pers.Técnico'!BK119</f>
        <v>0</v>
      </c>
      <c r="BN170" s="14">
        <f>'d)Pers.Técnico'!BL119</f>
        <v>0</v>
      </c>
    </row>
    <row r="171" spans="1:66">
      <c r="A171" s="67"/>
      <c r="B171" s="46" t="str">
        <f>+'d)Pers.Técnico'!B119</f>
        <v/>
      </c>
      <c r="C171" s="127" t="str">
        <f>'d)Pers.Técnico'!C119</f>
        <v/>
      </c>
      <c r="D171" s="52">
        <f>SUM(G170:BN170)</f>
        <v>0</v>
      </c>
      <c r="E171" s="7">
        <f>IF('a)Plantilla'!C59&gt;0,'a)Plantilla'!D59/30,0)</f>
        <v>0</v>
      </c>
      <c r="F171" s="7">
        <f>SUM(G171:BN171)</f>
        <v>0</v>
      </c>
      <c r="G171" s="2">
        <f>IF(TipoProgramaPersonalTecnico=1,$E171*'a)Plantilla'!$C59*Programa!D$13,IF(TipoProgramaPersonalTecnico=2,$E171*G170,$E171/Hjor*G170))</f>
        <v>0</v>
      </c>
      <c r="H171" s="2">
        <f>IF(TipoProgramaPersonalTecnico=1,$E171*'a)Plantilla'!$C59*Programa!D$14,IF(TipoProgramaPersonalTecnico=2,$E171*H170,$E171/Hjor*H170))</f>
        <v>0</v>
      </c>
      <c r="I171" s="2">
        <f>IF(TipoProgramaPersonalTecnico=1,$E171*'a)Plantilla'!$C59*Programa!D$15,IF(TipoProgramaPersonalTecnico=2,$E171*I170,$E171/Hjor*I170))</f>
        <v>0</v>
      </c>
      <c r="J171" s="2">
        <f>IF(TipoProgramaPersonalTecnico=1,$E171*'a)Plantilla'!$C59*Programa!D$16,IF(TipoProgramaPersonalTecnico=2,$E171*J170,$E171/Hjor*J170))</f>
        <v>0</v>
      </c>
      <c r="K171" s="2">
        <f>IF(TipoProgramaPersonalTecnico=1,$E171*'a)Plantilla'!$C59*Programa!D$17,IF(TipoProgramaPersonalTecnico=2,$E171*K170,$E171/Hjor*K170))</f>
        <v>0</v>
      </c>
      <c r="L171" s="2">
        <f>IF(TipoProgramaPersonalTecnico=1,$E171*'a)Plantilla'!$C59*Programa!D$18,IF(TipoProgramaPersonalTecnico=2,$E171*L170,$E171/Hjor*L170))</f>
        <v>0</v>
      </c>
      <c r="M171" s="2">
        <f>IF(TipoProgramaPersonalTecnico=1,$E171*'a)Plantilla'!$C59*Programa!D$19,IF(TipoProgramaPersonalTecnico=2,$E171*M170,$E171/Hjor*M170))</f>
        <v>0</v>
      </c>
      <c r="N171" s="2">
        <f>IF(TipoProgramaPersonalTecnico=1,$E171*'a)Plantilla'!$C59*Programa!D$20,IF(TipoProgramaPersonalTecnico=2,$E171*N170,$E171/Hjor*N170))</f>
        <v>0</v>
      </c>
      <c r="O171" s="2">
        <f>IF(TipoProgramaPersonalTecnico=1,$E171*'a)Plantilla'!$C59*Programa!D$21,IF(TipoProgramaPersonalTecnico=2,$E171*O170,$E171/Hjor*O170))</f>
        <v>0</v>
      </c>
      <c r="P171" s="2">
        <f>IF(TipoProgramaPersonalTecnico=1,$E171*'a)Plantilla'!$C59*Programa!D$22,IF(TipoProgramaPersonalTecnico=2,$E171*P170,$E171/Hjor*P170))</f>
        <v>0</v>
      </c>
      <c r="Q171" s="2">
        <f>IF(TipoProgramaPersonalTecnico=1,$E171*'a)Plantilla'!$C59*Programa!D$23,IF(TipoProgramaPersonalTecnico=2,$E171*Q170,$E171/Hjor*Q170))</f>
        <v>0</v>
      </c>
      <c r="R171" s="12">
        <f>IF(TipoProgramaPersonalTecnico=1,$E171*'a)Plantilla'!$C59*Programa!D$24,IF(TipoProgramaPersonalTecnico=2,$E171*R170,$E171/Hjor*R170))</f>
        <v>0</v>
      </c>
      <c r="S171" s="7">
        <f>IF(TipoProgramaPersonalTecnico=1,$E171*'a)Plantilla'!$C59*Programa!D$25,IF(TipoProgramaPersonalTecnico=2,$E171*S170,$E171/Hjor*S170))</f>
        <v>0</v>
      </c>
      <c r="T171" s="2">
        <f>IF(TipoProgramaPersonalTecnico=1,$E171*'a)Plantilla'!$C59*Programa!D$26,IF(TipoProgramaPersonalTecnico=2,$E171*T170,$E171/Hjor*T170))</f>
        <v>0</v>
      </c>
      <c r="U171" s="2">
        <f>IF(TipoProgramaPersonalTecnico=1,$E171*'a)Plantilla'!$C59*Programa!D$27,IF(TipoProgramaPersonalTecnico=2,$E171*U170,$E171/Hjor*U170))</f>
        <v>0</v>
      </c>
      <c r="V171" s="2">
        <f>IF(TipoProgramaPersonalTecnico=1,$E171*'a)Plantilla'!$C59*Programa!D$28,IF(TipoProgramaPersonalTecnico=2,$E171*V170,$E171/Hjor*V170))</f>
        <v>0</v>
      </c>
      <c r="W171" s="2">
        <f>IF(TipoProgramaPersonalTecnico=1,$E171*'a)Plantilla'!$C59*Programa!D$29,IF(TipoProgramaPersonalTecnico=2,$E171*W170,$E171/Hjor*W170))</f>
        <v>0</v>
      </c>
      <c r="X171" s="2">
        <f>IF(TipoProgramaPersonalTecnico=1,$E171*'a)Plantilla'!$C59*Programa!D$30,IF(TipoProgramaPersonalTecnico=2,$E171*X170,$E171/Hjor*X170))</f>
        <v>0</v>
      </c>
      <c r="Y171" s="2">
        <f>IF(TipoProgramaPersonalTecnico=1,$E171*'a)Plantilla'!$C59*Programa!D$31,IF(TipoProgramaPersonalTecnico=2,$E171*Y170,$E171/Hjor*Y170))</f>
        <v>0</v>
      </c>
      <c r="Z171" s="2">
        <f>IF(TipoProgramaPersonalTecnico=1,$E171*'a)Plantilla'!$C59*Programa!D$32,IF(TipoProgramaPersonalTecnico=2,$E171*Z170,$E171/Hjor*Z170))</f>
        <v>0</v>
      </c>
      <c r="AA171" s="2">
        <f>IF(TipoProgramaPersonalTecnico=1,$E171*'a)Plantilla'!$C59*Programa!D$33,IF(TipoProgramaPersonalTecnico=2,$E171*AA170,$E171/Hjor*AA170))</f>
        <v>0</v>
      </c>
      <c r="AB171" s="2">
        <f>IF(TipoProgramaPersonalTecnico=1,$E171*'a)Plantilla'!$C59*Programa!D$34,IF(TipoProgramaPersonalTecnico=2,$E171*AB170,$E171/Hjor*AB170))</f>
        <v>0</v>
      </c>
      <c r="AC171" s="2">
        <f>IF(TipoProgramaPersonalTecnico=1,$E171*'a)Plantilla'!$C59*Programa!D$35,IF(TipoProgramaPersonalTecnico=2,$E171*AC170,$E171/Hjor*AC170))</f>
        <v>0</v>
      </c>
      <c r="AD171" s="12">
        <f>IF(TipoProgramaPersonalTecnico=1,$E171*'a)Plantilla'!$C59*Programa!D$36,IF(TipoProgramaPersonalTecnico=2,$E171*AD170,$E171/Hjor*AD170))</f>
        <v>0</v>
      </c>
      <c r="AE171" s="7">
        <f>IF(TipoProgramaPersonalTecnico=1,$E171*'a)Plantilla'!$C59*Programa!D$37,IF(TipoProgramaPersonalTecnico=2,$E171*AE170,$E171/Hjor*AE170))</f>
        <v>0</v>
      </c>
      <c r="AF171" s="2">
        <f>IF(TipoProgramaPersonalTecnico=1,$E171*'a)Plantilla'!$C59*Programa!D$38,IF(TipoProgramaPersonalTecnico=2,$E171*AF170,$E171/Hjor*AF170))</f>
        <v>0</v>
      </c>
      <c r="AG171" s="2">
        <f>IF(TipoProgramaPersonalTecnico=1,$E171*'a)Plantilla'!$C59*Programa!D$39,IF(TipoProgramaPersonalTecnico=2,$E171*AG170,$E171/Hjor*AG170))</f>
        <v>0</v>
      </c>
      <c r="AH171" s="2">
        <f>IF(TipoProgramaPersonalTecnico=1,$E171*'a)Plantilla'!$C59*Programa!D$40,IF(TipoProgramaPersonalTecnico=2,$E171*AH170,$E171/Hjor*AH170))</f>
        <v>0</v>
      </c>
      <c r="AI171" s="2">
        <f>IF(TipoProgramaPersonalTecnico=1,$E171*'a)Plantilla'!$C59*Programa!D$41,IF(TipoProgramaPersonalTecnico=2,$E171*AI170,$E171/Hjor*AI170))</f>
        <v>0</v>
      </c>
      <c r="AJ171" s="2">
        <f>IF(TipoProgramaPersonalTecnico=1,$E171*'a)Plantilla'!$C59*Programa!D$42,IF(TipoProgramaPersonalTecnico=2,$E171*AJ170,$E171/Hjor*AJ170))</f>
        <v>0</v>
      </c>
      <c r="AK171" s="2">
        <f>IF(TipoProgramaPersonalTecnico=1,$E171*'a)Plantilla'!$C59*Programa!D$43,IF(TipoProgramaPersonalTecnico=2,$E171*AK170,$E171/Hjor*AK170))</f>
        <v>0</v>
      </c>
      <c r="AL171" s="2">
        <f>IF(TipoProgramaPersonalTecnico=1,$E171*'a)Plantilla'!$C59*Programa!D$44,IF(TipoProgramaPersonalTecnico=2,$E171*AL170,$E171/Hjor*AL170))</f>
        <v>0</v>
      </c>
      <c r="AM171" s="2">
        <f>IF(TipoProgramaPersonalTecnico=1,$E171*'a)Plantilla'!$C59*Programa!D$45,IF(TipoProgramaPersonalTecnico=2,$E171*AM170,$E171/Hjor*AM170))</f>
        <v>0</v>
      </c>
      <c r="AN171" s="2">
        <f>IF(TipoProgramaPersonalTecnico=1,$E171*'a)Plantilla'!$C59*Programa!D$46,IF(TipoProgramaPersonalTecnico=2,$E171*AN170,$E171/Hjor*AN170))</f>
        <v>0</v>
      </c>
      <c r="AO171" s="2">
        <f>IF(TipoProgramaPersonalTecnico=1,$E171*'a)Plantilla'!$C59*Programa!D$47,IF(TipoProgramaPersonalTecnico=2,$E171*AO170,$E171/Hjor*AO170))</f>
        <v>0</v>
      </c>
      <c r="AP171" s="12">
        <f>IF(TipoProgramaPersonalTecnico=1,$E171*'a)Plantilla'!$C59*Programa!D$48,IF(TipoProgramaPersonalTecnico=2,$E171*AP170,$E171/Hjor*AP170))</f>
        <v>0</v>
      </c>
      <c r="AQ171" s="7">
        <f>IF(TipoProgramaPersonalTecnico=1,$E171*'a)Plantilla'!$C59*Programa!D$49,IF(TipoProgramaPersonalTecnico=2,$E171*AQ170,$E171/Hjor*AQ170))</f>
        <v>0</v>
      </c>
      <c r="AR171" s="2">
        <f>IF(TipoProgramaPersonalTecnico=1,$E171*'a)Plantilla'!$C59*Programa!D$50,IF(TipoProgramaPersonalTecnico=2,$E171*AR170,$E171/Hjor*AR170))</f>
        <v>0</v>
      </c>
      <c r="AS171" s="2">
        <f>IF(TipoProgramaPersonalTecnico=1,$E171*'a)Plantilla'!$C59*Programa!D$51,IF(TipoProgramaPersonalTecnico=2,$E171*AS170,$E171/Hjor*AS170))</f>
        <v>0</v>
      </c>
      <c r="AT171" s="2">
        <f>IF(TipoProgramaPersonalTecnico=1,$E171*'a)Plantilla'!$C59*Programa!D$52,IF(TipoProgramaPersonalTecnico=2,$E171*AT170,$E171/Hjor*AT170))</f>
        <v>0</v>
      </c>
      <c r="AU171" s="2">
        <f>IF(TipoProgramaPersonalTecnico=1,$E171*'a)Plantilla'!$C59*Programa!D$53,IF(TipoProgramaPersonalTecnico=2,$E171*AU170,$E171/Hjor*AU170))</f>
        <v>0</v>
      </c>
      <c r="AV171" s="2">
        <f>IF(TipoProgramaPersonalTecnico=1,$E171*'a)Plantilla'!$C59*Programa!D$54,IF(TipoProgramaPersonalTecnico=2,$E171*AV170,$E171/Hjor*AV170))</f>
        <v>0</v>
      </c>
      <c r="AW171" s="2">
        <f>IF(TipoProgramaPersonalTecnico=1,$E171*'a)Plantilla'!$C59*Programa!D$55,IF(TipoProgramaPersonalTecnico=2,$E171*AW170,$E171/Hjor*AW170))</f>
        <v>0</v>
      </c>
      <c r="AX171" s="2">
        <f>IF(TipoProgramaPersonalTecnico=1,$E171*'a)Plantilla'!$C59*Programa!D$56,IF(TipoProgramaPersonalTecnico=2,$E171*AX170,$E171/Hjor*AX170))</f>
        <v>0</v>
      </c>
      <c r="AY171" s="2">
        <f>IF(TipoProgramaPersonalTecnico=1,$E171*'a)Plantilla'!$C59*Programa!D$57,IF(TipoProgramaPersonalTecnico=2,$E171*AY170,$E171/Hjor*AY170))</f>
        <v>0</v>
      </c>
      <c r="AZ171" s="2">
        <f>IF(TipoProgramaPersonalTecnico=1,$E171*'a)Plantilla'!$C59*Programa!D$58,IF(TipoProgramaPersonalTecnico=2,$E171*AZ170,$E171/Hjor*AZ170))</f>
        <v>0</v>
      </c>
      <c r="BA171" s="55">
        <f>IF(TipoProgramaPersonalTecnico=1,$E171*'a)Plantilla'!$C59*Programa!D$59,IF(TipoProgramaPersonalTecnico=2,$E171*BA170,$E171/Hjor*BA170))</f>
        <v>0</v>
      </c>
      <c r="BB171" s="56">
        <f>IF(TipoProgramaPersonalTecnico=1,$E171*'a)Plantilla'!$C59*Programa!D$60,IF(TipoProgramaPersonalTecnico=2,$E171*BB170,$E171/Hjor*BB170))</f>
        <v>0</v>
      </c>
      <c r="BC171" s="53">
        <f>IF(TipoProgramaPersonalTecnico=1,$E171*'a)Plantilla'!$C59*Programa!D$61,IF(TipoProgramaPersonalTecnico=2,$E171*BC170,$E171/Hjor*BC170))</f>
        <v>0</v>
      </c>
      <c r="BD171" s="2">
        <f>IF(TipoProgramaPersonalTecnico=1,$E171*'a)Plantilla'!$C59*Programa!D$62,IF(TipoProgramaPersonalTecnico=2,$E171*BD170,$E171/Hjor*BD170))</f>
        <v>0</v>
      </c>
      <c r="BE171" s="2">
        <f>IF(TipoProgramaPersonalTecnico=1,$E171*'a)Plantilla'!$C59*Programa!D$63,IF(TipoProgramaPersonalTecnico=2,$E171*BE170,$E171/Hjor*BE170))</f>
        <v>0</v>
      </c>
      <c r="BF171" s="2">
        <f>IF(TipoProgramaPersonalTecnico=1,$E171*'a)Plantilla'!$C59*Programa!D$64,IF(TipoProgramaPersonalTecnico=2,$E171*BF170,$E171/Hjor*BF170))</f>
        <v>0</v>
      </c>
      <c r="BG171" s="2">
        <f>IF(TipoProgramaPersonalTecnico=1,$E171*'a)Plantilla'!$C59*Programa!D$65,IF(TipoProgramaPersonalTecnico=2,$E171*BG170,$E171/Hjor*BG170))</f>
        <v>0</v>
      </c>
      <c r="BH171" s="2">
        <f>IF(TipoProgramaPersonalTecnico=1,$E171*'a)Plantilla'!$C59*Programa!D$66,IF(TipoProgramaPersonalTecnico=2,$E171*BH170,$E171/Hjor*BH170))</f>
        <v>0</v>
      </c>
      <c r="BI171" s="2">
        <f>IF(TipoProgramaPersonalTecnico=1,$E171*'a)Plantilla'!$C59*Programa!D$67,IF(TipoProgramaPersonalTecnico=2,$E171*BI170,$E171/Hjor*BI170))</f>
        <v>0</v>
      </c>
      <c r="BJ171" s="2">
        <f>IF(TipoProgramaPersonalTecnico=1,$E171*'a)Plantilla'!$C59*Programa!D$68,IF(TipoProgramaPersonalTecnico=2,$E171*BJ170,$E171/Hjor*BJ170))</f>
        <v>0</v>
      </c>
      <c r="BK171" s="2">
        <f>IF(TipoProgramaPersonalTecnico=1,$E171*'a)Plantilla'!$C59*Programa!D$69,IF(TipoProgramaPersonalTecnico=2,$E171*BK170,$E171/Hjor*BK170))</f>
        <v>0</v>
      </c>
      <c r="BL171" s="2">
        <f>IF(TipoProgramaPersonalTecnico=1,$E171*'a)Plantilla'!$C59*Programa!D$70,IF(TipoProgramaPersonalTecnico=2,$E171*BL170,$E171/Hjor*BL170))</f>
        <v>0</v>
      </c>
      <c r="BM171" s="2">
        <f>IF(TipoProgramaPersonalTecnico=1,$E171*'a)Plantilla'!$C59*Programa!D$71,IF(TipoProgramaPersonalTecnico=2,$E171*BM170,$E171/Hjor*BM170))</f>
        <v>0</v>
      </c>
      <c r="BN171" s="12">
        <f>IF(TipoProgramaPersonalTecnico=1,$E171*'a)Plantilla'!$C59*Programa!D$72,IF(TipoProgramaPersonalTecnico=2,$E171*BN170,$E171/Hjor*BN170))</f>
        <v>0</v>
      </c>
    </row>
    <row r="172" spans="1:66" ht="7.5" customHeight="1">
      <c r="A172" s="67"/>
      <c r="B172" s="19"/>
      <c r="C172" s="127"/>
      <c r="D172" s="54"/>
      <c r="E172" s="19"/>
      <c r="F172" s="19"/>
      <c r="G172" s="1" t="s">
        <v>168</v>
      </c>
      <c r="H172" s="1" t="s">
        <v>168</v>
      </c>
      <c r="I172" s="1" t="s">
        <v>168</v>
      </c>
      <c r="J172" s="1" t="s">
        <v>168</v>
      </c>
      <c r="K172" s="1" t="s">
        <v>168</v>
      </c>
      <c r="L172" s="1" t="s">
        <v>168</v>
      </c>
      <c r="M172" s="1" t="s">
        <v>168</v>
      </c>
      <c r="N172" s="1" t="s">
        <v>168</v>
      </c>
      <c r="O172" s="1" t="s">
        <v>168</v>
      </c>
      <c r="P172" s="1" t="s">
        <v>168</v>
      </c>
      <c r="Q172" s="1" t="s">
        <v>168</v>
      </c>
      <c r="R172" s="8" t="s">
        <v>168</v>
      </c>
      <c r="S172" s="13" t="s">
        <v>168</v>
      </c>
      <c r="T172" s="1" t="s">
        <v>168</v>
      </c>
      <c r="U172" s="1" t="s">
        <v>168</v>
      </c>
      <c r="V172" s="1" t="s">
        <v>168</v>
      </c>
      <c r="W172" s="1" t="s">
        <v>168</v>
      </c>
      <c r="X172" s="1" t="s">
        <v>168</v>
      </c>
      <c r="Y172" s="1" t="s">
        <v>168</v>
      </c>
      <c r="Z172" s="1" t="s">
        <v>168</v>
      </c>
      <c r="AA172" s="1" t="s">
        <v>168</v>
      </c>
      <c r="AB172" s="1" t="s">
        <v>168</v>
      </c>
      <c r="AC172" s="1" t="s">
        <v>168</v>
      </c>
      <c r="AD172" s="8" t="s">
        <v>168</v>
      </c>
      <c r="AE172" s="13" t="s">
        <v>168</v>
      </c>
      <c r="AF172" s="1" t="s">
        <v>168</v>
      </c>
      <c r="AG172" s="1" t="s">
        <v>168</v>
      </c>
      <c r="AH172" s="1" t="s">
        <v>168</v>
      </c>
      <c r="AI172" s="1" t="s">
        <v>168</v>
      </c>
      <c r="AJ172" s="1" t="s">
        <v>168</v>
      </c>
      <c r="AK172" s="1" t="s">
        <v>168</v>
      </c>
      <c r="AL172" s="1" t="s">
        <v>168</v>
      </c>
      <c r="AM172" s="1" t="s">
        <v>168</v>
      </c>
      <c r="AN172" s="1" t="s">
        <v>168</v>
      </c>
      <c r="AO172" s="1" t="s">
        <v>168</v>
      </c>
      <c r="AP172" s="8" t="s">
        <v>168</v>
      </c>
      <c r="AQ172" s="13" t="s">
        <v>168</v>
      </c>
      <c r="AR172" s="1" t="s">
        <v>168</v>
      </c>
      <c r="AS172" s="1" t="s">
        <v>168</v>
      </c>
      <c r="AT172" s="1" t="s">
        <v>168</v>
      </c>
      <c r="AU172" s="1" t="s">
        <v>168</v>
      </c>
      <c r="AV172" s="1" t="s">
        <v>168</v>
      </c>
      <c r="AW172" s="1" t="s">
        <v>168</v>
      </c>
      <c r="AX172" s="1" t="s">
        <v>168</v>
      </c>
      <c r="AY172" s="1" t="s">
        <v>168</v>
      </c>
      <c r="AZ172" s="1" t="s">
        <v>168</v>
      </c>
      <c r="BA172" s="1" t="s">
        <v>168</v>
      </c>
      <c r="BB172" s="8" t="s">
        <v>168</v>
      </c>
      <c r="BC172" s="13" t="s">
        <v>168</v>
      </c>
      <c r="BD172" s="1" t="s">
        <v>168</v>
      </c>
      <c r="BE172" s="1" t="s">
        <v>168</v>
      </c>
      <c r="BF172" s="1" t="s">
        <v>168</v>
      </c>
      <c r="BG172" s="1" t="s">
        <v>168</v>
      </c>
      <c r="BH172" s="1" t="s">
        <v>168</v>
      </c>
      <c r="BI172" s="1" t="s">
        <v>168</v>
      </c>
      <c r="BJ172" s="1" t="s">
        <v>168</v>
      </c>
      <c r="BK172" s="1" t="s">
        <v>168</v>
      </c>
      <c r="BL172" s="1" t="s">
        <v>168</v>
      </c>
      <c r="BM172" s="1" t="s">
        <v>168</v>
      </c>
      <c r="BN172" s="8" t="s">
        <v>168</v>
      </c>
    </row>
    <row r="173" spans="1:66">
      <c r="A173" s="67"/>
      <c r="B173" s="46"/>
      <c r="C173" s="127"/>
      <c r="D173" s="52"/>
      <c r="E173" s="7"/>
      <c r="F173" s="7"/>
      <c r="G173" s="3">
        <f>'d)Pers.Técnico'!E121</f>
        <v>0</v>
      </c>
      <c r="H173" s="3">
        <f>'d)Pers.Técnico'!F121</f>
        <v>0</v>
      </c>
      <c r="I173" s="3">
        <f>'d)Pers.Técnico'!G121</f>
        <v>0</v>
      </c>
      <c r="J173" s="3">
        <f>'d)Pers.Técnico'!H121</f>
        <v>0</v>
      </c>
      <c r="K173" s="3">
        <f>'d)Pers.Técnico'!I121</f>
        <v>0</v>
      </c>
      <c r="L173" s="3">
        <f>'d)Pers.Técnico'!J121</f>
        <v>0</v>
      </c>
      <c r="M173" s="3">
        <f>'d)Pers.Técnico'!K121</f>
        <v>0</v>
      </c>
      <c r="N173" s="3">
        <f>'d)Pers.Técnico'!L121</f>
        <v>0</v>
      </c>
      <c r="O173" s="3">
        <f>'d)Pers.Técnico'!M121</f>
        <v>0</v>
      </c>
      <c r="P173" s="3">
        <f>'d)Pers.Técnico'!N121</f>
        <v>0</v>
      </c>
      <c r="Q173" s="3">
        <f>'d)Pers.Técnico'!O121</f>
        <v>0</v>
      </c>
      <c r="R173" s="14">
        <f>'d)Pers.Técnico'!P121</f>
        <v>0</v>
      </c>
      <c r="S173" s="20">
        <f>'d)Pers.Técnico'!Q121</f>
        <v>0</v>
      </c>
      <c r="T173" s="3">
        <f>'d)Pers.Técnico'!R121</f>
        <v>0</v>
      </c>
      <c r="U173" s="3">
        <f>'d)Pers.Técnico'!S121</f>
        <v>0</v>
      </c>
      <c r="V173" s="3">
        <f>'d)Pers.Técnico'!T121</f>
        <v>0</v>
      </c>
      <c r="W173" s="3">
        <f>'d)Pers.Técnico'!U121</f>
        <v>0</v>
      </c>
      <c r="X173" s="3">
        <f>'d)Pers.Técnico'!V121</f>
        <v>0</v>
      </c>
      <c r="Y173" s="3">
        <f>'d)Pers.Técnico'!W121</f>
        <v>0</v>
      </c>
      <c r="Z173" s="3">
        <f>'d)Pers.Técnico'!X121</f>
        <v>0</v>
      </c>
      <c r="AA173" s="3">
        <f>'d)Pers.Técnico'!Y121</f>
        <v>0</v>
      </c>
      <c r="AB173" s="3">
        <f>'d)Pers.Técnico'!Z121</f>
        <v>0</v>
      </c>
      <c r="AC173" s="3">
        <f>'d)Pers.Técnico'!AA121</f>
        <v>0</v>
      </c>
      <c r="AD173" s="14">
        <f>'d)Pers.Técnico'!AB121</f>
        <v>0</v>
      </c>
      <c r="AE173" s="20">
        <f>'d)Pers.Técnico'!AC121</f>
        <v>0</v>
      </c>
      <c r="AF173" s="3">
        <f>'d)Pers.Técnico'!AD121</f>
        <v>0</v>
      </c>
      <c r="AG173" s="3">
        <f>'d)Pers.Técnico'!AE121</f>
        <v>0</v>
      </c>
      <c r="AH173" s="3">
        <f>'d)Pers.Técnico'!AF121</f>
        <v>0</v>
      </c>
      <c r="AI173" s="3">
        <f>'d)Pers.Técnico'!AG121</f>
        <v>0</v>
      </c>
      <c r="AJ173" s="3">
        <f>'d)Pers.Técnico'!AH121</f>
        <v>0</v>
      </c>
      <c r="AK173" s="3">
        <f>'d)Pers.Técnico'!AI121</f>
        <v>0</v>
      </c>
      <c r="AL173" s="3">
        <f>'d)Pers.Técnico'!AJ121</f>
        <v>0</v>
      </c>
      <c r="AM173" s="3">
        <f>'d)Pers.Técnico'!AK121</f>
        <v>0</v>
      </c>
      <c r="AN173" s="3">
        <f>'d)Pers.Técnico'!AL121</f>
        <v>0</v>
      </c>
      <c r="AO173" s="3">
        <f>'d)Pers.Técnico'!AM121</f>
        <v>0</v>
      </c>
      <c r="AP173" s="14">
        <f>'d)Pers.Técnico'!AN121</f>
        <v>0</v>
      </c>
      <c r="AQ173" s="20">
        <f>'d)Pers.Técnico'!AO121</f>
        <v>0</v>
      </c>
      <c r="AR173" s="3">
        <f>'d)Pers.Técnico'!AP121</f>
        <v>0</v>
      </c>
      <c r="AS173" s="3">
        <f>'d)Pers.Técnico'!AQ121</f>
        <v>0</v>
      </c>
      <c r="AT173" s="3">
        <f>'d)Pers.Técnico'!AR121</f>
        <v>0</v>
      </c>
      <c r="AU173" s="3">
        <f>'d)Pers.Técnico'!AS121</f>
        <v>0</v>
      </c>
      <c r="AV173" s="3">
        <f>'d)Pers.Técnico'!AT121</f>
        <v>0</v>
      </c>
      <c r="AW173" s="3">
        <f>'d)Pers.Técnico'!AU121</f>
        <v>0</v>
      </c>
      <c r="AX173" s="3">
        <f>'d)Pers.Técnico'!AV121</f>
        <v>0</v>
      </c>
      <c r="AY173" s="3">
        <f>'d)Pers.Técnico'!AW121</f>
        <v>0</v>
      </c>
      <c r="AZ173" s="3">
        <f>'d)Pers.Técnico'!AX121</f>
        <v>0</v>
      </c>
      <c r="BA173" s="1">
        <f>'d)Pers.Técnico'!AY121</f>
        <v>0</v>
      </c>
      <c r="BB173" s="60">
        <f>'d)Pers.Técnico'!AZ121</f>
        <v>0</v>
      </c>
      <c r="BC173" s="61">
        <f>'d)Pers.Técnico'!BA121</f>
        <v>0</v>
      </c>
      <c r="BD173" s="3">
        <f>'d)Pers.Técnico'!BB121</f>
        <v>0</v>
      </c>
      <c r="BE173" s="3">
        <f>'d)Pers.Técnico'!BC121</f>
        <v>0</v>
      </c>
      <c r="BF173" s="3">
        <f>'d)Pers.Técnico'!BD121</f>
        <v>0</v>
      </c>
      <c r="BG173" s="3">
        <f>'d)Pers.Técnico'!BE121</f>
        <v>0</v>
      </c>
      <c r="BH173" s="3">
        <f>'d)Pers.Técnico'!BF121</f>
        <v>0</v>
      </c>
      <c r="BI173" s="3">
        <f>'d)Pers.Técnico'!BG121</f>
        <v>0</v>
      </c>
      <c r="BJ173" s="3">
        <f>'d)Pers.Técnico'!BH121</f>
        <v>0</v>
      </c>
      <c r="BK173" s="3">
        <f>'d)Pers.Técnico'!BI121</f>
        <v>0</v>
      </c>
      <c r="BL173" s="3">
        <f>'d)Pers.Técnico'!BJ121</f>
        <v>0</v>
      </c>
      <c r="BM173" s="3">
        <f>'d)Pers.Técnico'!BK121</f>
        <v>0</v>
      </c>
      <c r="BN173" s="14">
        <f>'d)Pers.Técnico'!BL121</f>
        <v>0</v>
      </c>
    </row>
    <row r="174" spans="1:66">
      <c r="A174" s="67"/>
      <c r="B174" s="46" t="str">
        <f>+'d)Pers.Técnico'!B121</f>
        <v/>
      </c>
      <c r="C174" s="127" t="str">
        <f>'d)Pers.Técnico'!C121</f>
        <v/>
      </c>
      <c r="D174" s="52">
        <f>SUM(G173:BN173)</f>
        <v>0</v>
      </c>
      <c r="E174" s="7">
        <f>IF('a)Plantilla'!C60&gt;0,'a)Plantilla'!D60/30,0)</f>
        <v>0</v>
      </c>
      <c r="F174" s="7">
        <f>SUM(G174:BN174)</f>
        <v>0</v>
      </c>
      <c r="G174" s="2">
        <f>IF(TipoProgramaPersonalTecnico=1,$E174*'a)Plantilla'!$C60*Programa!D$13,IF(TipoProgramaPersonalTecnico=2,$E174*G173,$E174/Hjor*G173))</f>
        <v>0</v>
      </c>
      <c r="H174" s="2">
        <f>IF(TipoProgramaPersonalTecnico=1,$E174*'a)Plantilla'!$C60*Programa!D$14,IF(TipoProgramaPersonalTecnico=2,$E174*H173,$E174/Hjor*H173))</f>
        <v>0</v>
      </c>
      <c r="I174" s="2">
        <f>IF(TipoProgramaPersonalTecnico=1,$E174*'a)Plantilla'!$C60*Programa!D$15,IF(TipoProgramaPersonalTecnico=2,$E174*I173,$E174/Hjor*I173))</f>
        <v>0</v>
      </c>
      <c r="J174" s="2">
        <f>IF(TipoProgramaPersonalTecnico=1,$E174*'a)Plantilla'!$C60*Programa!D$16,IF(TipoProgramaPersonalTecnico=2,$E174*J173,$E174/Hjor*J173))</f>
        <v>0</v>
      </c>
      <c r="K174" s="2">
        <f>IF(TipoProgramaPersonalTecnico=1,$E174*'a)Plantilla'!$C60*Programa!D$17,IF(TipoProgramaPersonalTecnico=2,$E174*K173,$E174/Hjor*K173))</f>
        <v>0</v>
      </c>
      <c r="L174" s="2">
        <f>IF(TipoProgramaPersonalTecnico=1,$E174*'a)Plantilla'!$C60*Programa!D$18,IF(TipoProgramaPersonalTecnico=2,$E174*L173,$E174/Hjor*L173))</f>
        <v>0</v>
      </c>
      <c r="M174" s="2">
        <f>IF(TipoProgramaPersonalTecnico=1,$E174*'a)Plantilla'!$C60*Programa!D$19,IF(TipoProgramaPersonalTecnico=2,$E174*M173,$E174/Hjor*M173))</f>
        <v>0</v>
      </c>
      <c r="N174" s="2">
        <f>IF(TipoProgramaPersonalTecnico=1,$E174*'a)Plantilla'!$C60*Programa!D$20,IF(TipoProgramaPersonalTecnico=2,$E174*N173,$E174/Hjor*N173))</f>
        <v>0</v>
      </c>
      <c r="O174" s="2">
        <f>IF(TipoProgramaPersonalTecnico=1,$E174*'a)Plantilla'!$C60*Programa!D$21,IF(TipoProgramaPersonalTecnico=2,$E174*O173,$E174/Hjor*O173))</f>
        <v>0</v>
      </c>
      <c r="P174" s="2">
        <f>IF(TipoProgramaPersonalTecnico=1,$E174*'a)Plantilla'!$C60*Programa!D$22,IF(TipoProgramaPersonalTecnico=2,$E174*P173,$E174/Hjor*P173))</f>
        <v>0</v>
      </c>
      <c r="Q174" s="2">
        <f>IF(TipoProgramaPersonalTecnico=1,$E174*'a)Plantilla'!$C60*Programa!D$23,IF(TipoProgramaPersonalTecnico=2,$E174*Q173,$E174/Hjor*Q173))</f>
        <v>0</v>
      </c>
      <c r="R174" s="12">
        <f>IF(TipoProgramaPersonalTecnico=1,$E174*'a)Plantilla'!$C60*Programa!D$24,IF(TipoProgramaPersonalTecnico=2,$E174*R173,$E174/Hjor*R173))</f>
        <v>0</v>
      </c>
      <c r="S174" s="7">
        <f>IF(TipoProgramaPersonalTecnico=1,$E174*'a)Plantilla'!$C60*Programa!D$25,IF(TipoProgramaPersonalTecnico=2,$E174*S173,$E174/Hjor*S173))</f>
        <v>0</v>
      </c>
      <c r="T174" s="2">
        <f>IF(TipoProgramaPersonalTecnico=1,$E174*'a)Plantilla'!$C60*Programa!D$26,IF(TipoProgramaPersonalTecnico=2,$E174*T173,$E174/Hjor*T173))</f>
        <v>0</v>
      </c>
      <c r="U174" s="2">
        <f>IF(TipoProgramaPersonalTecnico=1,$E174*'a)Plantilla'!$C60*Programa!D$27,IF(TipoProgramaPersonalTecnico=2,$E174*U173,$E174/Hjor*U173))</f>
        <v>0</v>
      </c>
      <c r="V174" s="2">
        <f>IF(TipoProgramaPersonalTecnico=1,$E174*'a)Plantilla'!$C60*Programa!D$28,IF(TipoProgramaPersonalTecnico=2,$E174*V173,$E174/Hjor*V173))</f>
        <v>0</v>
      </c>
      <c r="W174" s="2">
        <f>IF(TipoProgramaPersonalTecnico=1,$E174*'a)Plantilla'!$C60*Programa!D$29,IF(TipoProgramaPersonalTecnico=2,$E174*W173,$E174/Hjor*W173))</f>
        <v>0</v>
      </c>
      <c r="X174" s="2">
        <f>IF(TipoProgramaPersonalTecnico=1,$E174*'a)Plantilla'!$C60*Programa!D$30,IF(TipoProgramaPersonalTecnico=2,$E174*X173,$E174/Hjor*X173))</f>
        <v>0</v>
      </c>
      <c r="Y174" s="2">
        <f>IF(TipoProgramaPersonalTecnico=1,$E174*'a)Plantilla'!$C60*Programa!D$31,IF(TipoProgramaPersonalTecnico=2,$E174*Y173,$E174/Hjor*Y173))</f>
        <v>0</v>
      </c>
      <c r="Z174" s="2">
        <f>IF(TipoProgramaPersonalTecnico=1,$E174*'a)Plantilla'!$C60*Programa!D$32,IF(TipoProgramaPersonalTecnico=2,$E174*Z173,$E174/Hjor*Z173))</f>
        <v>0</v>
      </c>
      <c r="AA174" s="2">
        <f>IF(TipoProgramaPersonalTecnico=1,$E174*'a)Plantilla'!$C60*Programa!D$33,IF(TipoProgramaPersonalTecnico=2,$E174*AA173,$E174/Hjor*AA173))</f>
        <v>0</v>
      </c>
      <c r="AB174" s="2">
        <f>IF(TipoProgramaPersonalTecnico=1,$E174*'a)Plantilla'!$C60*Programa!D$34,IF(TipoProgramaPersonalTecnico=2,$E174*AB173,$E174/Hjor*AB173))</f>
        <v>0</v>
      </c>
      <c r="AC174" s="2">
        <f>IF(TipoProgramaPersonalTecnico=1,$E174*'a)Plantilla'!$C60*Programa!D$35,IF(TipoProgramaPersonalTecnico=2,$E174*AC173,$E174/Hjor*AC173))</f>
        <v>0</v>
      </c>
      <c r="AD174" s="12">
        <f>IF(TipoProgramaPersonalTecnico=1,$E174*'a)Plantilla'!$C60*Programa!D$36,IF(TipoProgramaPersonalTecnico=2,$E174*AD173,$E174/Hjor*AD173))</f>
        <v>0</v>
      </c>
      <c r="AE174" s="7">
        <f>IF(TipoProgramaPersonalTecnico=1,$E174*'a)Plantilla'!$C60*Programa!D$37,IF(TipoProgramaPersonalTecnico=2,$E174*AE173,$E174/Hjor*AE173))</f>
        <v>0</v>
      </c>
      <c r="AF174" s="2">
        <f>IF(TipoProgramaPersonalTecnico=1,$E174*'a)Plantilla'!$C60*Programa!D$38,IF(TipoProgramaPersonalTecnico=2,$E174*AF173,$E174/Hjor*AF173))</f>
        <v>0</v>
      </c>
      <c r="AG174" s="2">
        <f>IF(TipoProgramaPersonalTecnico=1,$E174*'a)Plantilla'!$C60*Programa!D$39,IF(TipoProgramaPersonalTecnico=2,$E174*AG173,$E174/Hjor*AG173))</f>
        <v>0</v>
      </c>
      <c r="AH174" s="2">
        <f>IF(TipoProgramaPersonalTecnico=1,$E174*'a)Plantilla'!$C60*Programa!D$40,IF(TipoProgramaPersonalTecnico=2,$E174*AH173,$E174/Hjor*AH173))</f>
        <v>0</v>
      </c>
      <c r="AI174" s="2">
        <f>IF(TipoProgramaPersonalTecnico=1,$E174*'a)Plantilla'!$C60*Programa!D$41,IF(TipoProgramaPersonalTecnico=2,$E174*AI173,$E174/Hjor*AI173))</f>
        <v>0</v>
      </c>
      <c r="AJ174" s="2">
        <f>IF(TipoProgramaPersonalTecnico=1,$E174*'a)Plantilla'!$C60*Programa!D$42,IF(TipoProgramaPersonalTecnico=2,$E174*AJ173,$E174/Hjor*AJ173))</f>
        <v>0</v>
      </c>
      <c r="AK174" s="2">
        <f>IF(TipoProgramaPersonalTecnico=1,$E174*'a)Plantilla'!$C60*Programa!D$43,IF(TipoProgramaPersonalTecnico=2,$E174*AK173,$E174/Hjor*AK173))</f>
        <v>0</v>
      </c>
      <c r="AL174" s="2">
        <f>IF(TipoProgramaPersonalTecnico=1,$E174*'a)Plantilla'!$C60*Programa!D$44,IF(TipoProgramaPersonalTecnico=2,$E174*AL173,$E174/Hjor*AL173))</f>
        <v>0</v>
      </c>
      <c r="AM174" s="2">
        <f>IF(TipoProgramaPersonalTecnico=1,$E174*'a)Plantilla'!$C60*Programa!D$45,IF(TipoProgramaPersonalTecnico=2,$E174*AM173,$E174/Hjor*AM173))</f>
        <v>0</v>
      </c>
      <c r="AN174" s="2">
        <f>IF(TipoProgramaPersonalTecnico=1,$E174*'a)Plantilla'!$C60*Programa!D$46,IF(TipoProgramaPersonalTecnico=2,$E174*AN173,$E174/Hjor*AN173))</f>
        <v>0</v>
      </c>
      <c r="AO174" s="2">
        <f>IF(TipoProgramaPersonalTecnico=1,$E174*'a)Plantilla'!$C60*Programa!D$47,IF(TipoProgramaPersonalTecnico=2,$E174*AO173,$E174/Hjor*AO173))</f>
        <v>0</v>
      </c>
      <c r="AP174" s="12">
        <f>IF(TipoProgramaPersonalTecnico=1,$E174*'a)Plantilla'!$C60*Programa!D$48,IF(TipoProgramaPersonalTecnico=2,$E174*AP173,$E174/Hjor*AP173))</f>
        <v>0</v>
      </c>
      <c r="AQ174" s="7">
        <f>IF(TipoProgramaPersonalTecnico=1,$E174*'a)Plantilla'!$C60*Programa!D$49,IF(TipoProgramaPersonalTecnico=2,$E174*AQ173,$E174/Hjor*AQ173))</f>
        <v>0</v>
      </c>
      <c r="AR174" s="2">
        <f>IF(TipoProgramaPersonalTecnico=1,$E174*'a)Plantilla'!$C60*Programa!D$50,IF(TipoProgramaPersonalTecnico=2,$E174*AR173,$E174/Hjor*AR173))</f>
        <v>0</v>
      </c>
      <c r="AS174" s="2">
        <f>IF(TipoProgramaPersonalTecnico=1,$E174*'a)Plantilla'!$C60*Programa!D$51,IF(TipoProgramaPersonalTecnico=2,$E174*AS173,$E174/Hjor*AS173))</f>
        <v>0</v>
      </c>
      <c r="AT174" s="2">
        <f>IF(TipoProgramaPersonalTecnico=1,$E174*'a)Plantilla'!$C60*Programa!D$52,IF(TipoProgramaPersonalTecnico=2,$E174*AT173,$E174/Hjor*AT173))</f>
        <v>0</v>
      </c>
      <c r="AU174" s="2">
        <f>IF(TipoProgramaPersonalTecnico=1,$E174*'a)Plantilla'!$C60*Programa!D$53,IF(TipoProgramaPersonalTecnico=2,$E174*AU173,$E174/Hjor*AU173))</f>
        <v>0</v>
      </c>
      <c r="AV174" s="2">
        <f>IF(TipoProgramaPersonalTecnico=1,$E174*'a)Plantilla'!$C60*Programa!D$54,IF(TipoProgramaPersonalTecnico=2,$E174*AV173,$E174/Hjor*AV173))</f>
        <v>0</v>
      </c>
      <c r="AW174" s="2">
        <f>IF(TipoProgramaPersonalTecnico=1,$E174*'a)Plantilla'!$C60*Programa!D$55,IF(TipoProgramaPersonalTecnico=2,$E174*AW173,$E174/Hjor*AW173))</f>
        <v>0</v>
      </c>
      <c r="AX174" s="2">
        <f>IF(TipoProgramaPersonalTecnico=1,$E174*'a)Plantilla'!$C60*Programa!D$56,IF(TipoProgramaPersonalTecnico=2,$E174*AX173,$E174/Hjor*AX173))</f>
        <v>0</v>
      </c>
      <c r="AY174" s="2">
        <f>IF(TipoProgramaPersonalTecnico=1,$E174*'a)Plantilla'!$C60*Programa!D$57,IF(TipoProgramaPersonalTecnico=2,$E174*AY173,$E174/Hjor*AY173))</f>
        <v>0</v>
      </c>
      <c r="AZ174" s="2">
        <f>IF(TipoProgramaPersonalTecnico=1,$E174*'a)Plantilla'!$C60*Programa!D$58,IF(TipoProgramaPersonalTecnico=2,$E174*AZ173,$E174/Hjor*AZ173))</f>
        <v>0</v>
      </c>
      <c r="BA174" s="55">
        <f>IF(TipoProgramaPersonalTecnico=1,$E174*'a)Plantilla'!$C60*Programa!D$59,IF(TipoProgramaPersonalTecnico=2,$E174*BA173,$E174/Hjor*BA173))</f>
        <v>0</v>
      </c>
      <c r="BB174" s="56">
        <f>IF(TipoProgramaPersonalTecnico=1,$E174*'a)Plantilla'!$C60*Programa!D$60,IF(TipoProgramaPersonalTecnico=2,$E174*BB173,$E174/Hjor*BB173))</f>
        <v>0</v>
      </c>
      <c r="BC174" s="53">
        <f>IF(TipoProgramaPersonalTecnico=1,$E174*'a)Plantilla'!$C60*Programa!D$61,IF(TipoProgramaPersonalTecnico=2,$E174*BC173,$E174/Hjor*BC173))</f>
        <v>0</v>
      </c>
      <c r="BD174" s="2">
        <f>IF(TipoProgramaPersonalTecnico=1,$E174*'a)Plantilla'!$C60*Programa!D$62,IF(TipoProgramaPersonalTecnico=2,$E174*BD173,$E174/Hjor*BD173))</f>
        <v>0</v>
      </c>
      <c r="BE174" s="2">
        <f>IF(TipoProgramaPersonalTecnico=1,$E174*'a)Plantilla'!$C60*Programa!D$63,IF(TipoProgramaPersonalTecnico=2,$E174*BE173,$E174/Hjor*BE173))</f>
        <v>0</v>
      </c>
      <c r="BF174" s="2">
        <f>IF(TipoProgramaPersonalTecnico=1,$E174*'a)Plantilla'!$C60*Programa!D$64,IF(TipoProgramaPersonalTecnico=2,$E174*BF173,$E174/Hjor*BF173))</f>
        <v>0</v>
      </c>
      <c r="BG174" s="2">
        <f>IF(TipoProgramaPersonalTecnico=1,$E174*'a)Plantilla'!$C60*Programa!D$65,IF(TipoProgramaPersonalTecnico=2,$E174*BG173,$E174/Hjor*BG173))</f>
        <v>0</v>
      </c>
      <c r="BH174" s="2">
        <f>IF(TipoProgramaPersonalTecnico=1,$E174*'a)Plantilla'!$C60*Programa!D$66,IF(TipoProgramaPersonalTecnico=2,$E174*BH173,$E174/Hjor*BH173))</f>
        <v>0</v>
      </c>
      <c r="BI174" s="2">
        <f>IF(TipoProgramaPersonalTecnico=1,$E174*'a)Plantilla'!$C60*Programa!D$67,IF(TipoProgramaPersonalTecnico=2,$E174*BI173,$E174/Hjor*BI173))</f>
        <v>0</v>
      </c>
      <c r="BJ174" s="2">
        <f>IF(TipoProgramaPersonalTecnico=1,$E174*'a)Plantilla'!$C60*Programa!D$68,IF(TipoProgramaPersonalTecnico=2,$E174*BJ173,$E174/Hjor*BJ173))</f>
        <v>0</v>
      </c>
      <c r="BK174" s="2">
        <f>IF(TipoProgramaPersonalTecnico=1,$E174*'a)Plantilla'!$C60*Programa!D$69,IF(TipoProgramaPersonalTecnico=2,$E174*BK173,$E174/Hjor*BK173))</f>
        <v>0</v>
      </c>
      <c r="BL174" s="2">
        <f>IF(TipoProgramaPersonalTecnico=1,$E174*'a)Plantilla'!$C60*Programa!D$70,IF(TipoProgramaPersonalTecnico=2,$E174*BL173,$E174/Hjor*BL173))</f>
        <v>0</v>
      </c>
      <c r="BM174" s="2">
        <f>IF(TipoProgramaPersonalTecnico=1,$E174*'a)Plantilla'!$C60*Programa!D$71,IF(TipoProgramaPersonalTecnico=2,$E174*BM173,$E174/Hjor*BM173))</f>
        <v>0</v>
      </c>
      <c r="BN174" s="12">
        <f>IF(TipoProgramaPersonalTecnico=1,$E174*'a)Plantilla'!$C60*Programa!D$72,IF(TipoProgramaPersonalTecnico=2,$E174*BN173,$E174/Hjor*BN173))</f>
        <v>0</v>
      </c>
    </row>
    <row r="175" spans="1:66" ht="7.5" customHeight="1">
      <c r="A175" s="67"/>
      <c r="B175" s="19"/>
      <c r="C175" s="127"/>
      <c r="D175" s="54"/>
      <c r="E175" s="19"/>
      <c r="F175" s="19"/>
      <c r="G175" s="1" t="s">
        <v>168</v>
      </c>
      <c r="H175" s="1" t="s">
        <v>168</v>
      </c>
      <c r="I175" s="1" t="s">
        <v>168</v>
      </c>
      <c r="J175" s="1" t="s">
        <v>168</v>
      </c>
      <c r="K175" s="1" t="s">
        <v>168</v>
      </c>
      <c r="L175" s="1" t="s">
        <v>168</v>
      </c>
      <c r="M175" s="1" t="s">
        <v>168</v>
      </c>
      <c r="N175" s="1" t="s">
        <v>168</v>
      </c>
      <c r="O175" s="1" t="s">
        <v>168</v>
      </c>
      <c r="P175" s="1" t="s">
        <v>168</v>
      </c>
      <c r="Q175" s="1" t="s">
        <v>168</v>
      </c>
      <c r="R175" s="8" t="s">
        <v>168</v>
      </c>
      <c r="S175" s="13" t="s">
        <v>168</v>
      </c>
      <c r="T175" s="1" t="s">
        <v>168</v>
      </c>
      <c r="U175" s="1" t="s">
        <v>168</v>
      </c>
      <c r="V175" s="1" t="s">
        <v>168</v>
      </c>
      <c r="W175" s="1" t="s">
        <v>168</v>
      </c>
      <c r="X175" s="1" t="s">
        <v>168</v>
      </c>
      <c r="Y175" s="1" t="s">
        <v>168</v>
      </c>
      <c r="Z175" s="1" t="s">
        <v>168</v>
      </c>
      <c r="AA175" s="1" t="s">
        <v>168</v>
      </c>
      <c r="AB175" s="1" t="s">
        <v>168</v>
      </c>
      <c r="AC175" s="1" t="s">
        <v>168</v>
      </c>
      <c r="AD175" s="8" t="s">
        <v>168</v>
      </c>
      <c r="AE175" s="13" t="s">
        <v>168</v>
      </c>
      <c r="AF175" s="1" t="s">
        <v>168</v>
      </c>
      <c r="AG175" s="1" t="s">
        <v>168</v>
      </c>
      <c r="AH175" s="1" t="s">
        <v>168</v>
      </c>
      <c r="AI175" s="1" t="s">
        <v>168</v>
      </c>
      <c r="AJ175" s="1" t="s">
        <v>168</v>
      </c>
      <c r="AK175" s="1" t="s">
        <v>168</v>
      </c>
      <c r="AL175" s="1" t="s">
        <v>168</v>
      </c>
      <c r="AM175" s="1" t="s">
        <v>168</v>
      </c>
      <c r="AN175" s="1" t="s">
        <v>168</v>
      </c>
      <c r="AO175" s="1" t="s">
        <v>168</v>
      </c>
      <c r="AP175" s="8" t="s">
        <v>168</v>
      </c>
      <c r="AQ175" s="13" t="s">
        <v>168</v>
      </c>
      <c r="AR175" s="1" t="s">
        <v>168</v>
      </c>
      <c r="AS175" s="1" t="s">
        <v>168</v>
      </c>
      <c r="AT175" s="1" t="s">
        <v>168</v>
      </c>
      <c r="AU175" s="1" t="s">
        <v>168</v>
      </c>
      <c r="AV175" s="1" t="s">
        <v>168</v>
      </c>
      <c r="AW175" s="1" t="s">
        <v>168</v>
      </c>
      <c r="AX175" s="1" t="s">
        <v>168</v>
      </c>
      <c r="AY175" s="1" t="s">
        <v>168</v>
      </c>
      <c r="AZ175" s="1" t="s">
        <v>168</v>
      </c>
      <c r="BA175" s="1" t="s">
        <v>168</v>
      </c>
      <c r="BB175" s="8" t="s">
        <v>168</v>
      </c>
      <c r="BC175" s="13" t="s">
        <v>168</v>
      </c>
      <c r="BD175" s="1" t="s">
        <v>168</v>
      </c>
      <c r="BE175" s="1" t="s">
        <v>168</v>
      </c>
      <c r="BF175" s="1" t="s">
        <v>168</v>
      </c>
      <c r="BG175" s="1" t="s">
        <v>168</v>
      </c>
      <c r="BH175" s="1" t="s">
        <v>168</v>
      </c>
      <c r="BI175" s="1" t="s">
        <v>168</v>
      </c>
      <c r="BJ175" s="1" t="s">
        <v>168</v>
      </c>
      <c r="BK175" s="1" t="s">
        <v>168</v>
      </c>
      <c r="BL175" s="1" t="s">
        <v>168</v>
      </c>
      <c r="BM175" s="1" t="s">
        <v>168</v>
      </c>
      <c r="BN175" s="8" t="s">
        <v>168</v>
      </c>
    </row>
    <row r="176" spans="1:66">
      <c r="A176" s="67"/>
      <c r="B176" s="136" t="s">
        <v>168</v>
      </c>
      <c r="C176" s="127"/>
      <c r="D176" s="46"/>
      <c r="E176" s="594" t="s">
        <v>152</v>
      </c>
      <c r="F176" s="59">
        <f>F174+F171+F168+F165+F162+F159+F156+F153+F150+F147+F144+F141+F138+F135+F132</f>
        <v>2874.98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77"/>
      <c r="S176" s="8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77"/>
      <c r="AE176" s="8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77"/>
      <c r="AQ176" s="80"/>
      <c r="AR176" s="10"/>
      <c r="AS176" s="10"/>
      <c r="AT176" s="10"/>
      <c r="AU176" s="10"/>
      <c r="AV176" s="10"/>
      <c r="AW176" s="10"/>
      <c r="AX176" s="10"/>
      <c r="AY176" s="10"/>
      <c r="AZ176" s="10"/>
      <c r="BA176" s="241"/>
      <c r="BB176" s="51"/>
      <c r="BC176" s="199"/>
      <c r="BD176" s="10"/>
      <c r="BE176" s="51"/>
      <c r="BF176" s="51"/>
      <c r="BG176" s="51"/>
      <c r="BH176" s="51"/>
      <c r="BI176" s="51"/>
      <c r="BJ176" s="51"/>
      <c r="BK176" s="51"/>
      <c r="BL176" s="51"/>
      <c r="BM176" s="51"/>
      <c r="BN176" s="77"/>
    </row>
    <row r="177" spans="1:66" ht="11.25" customHeight="1">
      <c r="A177" s="445"/>
      <c r="B177" s="778"/>
      <c r="C177" s="98"/>
      <c r="D177" s="30"/>
      <c r="E177" s="867" t="s">
        <v>273</v>
      </c>
      <c r="F177" s="62">
        <f>F176+F129+F103+F82+F47</f>
        <v>18624.95</v>
      </c>
      <c r="G177" s="62">
        <f t="shared" ref="G177:BN177" si="0">G174+G171+G168+G165+G162+G159+G156+G153+G150+G147+G144+G141+G138+G135+G132+G127+G124+G121+G118+G115+G112+G109+G106+G101+G98+G95+G92+G89+G86+G80+G77+G74+G71+G68+G65+G62+G59+G56+G53+G50+G45+G42+G39+G36+G33+G30+G27+G24+G21</f>
        <v>3973.31</v>
      </c>
      <c r="H177" s="62">
        <f t="shared" si="0"/>
        <v>7449.99</v>
      </c>
      <c r="I177" s="62">
        <f t="shared" si="0"/>
        <v>7201.65</v>
      </c>
      <c r="J177" s="62">
        <f t="shared" si="0"/>
        <v>0</v>
      </c>
      <c r="K177" s="62">
        <f t="shared" si="0"/>
        <v>0</v>
      </c>
      <c r="L177" s="62">
        <f t="shared" si="0"/>
        <v>0</v>
      </c>
      <c r="M177" s="62">
        <f t="shared" si="0"/>
        <v>0</v>
      </c>
      <c r="N177" s="62">
        <f t="shared" si="0"/>
        <v>0</v>
      </c>
      <c r="O177" s="62">
        <f t="shared" si="0"/>
        <v>0</v>
      </c>
      <c r="P177" s="62">
        <f t="shared" si="0"/>
        <v>0</v>
      </c>
      <c r="Q177" s="62">
        <f t="shared" si="0"/>
        <v>0</v>
      </c>
      <c r="R177" s="152">
        <f t="shared" si="0"/>
        <v>0</v>
      </c>
      <c r="S177" s="62">
        <f t="shared" si="0"/>
        <v>0</v>
      </c>
      <c r="T177" s="62">
        <f t="shared" si="0"/>
        <v>0</v>
      </c>
      <c r="U177" s="62">
        <f t="shared" si="0"/>
        <v>0</v>
      </c>
      <c r="V177" s="62">
        <f t="shared" si="0"/>
        <v>0</v>
      </c>
      <c r="W177" s="62">
        <f t="shared" si="0"/>
        <v>0</v>
      </c>
      <c r="X177" s="62">
        <f t="shared" si="0"/>
        <v>0</v>
      </c>
      <c r="Y177" s="62">
        <f t="shared" si="0"/>
        <v>0</v>
      </c>
      <c r="Z177" s="62">
        <f t="shared" si="0"/>
        <v>0</v>
      </c>
      <c r="AA177" s="62">
        <f t="shared" si="0"/>
        <v>0</v>
      </c>
      <c r="AB177" s="62">
        <f t="shared" si="0"/>
        <v>0</v>
      </c>
      <c r="AC177" s="62">
        <f t="shared" si="0"/>
        <v>0</v>
      </c>
      <c r="AD177" s="152">
        <f t="shared" si="0"/>
        <v>0</v>
      </c>
      <c r="AE177" s="62">
        <f t="shared" si="0"/>
        <v>0</v>
      </c>
      <c r="AF177" s="62">
        <f t="shared" si="0"/>
        <v>0</v>
      </c>
      <c r="AG177" s="62">
        <f t="shared" si="0"/>
        <v>0</v>
      </c>
      <c r="AH177" s="62">
        <f t="shared" si="0"/>
        <v>0</v>
      </c>
      <c r="AI177" s="62">
        <f t="shared" si="0"/>
        <v>0</v>
      </c>
      <c r="AJ177" s="62">
        <f t="shared" si="0"/>
        <v>0</v>
      </c>
      <c r="AK177" s="62">
        <f t="shared" si="0"/>
        <v>0</v>
      </c>
      <c r="AL177" s="62">
        <f t="shared" si="0"/>
        <v>0</v>
      </c>
      <c r="AM177" s="62">
        <f t="shared" si="0"/>
        <v>0</v>
      </c>
      <c r="AN177" s="62">
        <f t="shared" si="0"/>
        <v>0</v>
      </c>
      <c r="AO177" s="62">
        <f t="shared" si="0"/>
        <v>0</v>
      </c>
      <c r="AP177" s="152">
        <f t="shared" si="0"/>
        <v>0</v>
      </c>
      <c r="AQ177" s="62">
        <f t="shared" si="0"/>
        <v>0</v>
      </c>
      <c r="AR177" s="62">
        <f t="shared" si="0"/>
        <v>0</v>
      </c>
      <c r="AS177" s="62">
        <f t="shared" si="0"/>
        <v>0</v>
      </c>
      <c r="AT177" s="62">
        <f t="shared" si="0"/>
        <v>0</v>
      </c>
      <c r="AU177" s="62">
        <f t="shared" si="0"/>
        <v>0</v>
      </c>
      <c r="AV177" s="62">
        <f t="shared" si="0"/>
        <v>0</v>
      </c>
      <c r="AW177" s="62">
        <f t="shared" si="0"/>
        <v>0</v>
      </c>
      <c r="AX177" s="62">
        <f t="shared" si="0"/>
        <v>0</v>
      </c>
      <c r="AY177" s="62">
        <f t="shared" si="0"/>
        <v>0</v>
      </c>
      <c r="AZ177" s="62">
        <f t="shared" si="0"/>
        <v>0</v>
      </c>
      <c r="BA177" s="582">
        <f t="shared" si="0"/>
        <v>0</v>
      </c>
      <c r="BB177" s="119">
        <f t="shared" si="0"/>
        <v>0</v>
      </c>
      <c r="BC177" s="1009">
        <f t="shared" si="0"/>
        <v>0</v>
      </c>
      <c r="BD177" s="119">
        <f t="shared" si="0"/>
        <v>0</v>
      </c>
      <c r="BE177" s="119">
        <f t="shared" si="0"/>
        <v>0</v>
      </c>
      <c r="BF177" s="119">
        <f t="shared" si="0"/>
        <v>0</v>
      </c>
      <c r="BG177" s="119">
        <f t="shared" si="0"/>
        <v>0</v>
      </c>
      <c r="BH177" s="119">
        <f t="shared" si="0"/>
        <v>0</v>
      </c>
      <c r="BI177" s="119">
        <f t="shared" si="0"/>
        <v>0</v>
      </c>
      <c r="BJ177" s="119">
        <f t="shared" si="0"/>
        <v>0</v>
      </c>
      <c r="BK177" s="119">
        <f t="shared" si="0"/>
        <v>0</v>
      </c>
      <c r="BL177" s="119">
        <f t="shared" si="0"/>
        <v>0</v>
      </c>
      <c r="BM177" s="119">
        <f t="shared" si="0"/>
        <v>0</v>
      </c>
      <c r="BN177" s="152">
        <f t="shared" si="0"/>
        <v>0</v>
      </c>
    </row>
    <row r="178" spans="1:66" ht="11.25" customHeight="1" thickBot="1">
      <c r="A178" s="161"/>
      <c r="B178" s="238"/>
      <c r="C178" s="673"/>
      <c r="D178" s="29"/>
      <c r="E178" s="564" t="s">
        <v>99</v>
      </c>
      <c r="F178" s="63"/>
      <c r="G178" s="63">
        <f>IF(G177&gt;0,G177,0)</f>
        <v>3973.31</v>
      </c>
      <c r="H178" s="63">
        <f t="shared" ref="H178:BN178" si="1">IF(H177&gt;0,G178+H177,0)</f>
        <v>11423.3</v>
      </c>
      <c r="I178" s="63">
        <f t="shared" si="1"/>
        <v>18624.95</v>
      </c>
      <c r="J178" s="63">
        <f t="shared" si="1"/>
        <v>0</v>
      </c>
      <c r="K178" s="63">
        <f t="shared" si="1"/>
        <v>0</v>
      </c>
      <c r="L178" s="63">
        <f t="shared" si="1"/>
        <v>0</v>
      </c>
      <c r="M178" s="63">
        <f t="shared" si="1"/>
        <v>0</v>
      </c>
      <c r="N178" s="63">
        <f t="shared" si="1"/>
        <v>0</v>
      </c>
      <c r="O178" s="63">
        <f t="shared" si="1"/>
        <v>0</v>
      </c>
      <c r="P178" s="63">
        <f t="shared" si="1"/>
        <v>0</v>
      </c>
      <c r="Q178" s="63">
        <f t="shared" si="1"/>
        <v>0</v>
      </c>
      <c r="R178" s="258">
        <f t="shared" si="1"/>
        <v>0</v>
      </c>
      <c r="S178" s="63">
        <f t="shared" si="1"/>
        <v>0</v>
      </c>
      <c r="T178" s="63">
        <f t="shared" si="1"/>
        <v>0</v>
      </c>
      <c r="U178" s="63">
        <f t="shared" si="1"/>
        <v>0</v>
      </c>
      <c r="V178" s="63">
        <f t="shared" si="1"/>
        <v>0</v>
      </c>
      <c r="W178" s="63">
        <f t="shared" si="1"/>
        <v>0</v>
      </c>
      <c r="X178" s="63">
        <f t="shared" si="1"/>
        <v>0</v>
      </c>
      <c r="Y178" s="63">
        <f t="shared" si="1"/>
        <v>0</v>
      </c>
      <c r="Z178" s="63">
        <f t="shared" si="1"/>
        <v>0</v>
      </c>
      <c r="AA178" s="63">
        <f t="shared" si="1"/>
        <v>0</v>
      </c>
      <c r="AB178" s="63">
        <f t="shared" si="1"/>
        <v>0</v>
      </c>
      <c r="AC178" s="63">
        <f t="shared" si="1"/>
        <v>0</v>
      </c>
      <c r="AD178" s="258">
        <f t="shared" si="1"/>
        <v>0</v>
      </c>
      <c r="AE178" s="63">
        <f t="shared" si="1"/>
        <v>0</v>
      </c>
      <c r="AF178" s="63">
        <f t="shared" si="1"/>
        <v>0</v>
      </c>
      <c r="AG178" s="63">
        <f t="shared" si="1"/>
        <v>0</v>
      </c>
      <c r="AH178" s="63">
        <f t="shared" si="1"/>
        <v>0</v>
      </c>
      <c r="AI178" s="63">
        <f t="shared" si="1"/>
        <v>0</v>
      </c>
      <c r="AJ178" s="63">
        <f t="shared" si="1"/>
        <v>0</v>
      </c>
      <c r="AK178" s="63">
        <f t="shared" si="1"/>
        <v>0</v>
      </c>
      <c r="AL178" s="63">
        <f t="shared" si="1"/>
        <v>0</v>
      </c>
      <c r="AM178" s="63">
        <f t="shared" si="1"/>
        <v>0</v>
      </c>
      <c r="AN178" s="63">
        <f t="shared" si="1"/>
        <v>0</v>
      </c>
      <c r="AO178" s="63">
        <f t="shared" si="1"/>
        <v>0</v>
      </c>
      <c r="AP178" s="258">
        <f t="shared" si="1"/>
        <v>0</v>
      </c>
      <c r="AQ178" s="63">
        <f t="shared" si="1"/>
        <v>0</v>
      </c>
      <c r="AR178" s="63">
        <f t="shared" si="1"/>
        <v>0</v>
      </c>
      <c r="AS178" s="63">
        <f t="shared" si="1"/>
        <v>0</v>
      </c>
      <c r="AT178" s="63">
        <f t="shared" si="1"/>
        <v>0</v>
      </c>
      <c r="AU178" s="63">
        <f t="shared" si="1"/>
        <v>0</v>
      </c>
      <c r="AV178" s="63">
        <f t="shared" si="1"/>
        <v>0</v>
      </c>
      <c r="AW178" s="63">
        <f t="shared" si="1"/>
        <v>0</v>
      </c>
      <c r="AX178" s="63">
        <f t="shared" si="1"/>
        <v>0</v>
      </c>
      <c r="AY178" s="63">
        <f t="shared" si="1"/>
        <v>0</v>
      </c>
      <c r="AZ178" s="63">
        <f t="shared" si="1"/>
        <v>0</v>
      </c>
      <c r="BA178" s="882">
        <f t="shared" si="1"/>
        <v>0</v>
      </c>
      <c r="BB178" s="125">
        <f t="shared" si="1"/>
        <v>0</v>
      </c>
      <c r="BC178" s="1031">
        <f t="shared" si="1"/>
        <v>0</v>
      </c>
      <c r="BD178" s="125">
        <f t="shared" si="1"/>
        <v>0</v>
      </c>
      <c r="BE178" s="125">
        <f t="shared" si="1"/>
        <v>0</v>
      </c>
      <c r="BF178" s="125">
        <f t="shared" si="1"/>
        <v>0</v>
      </c>
      <c r="BG178" s="125">
        <f t="shared" si="1"/>
        <v>0</v>
      </c>
      <c r="BH178" s="125">
        <f t="shared" si="1"/>
        <v>0</v>
      </c>
      <c r="BI178" s="125">
        <f t="shared" si="1"/>
        <v>0</v>
      </c>
      <c r="BJ178" s="125">
        <f t="shared" si="1"/>
        <v>0</v>
      </c>
      <c r="BK178" s="125">
        <f t="shared" si="1"/>
        <v>0</v>
      </c>
      <c r="BL178" s="125">
        <f t="shared" si="1"/>
        <v>0</v>
      </c>
      <c r="BM178" s="125">
        <f t="shared" si="1"/>
        <v>0</v>
      </c>
      <c r="BN178" s="258">
        <f t="shared" si="1"/>
        <v>0</v>
      </c>
    </row>
    <row r="179" spans="1:66" ht="13.5" thickTop="1">
      <c r="F179" s="686"/>
      <c r="BA179" s="23"/>
    </row>
    <row r="180" spans="1:66">
      <c r="F180" s="66"/>
      <c r="BA180" s="23"/>
      <c r="BN180" s="207"/>
    </row>
    <row r="181" spans="1:66">
      <c r="F181" s="537"/>
      <c r="BA181" s="23"/>
    </row>
    <row r="182" spans="1:66">
      <c r="F182" s="537"/>
      <c r="BA182" s="23"/>
    </row>
    <row r="183" spans="1:66">
      <c r="F183" s="537"/>
      <c r="BA183" s="23"/>
    </row>
    <row r="184" spans="1:66">
      <c r="BA184" s="23"/>
    </row>
    <row r="185" spans="1:66">
      <c r="BA185" s="23"/>
    </row>
    <row r="186" spans="1:66">
      <c r="BA186" s="23"/>
    </row>
  </sheetData>
  <mergeCells count="17">
    <mergeCell ref="C14:C15"/>
    <mergeCell ref="D14:D15"/>
    <mergeCell ref="E5:L7"/>
    <mergeCell ref="U5:AB7"/>
    <mergeCell ref="AG5:AN7"/>
    <mergeCell ref="BL4:BM4"/>
    <mergeCell ref="AS5:AZ7"/>
    <mergeCell ref="BE5:BL7"/>
    <mergeCell ref="AS1:AZ3"/>
    <mergeCell ref="BE1:BL3"/>
    <mergeCell ref="I4:J4"/>
    <mergeCell ref="AB4:AC4"/>
    <mergeCell ref="AN4:AO4"/>
    <mergeCell ref="AZ4:BA4"/>
    <mergeCell ref="E1:N3"/>
    <mergeCell ref="U1:AB3"/>
    <mergeCell ref="AG1:AN3"/>
  </mergeCells>
  <conditionalFormatting sqref="A25:F25">
    <cfRule type="expression" dxfId="3" priority="1" stopIfTrue="1">
      <formula>AND($D$21&gt;0)</formula>
    </cfRule>
  </conditionalFormatting>
  <conditionalFormatting sqref="A22:F22 A28:F28 A31:F31 A34:F34 A37:F37 A40:F40 A43:F43 A46:F46 A51:F51 A54:F54 A57:F57 A60:F60 A63:F63 A66:F66 A69:F69 A72:F72 A75:F75 A78:F78 A81:F81 A87:F87 A90:F90 A93:F93 A96:F96 A99:F99 A102:F102 A107:F107 A110:F110 A113:F113 A116:F116 A119:F119 A122:F122 A125:F125 A128:F128 A133:F133 A136:F136 A139:F139 A142:F142 A145:F145 A148:F148 A151:F151 A154:F154 A157:F157 A160:F160 A163:F163 A166:F166 A169:F169 A172:F172 A175:F175">
    <cfRule type="expression" dxfId="2" priority="2" stopIfTrue="1">
      <formula>AND($D21&gt;0)</formula>
    </cfRule>
  </conditionalFormatting>
  <conditionalFormatting sqref="G22:BN22 G25:BN25 G28:BN28 G31:BN31 G34:BN34 G37:BN37 G40:BN40 G43:BN43 G46:BN46 G51:BN51 G54:BN54 G57:BN57 G60:BN60 G63:BN63 G66:BN66 G69:BN69 G72:BN72 G75:BN75 G78:BN78 G81:BN81 G87:BN87 G90:BN90 G93:BN93 G96:BN96 G99:BN99 G102:BN102 G107:BN107 G110:BN110 G113:BN113 G116:BN116 G119:BN119 G122:BN122 G125:BN125 G128:BN128 G133:BN133 G136:BN136 G139:BN139 G142:BN142 G145:BN145 G148:BN148 G151:BN151 G154:BN154 G157:BN157 G160:BN160 G163:BN163 G166:BN166 G169:BN169 G172:BN172 G175:BN175">
    <cfRule type="expression" dxfId="1" priority="3" stopIfTrue="1">
      <formula>AND($D21&gt;0,G$16&gt;=PeriodoInicial,G$16&lt;=PeriodoFinal)</formula>
    </cfRule>
  </conditionalFormatting>
  <pageMargins left="0.27559055118110237" right="0.39370078740157483" top="0.39370078740157483" bottom="0.31496062992125984" header="0" footer="0"/>
  <pageSetup scale="68" orientation="landscape" horizontalDpi="300" verticalDpi="300" r:id="rId1"/>
  <headerFooter alignWithMargins="0"/>
  <rowBreaks count="3" manualBreakCount="3">
    <brk id="47" max="63" man="1"/>
    <brk id="82" max="16383" man="1"/>
    <brk id="129" max="63" man="1"/>
  </rowBreaks>
  <colBreaks count="4" manualBreakCount="4">
    <brk id="18" max="1048575" man="1"/>
    <brk id="30" max="1048575" man="1"/>
    <brk id="42" max="1048575" man="1"/>
    <brk id="54" max="17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BT43"/>
  <sheetViews>
    <sheetView topLeftCell="A25" zoomScale="140" zoomScaleNormal="140" workbookViewId="0">
      <selection activeCell="G37" sqref="G37"/>
    </sheetView>
  </sheetViews>
  <sheetFormatPr baseColWidth="10" defaultColWidth="9.140625" defaultRowHeight="11.25"/>
  <cols>
    <col min="1" max="1" width="1" style="270" customWidth="1"/>
    <col min="2" max="2" width="39.85546875" style="270" customWidth="1"/>
    <col min="3" max="11" width="11.42578125" style="270" customWidth="1"/>
    <col min="12" max="62" width="11.42578125" style="270" hidden="1" customWidth="1"/>
    <col min="63" max="63" width="12.85546875" style="270" hidden="1" customWidth="1"/>
    <col min="64" max="64" width="11.7109375" style="270" hidden="1" customWidth="1"/>
    <col min="65" max="71" width="10" style="270" hidden="1" customWidth="1"/>
    <col min="72" max="72" width="11.28515625" style="270" customWidth="1"/>
    <col min="73" max="16384" width="9.140625" style="270"/>
  </cols>
  <sheetData>
    <row r="1" spans="2:72" ht="13.5" thickTop="1">
      <c r="B1" s="1147" t="str">
        <f>nombrecliente</f>
        <v>AYUNTAMIENTO DE CUERNAVACA_x000D_
SECRETARÍA DE DESARROLLO URBANO Y OBRAS PÚBLICAS</v>
      </c>
      <c r="C1" s="1148"/>
      <c r="D1" s="1148"/>
      <c r="E1" s="1148"/>
      <c r="F1" s="416" t="str">
        <f>"LICITACION "&amp;numerodeconcurso&amp;" QUE SE CELEBRARA EN "</f>
        <v xml:space="preserve">LICITACION A.D.03/R33/DLyCOP/OP444/2022 QUE SE CELEBRARA EN </v>
      </c>
      <c r="G1" s="163"/>
      <c r="H1" s="163"/>
      <c r="I1" s="163"/>
      <c r="J1" s="974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  <c r="AG1" s="1096"/>
      <c r="AH1" s="1096"/>
      <c r="AI1" s="1096"/>
      <c r="AJ1" s="1096"/>
      <c r="AK1" s="1096"/>
      <c r="AL1" s="1096"/>
      <c r="AM1" s="1096"/>
      <c r="AN1" s="1096"/>
      <c r="AO1" s="1096"/>
      <c r="AP1" s="1096"/>
      <c r="AQ1" s="1096"/>
      <c r="AR1" s="1096"/>
      <c r="AS1" s="1096"/>
      <c r="AT1" s="1096"/>
      <c r="AU1" s="1096"/>
      <c r="AV1" s="1096"/>
      <c r="AW1" s="1096"/>
      <c r="AX1" s="1096"/>
      <c r="AY1" s="1096"/>
      <c r="AZ1" s="1096"/>
      <c r="BA1" s="1096"/>
      <c r="BB1" s="1096"/>
      <c r="BC1" s="1096"/>
      <c r="BD1" s="1096"/>
      <c r="BE1" s="1096"/>
      <c r="BF1" s="1096"/>
      <c r="BG1" s="1096"/>
      <c r="BH1" s="1096"/>
      <c r="BI1" s="1096"/>
      <c r="BJ1" s="1096"/>
      <c r="BK1" s="1096"/>
      <c r="BL1" s="1096"/>
      <c r="BM1" s="1096"/>
      <c r="BN1" s="1096"/>
      <c r="BO1" s="1096"/>
      <c r="BP1" s="1096"/>
      <c r="BQ1" s="1096"/>
      <c r="BR1" s="1096"/>
      <c r="BS1" s="1096"/>
      <c r="BT1" s="1097"/>
    </row>
    <row r="2" spans="2:72" ht="12.75">
      <c r="B2" s="1149"/>
      <c r="C2" s="1150"/>
      <c r="D2" s="1150"/>
      <c r="E2" s="1150"/>
      <c r="F2" s="412" t="str">
        <f>"LUGAR DE CELEBRACION  " &amp;direcciondeconcurso</f>
        <v>LUGAR DE CELEBRACION  CUERNAVACA, MORELOS</v>
      </c>
      <c r="G2" s="208"/>
      <c r="H2" s="561"/>
      <c r="I2" s="208"/>
      <c r="J2" s="772"/>
      <c r="K2" s="1092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1011"/>
    </row>
    <row r="3" spans="2:72">
      <c r="B3" s="1149"/>
      <c r="C3" s="1150"/>
      <c r="D3" s="1150"/>
      <c r="E3" s="1150"/>
      <c r="F3" s="190"/>
      <c r="G3" s="31" t="s">
        <v>39</v>
      </c>
      <c r="H3" s="1151">
        <f>fechadeconcurso</f>
        <v>44778</v>
      </c>
      <c r="I3" s="1151"/>
      <c r="J3" s="565"/>
      <c r="K3" s="1162" t="s">
        <v>543</v>
      </c>
      <c r="L3" s="1163"/>
      <c r="M3" s="1163"/>
      <c r="N3" s="1163"/>
      <c r="O3" s="1163"/>
      <c r="P3" s="1163"/>
      <c r="Q3" s="1163"/>
      <c r="R3" s="1163"/>
      <c r="S3" s="1163"/>
      <c r="T3" s="1163"/>
      <c r="U3" s="1163"/>
      <c r="V3" s="1163"/>
      <c r="W3" s="1163"/>
      <c r="X3" s="1163"/>
      <c r="Y3" s="1163"/>
      <c r="Z3" s="1163"/>
      <c r="AA3" s="1163"/>
      <c r="AB3" s="1163"/>
      <c r="AC3" s="1163"/>
      <c r="AD3" s="1163"/>
      <c r="AE3" s="1163"/>
      <c r="AF3" s="1163"/>
      <c r="AG3" s="1163"/>
      <c r="AH3" s="1163"/>
      <c r="AI3" s="1163"/>
      <c r="AJ3" s="1163"/>
      <c r="AK3" s="1163"/>
      <c r="AL3" s="1163"/>
      <c r="AM3" s="1163"/>
      <c r="AN3" s="1163"/>
      <c r="AO3" s="1163"/>
      <c r="AP3" s="1163"/>
      <c r="AQ3" s="1163"/>
      <c r="AR3" s="1163"/>
      <c r="AS3" s="1163"/>
      <c r="AT3" s="1163"/>
      <c r="AU3" s="1163"/>
      <c r="AV3" s="1163"/>
      <c r="AW3" s="1163"/>
      <c r="AX3" s="1163"/>
      <c r="AY3" s="1163"/>
      <c r="AZ3" s="1163"/>
      <c r="BA3" s="1163"/>
      <c r="BB3" s="1163"/>
      <c r="BC3" s="1163"/>
      <c r="BD3" s="1163"/>
      <c r="BE3" s="1163"/>
      <c r="BF3" s="1163"/>
      <c r="BG3" s="1163"/>
      <c r="BH3" s="1163"/>
      <c r="BI3" s="1163"/>
      <c r="BJ3" s="1163"/>
      <c r="BK3" s="1163"/>
      <c r="BL3" s="1163"/>
      <c r="BM3" s="1163"/>
      <c r="BN3" s="1163"/>
      <c r="BO3" s="1163"/>
      <c r="BP3" s="1163"/>
      <c r="BQ3" s="1163"/>
      <c r="BR3" s="1163"/>
      <c r="BS3" s="1163"/>
      <c r="BT3" s="1164"/>
    </row>
    <row r="4" spans="2:72" ht="12.75">
      <c r="B4" s="526" t="s">
        <v>168</v>
      </c>
      <c r="C4" s="362"/>
      <c r="D4" s="362"/>
      <c r="E4" s="180"/>
      <c r="F4" s="1152" t="str">
        <f>nombredelaobra</f>
        <v>CONSTRUCCIÓN DE TECHUMBRE DE LA CANCHA DE USOS MÚLTIPLES EN CUERNAVACA, EN LA LOCALIDAD DE SATÉLITE EN LA UNIDAD DEPORTIVA LOS PINOS, UBICACIÓN: CALLE MAGNOLIA, ESQ. CON CALLE GERANIO, COL SATÉLITE, DELEGACIÓN: VICENTE GUERRERO, CUERNAVACA, MORELOS</v>
      </c>
      <c r="G4" s="1153"/>
      <c r="H4" s="1153"/>
      <c r="I4" s="1153"/>
      <c r="J4" s="1154"/>
      <c r="K4" s="1162" t="s">
        <v>544</v>
      </c>
      <c r="L4" s="1163"/>
      <c r="M4" s="1163"/>
      <c r="N4" s="1163"/>
      <c r="O4" s="1163"/>
      <c r="P4" s="1163"/>
      <c r="Q4" s="1163"/>
      <c r="R4" s="1163"/>
      <c r="S4" s="1163"/>
      <c r="T4" s="1163"/>
      <c r="U4" s="1163"/>
      <c r="V4" s="1163"/>
      <c r="W4" s="1163"/>
      <c r="X4" s="1163"/>
      <c r="Y4" s="1163"/>
      <c r="Z4" s="1163"/>
      <c r="AA4" s="1163"/>
      <c r="AB4" s="1163"/>
      <c r="AC4" s="1163"/>
      <c r="AD4" s="1163"/>
      <c r="AE4" s="1163"/>
      <c r="AF4" s="1163"/>
      <c r="AG4" s="1163"/>
      <c r="AH4" s="1163"/>
      <c r="AI4" s="1163"/>
      <c r="AJ4" s="1163"/>
      <c r="AK4" s="1163"/>
      <c r="AL4" s="1163"/>
      <c r="AM4" s="1163"/>
      <c r="AN4" s="1163"/>
      <c r="AO4" s="1163"/>
      <c r="AP4" s="1163"/>
      <c r="AQ4" s="1163"/>
      <c r="AR4" s="1163"/>
      <c r="AS4" s="1163"/>
      <c r="AT4" s="1163"/>
      <c r="AU4" s="1163"/>
      <c r="AV4" s="1163"/>
      <c r="AW4" s="1163"/>
      <c r="AX4" s="1163"/>
      <c r="AY4" s="1163"/>
      <c r="AZ4" s="1163"/>
      <c r="BA4" s="1163"/>
      <c r="BB4" s="1163"/>
      <c r="BC4" s="1163"/>
      <c r="BD4" s="1163"/>
      <c r="BE4" s="1163"/>
      <c r="BF4" s="1163"/>
      <c r="BG4" s="1163"/>
      <c r="BH4" s="1163"/>
      <c r="BI4" s="1163"/>
      <c r="BJ4" s="1163"/>
      <c r="BK4" s="1163"/>
      <c r="BL4" s="1163"/>
      <c r="BM4" s="1163"/>
      <c r="BN4" s="1163"/>
      <c r="BO4" s="1163"/>
      <c r="BP4" s="1163"/>
      <c r="BQ4" s="1163"/>
      <c r="BR4" s="1163"/>
      <c r="BS4" s="1163"/>
      <c r="BT4" s="1164"/>
    </row>
    <row r="5" spans="2:72" ht="12.75">
      <c r="B5" s="551" t="str">
        <f>area</f>
        <v>AREA</v>
      </c>
      <c r="C5" s="126"/>
      <c r="D5" s="126"/>
      <c r="E5" s="180"/>
      <c r="F5" s="1152"/>
      <c r="G5" s="1153"/>
      <c r="H5" s="1153"/>
      <c r="I5" s="1153"/>
      <c r="J5" s="1154"/>
      <c r="K5" s="1098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1073"/>
    </row>
    <row r="6" spans="2:72" ht="42.75" customHeight="1">
      <c r="B6" s="413"/>
      <c r="C6" s="347"/>
      <c r="D6" s="347"/>
      <c r="E6" s="166"/>
      <c r="F6" s="1152"/>
      <c r="G6" s="1153"/>
      <c r="H6" s="1153"/>
      <c r="I6" s="1153"/>
      <c r="J6" s="1154"/>
      <c r="K6" s="1100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1101"/>
    </row>
    <row r="7" spans="2:72" ht="12.75">
      <c r="B7" s="173" t="s">
        <v>168</v>
      </c>
      <c r="C7" s="333"/>
      <c r="D7" s="333"/>
      <c r="E7" s="128"/>
      <c r="F7" s="619" t="str">
        <f>direcciondelaobra&amp;", "&amp;ciudaddelaobra&amp;", "&amp;estadodelaobra</f>
        <v xml:space="preserve"> CALLE MAGNOLIA, ESQ. CON CALLE GERANIO, COL SATÉLITE, CUERNAVACA, Morelos</v>
      </c>
      <c r="G7" s="128"/>
      <c r="H7" s="128"/>
      <c r="I7" s="128"/>
      <c r="J7" s="475"/>
      <c r="K7" s="1092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1073"/>
    </row>
    <row r="8" spans="2:72" ht="12.75">
      <c r="B8" s="451" t="str">
        <f>razonsocial</f>
        <v>COMDIFIER S. R. L. DE C.V.</v>
      </c>
      <c r="C8" s="305"/>
      <c r="D8" s="305"/>
      <c r="E8" s="107"/>
      <c r="F8" s="964"/>
      <c r="G8" s="272" t="str">
        <f>responsable</f>
        <v>ARQ. JORGE PULIDO GUZMÁNN</v>
      </c>
      <c r="H8" s="107"/>
      <c r="I8" s="107"/>
      <c r="J8" s="884"/>
      <c r="K8" s="1093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1073"/>
    </row>
    <row r="9" spans="2:72" ht="13.5" thickBot="1">
      <c r="B9" s="524" t="s">
        <v>104</v>
      </c>
      <c r="C9" s="346"/>
      <c r="D9" s="346"/>
      <c r="E9" s="110"/>
      <c r="F9" s="1005"/>
      <c r="G9" s="263" t="str">
        <f>cargo</f>
        <v>REPRESENTANTE LEGAL</v>
      </c>
      <c r="H9" s="110"/>
      <c r="I9" s="110"/>
      <c r="J9" s="1053"/>
      <c r="K9" s="1005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1099"/>
    </row>
    <row r="10" spans="2:72" ht="12" thickTop="1">
      <c r="B10" s="28"/>
      <c r="C10" s="28"/>
      <c r="D10" s="28"/>
      <c r="E10" s="28"/>
      <c r="F10" s="28"/>
      <c r="G10" s="28"/>
      <c r="H10" s="28"/>
      <c r="I10" s="28"/>
      <c r="J10" s="28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</row>
    <row r="11" spans="2:72">
      <c r="B11" s="32" t="s">
        <v>168</v>
      </c>
      <c r="C11" s="32"/>
      <c r="D11" s="32" t="s">
        <v>7</v>
      </c>
      <c r="E11" s="32"/>
      <c r="F11" s="32"/>
      <c r="G11" s="32"/>
      <c r="H11" s="32"/>
      <c r="I11" s="32"/>
      <c r="J11" s="32"/>
      <c r="K11" s="1094"/>
      <c r="L11" s="1094"/>
      <c r="M11" s="1094"/>
      <c r="N11" s="1094"/>
      <c r="O11" s="1094"/>
      <c r="P11" s="1094"/>
      <c r="Q11" s="1094"/>
      <c r="R11" s="1094"/>
      <c r="S11" s="1094"/>
      <c r="T11" s="1094"/>
      <c r="U11" s="1094"/>
      <c r="V11" s="1094"/>
      <c r="W11" s="1094"/>
      <c r="X11" s="1094"/>
      <c r="Y11" s="1094"/>
      <c r="Z11" s="1094"/>
      <c r="AA11" s="1094"/>
      <c r="AB11" s="1094"/>
      <c r="AC11" s="1094"/>
      <c r="AD11" s="1094"/>
      <c r="AE11" s="1094"/>
      <c r="AF11" s="1094"/>
      <c r="AG11" s="1094"/>
      <c r="AH11" s="1094"/>
      <c r="AI11" s="1094"/>
      <c r="AJ11" s="1094"/>
      <c r="AK11" s="1094"/>
      <c r="AL11" s="1094"/>
      <c r="AM11" s="1094"/>
      <c r="AN11" s="1094"/>
      <c r="AO11" s="1094"/>
      <c r="AP11" s="1094"/>
      <c r="AQ11" s="1094"/>
      <c r="AR11" s="1094"/>
      <c r="AS11" s="1094"/>
      <c r="AT11" s="1094"/>
      <c r="AU11" s="1094"/>
      <c r="AV11" s="1094"/>
      <c r="AW11" s="1094"/>
      <c r="AX11" s="1094"/>
      <c r="AY11" s="1094"/>
      <c r="AZ11" s="1094"/>
      <c r="BA11" s="1094"/>
      <c r="BB11" s="1094"/>
      <c r="BC11" s="1094"/>
      <c r="BD11" s="1094"/>
      <c r="BE11" s="1094"/>
      <c r="BF11" s="1094"/>
      <c r="BG11" s="1094"/>
      <c r="BH11" s="1094"/>
      <c r="BI11" s="1094"/>
      <c r="BJ11" s="1094"/>
      <c r="BK11" s="1094"/>
      <c r="BL11" s="1094"/>
      <c r="BM11" s="1094"/>
      <c r="BN11" s="1094"/>
      <c r="BO11" s="1094"/>
      <c r="BP11" s="1094"/>
      <c r="BQ11" s="1094"/>
      <c r="BR11" s="1094"/>
      <c r="BS11" s="1094"/>
      <c r="BT11" s="1094"/>
    </row>
    <row r="12" spans="2:72" ht="13.5" thickBot="1">
      <c r="B12" s="642" t="s">
        <v>110</v>
      </c>
      <c r="C12" s="611">
        <f>PeriodoInicialCobro</f>
        <v>3</v>
      </c>
      <c r="D12" s="28"/>
      <c r="E12" s="28"/>
      <c r="F12" s="28"/>
      <c r="G12" s="28"/>
      <c r="H12" s="28"/>
      <c r="I12" s="28"/>
      <c r="J12" s="28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</row>
    <row r="13" spans="2:72" ht="12" thickTop="1">
      <c r="B13" s="1157" t="s">
        <v>97</v>
      </c>
      <c r="C13" s="1155" t="s">
        <v>71</v>
      </c>
      <c r="D13" s="1156"/>
      <c r="E13" s="1156"/>
      <c r="F13" s="1156"/>
      <c r="G13" s="1156"/>
      <c r="H13" s="1156"/>
      <c r="I13" s="1156"/>
      <c r="J13" s="1156"/>
      <c r="K13" s="1156"/>
      <c r="L13" s="1156"/>
      <c r="M13" s="1156"/>
      <c r="N13" s="1156"/>
      <c r="O13" s="1156"/>
      <c r="P13" s="1156"/>
      <c r="Q13" s="1156"/>
      <c r="R13" s="1156"/>
      <c r="S13" s="1156"/>
      <c r="T13" s="1156"/>
      <c r="U13" s="1156"/>
      <c r="V13" s="1156"/>
      <c r="W13" s="1156"/>
      <c r="X13" s="1156"/>
      <c r="Y13" s="1156"/>
      <c r="Z13" s="1156"/>
      <c r="AA13" s="1156"/>
      <c r="AB13" s="1156"/>
      <c r="AC13" s="1156"/>
      <c r="AD13" s="1156"/>
      <c r="AE13" s="1156"/>
      <c r="AF13" s="1156"/>
      <c r="AG13" s="1156"/>
      <c r="AH13" s="1156"/>
      <c r="AI13" s="1156"/>
      <c r="AJ13" s="1156"/>
      <c r="AK13" s="1156"/>
      <c r="AL13" s="1156"/>
      <c r="AM13" s="1156"/>
      <c r="AN13" s="1156"/>
      <c r="AO13" s="1156"/>
      <c r="AP13" s="1156"/>
      <c r="AQ13" s="1156"/>
      <c r="AR13" s="1156"/>
      <c r="AS13" s="1156"/>
      <c r="AT13" s="1156"/>
      <c r="AU13" s="1156"/>
      <c r="AV13" s="1156"/>
      <c r="AW13" s="1156"/>
      <c r="AX13" s="1156"/>
      <c r="AY13" s="1156"/>
      <c r="AZ13" s="1156"/>
      <c r="BA13" s="1156"/>
      <c r="BB13" s="1156"/>
      <c r="BC13" s="1156"/>
      <c r="BD13" s="1156"/>
      <c r="BE13" s="1156"/>
      <c r="BF13" s="1156"/>
      <c r="BG13" s="1156"/>
      <c r="BH13" s="1156"/>
      <c r="BI13" s="1156"/>
      <c r="BJ13" s="1156"/>
      <c r="BK13" s="1156"/>
      <c r="BL13" s="1156"/>
      <c r="BM13" s="1156"/>
      <c r="BN13" s="1156"/>
      <c r="BO13" s="1156"/>
      <c r="BP13" s="1156"/>
      <c r="BQ13" s="1156"/>
      <c r="BR13" s="1156"/>
      <c r="BS13" s="1156"/>
      <c r="BT13" s="865"/>
    </row>
    <row r="14" spans="2:72">
      <c r="B14" s="1158"/>
      <c r="C14" s="9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539"/>
    </row>
    <row r="15" spans="2:72" hidden="1">
      <c r="B15" s="1158"/>
      <c r="C15" s="91">
        <v>1</v>
      </c>
      <c r="D15" s="17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  <c r="AC15" s="17">
        <v>27</v>
      </c>
      <c r="AD15" s="17">
        <v>28</v>
      </c>
      <c r="AE15" s="17">
        <v>29</v>
      </c>
      <c r="AF15" s="17">
        <v>30</v>
      </c>
      <c r="AG15" s="17">
        <v>31</v>
      </c>
      <c r="AH15" s="17">
        <v>32</v>
      </c>
      <c r="AI15" s="17">
        <v>33</v>
      </c>
      <c r="AJ15" s="17">
        <v>34</v>
      </c>
      <c r="AK15" s="17">
        <v>35</v>
      </c>
      <c r="AL15" s="17">
        <v>36</v>
      </c>
      <c r="AM15" s="17">
        <v>37</v>
      </c>
      <c r="AN15" s="17">
        <v>38</v>
      </c>
      <c r="AO15" s="17">
        <v>39</v>
      </c>
      <c r="AP15" s="17">
        <v>40</v>
      </c>
      <c r="AQ15" s="17">
        <v>41</v>
      </c>
      <c r="AR15" s="17">
        <v>42</v>
      </c>
      <c r="AS15" s="17">
        <v>43</v>
      </c>
      <c r="AT15" s="17">
        <v>44</v>
      </c>
      <c r="AU15" s="17">
        <v>45</v>
      </c>
      <c r="AV15" s="17">
        <v>46</v>
      </c>
      <c r="AW15" s="17">
        <v>47</v>
      </c>
      <c r="AX15" s="17">
        <v>48</v>
      </c>
      <c r="AY15" s="17">
        <v>49</v>
      </c>
      <c r="AZ15" s="17">
        <v>50</v>
      </c>
      <c r="BA15" s="17">
        <v>51</v>
      </c>
      <c r="BB15" s="17">
        <v>52</v>
      </c>
      <c r="BC15" s="17">
        <v>53</v>
      </c>
      <c r="BD15" s="17">
        <v>54</v>
      </c>
      <c r="BE15" s="17">
        <v>55</v>
      </c>
      <c r="BF15" s="17">
        <v>56</v>
      </c>
      <c r="BG15" s="17">
        <v>57</v>
      </c>
      <c r="BH15" s="17">
        <v>58</v>
      </c>
      <c r="BI15" s="17">
        <v>59</v>
      </c>
      <c r="BJ15" s="17">
        <v>60</v>
      </c>
      <c r="BK15" s="17">
        <v>61</v>
      </c>
      <c r="BL15" s="17">
        <v>62</v>
      </c>
      <c r="BM15" s="17">
        <v>63</v>
      </c>
      <c r="BN15" s="17">
        <v>64</v>
      </c>
      <c r="BO15" s="17">
        <v>65</v>
      </c>
      <c r="BP15" s="17">
        <v>66</v>
      </c>
      <c r="BQ15" s="17">
        <v>67</v>
      </c>
      <c r="BR15" s="17">
        <v>68</v>
      </c>
      <c r="BS15" s="17">
        <v>69</v>
      </c>
      <c r="BT15" s="539"/>
    </row>
    <row r="16" spans="2:72" ht="12" thickBot="1">
      <c r="B16" s="1159"/>
      <c r="C16" s="802" t="str">
        <f>Programa!$C13</f>
        <v>Mes1</v>
      </c>
      <c r="D16" s="34" t="str">
        <f>Programa!$C14</f>
        <v>Mes2</v>
      </c>
      <c r="E16" s="34" t="str">
        <f>Programa!$C15</f>
        <v>Mes3</v>
      </c>
      <c r="F16" s="34">
        <f>Programa!$C16</f>
        <v>0</v>
      </c>
      <c r="G16" s="34">
        <f>Programa!$C17</f>
        <v>0</v>
      </c>
      <c r="H16" s="34">
        <f>Programa!$C18</f>
        <v>0</v>
      </c>
      <c r="I16" s="34">
        <f>Programa!$C19</f>
        <v>0</v>
      </c>
      <c r="J16" s="34">
        <f>Programa!$C20</f>
        <v>0</v>
      </c>
      <c r="K16" s="34">
        <f>Programa!$C21</f>
        <v>0</v>
      </c>
      <c r="L16" s="34">
        <f>Programa!$C22</f>
        <v>0</v>
      </c>
      <c r="M16" s="34">
        <f>Programa!$C23</f>
        <v>0</v>
      </c>
      <c r="N16" s="34">
        <f>Programa!$C24</f>
        <v>0</v>
      </c>
      <c r="O16" s="34">
        <f>Programa!$C25</f>
        <v>0</v>
      </c>
      <c r="P16" s="34">
        <f>Programa!$C26</f>
        <v>0</v>
      </c>
      <c r="Q16" s="34">
        <f>Programa!$C27</f>
        <v>0</v>
      </c>
      <c r="R16" s="34">
        <f>Programa!$C28</f>
        <v>0</v>
      </c>
      <c r="S16" s="34">
        <f>Programa!$C29</f>
        <v>0</v>
      </c>
      <c r="T16" s="34">
        <f>Programa!$C30</f>
        <v>0</v>
      </c>
      <c r="U16" s="34">
        <f>Programa!$C31</f>
        <v>0</v>
      </c>
      <c r="V16" s="34">
        <f>Programa!$C32</f>
        <v>0</v>
      </c>
      <c r="W16" s="34">
        <f>Programa!$C33</f>
        <v>0</v>
      </c>
      <c r="X16" s="34">
        <f>Programa!$C34</f>
        <v>0</v>
      </c>
      <c r="Y16" s="34">
        <f>Programa!$C35</f>
        <v>0</v>
      </c>
      <c r="Z16" s="34">
        <f>Programa!$C36</f>
        <v>0</v>
      </c>
      <c r="AA16" s="34">
        <f>Programa!$C37</f>
        <v>0</v>
      </c>
      <c r="AB16" s="34">
        <f>Programa!$C38</f>
        <v>0</v>
      </c>
      <c r="AC16" s="34">
        <f>Programa!$C39</f>
        <v>0</v>
      </c>
      <c r="AD16" s="34">
        <f>Programa!$C40</f>
        <v>0</v>
      </c>
      <c r="AE16" s="34">
        <f>Programa!$C41</f>
        <v>0</v>
      </c>
      <c r="AF16" s="34">
        <f>Programa!$C42</f>
        <v>0</v>
      </c>
      <c r="AG16" s="34">
        <f>Programa!$C43</f>
        <v>0</v>
      </c>
      <c r="AH16" s="34">
        <f>Programa!$C44</f>
        <v>0</v>
      </c>
      <c r="AI16" s="34">
        <f>Programa!$C45</f>
        <v>0</v>
      </c>
      <c r="AJ16" s="34">
        <f>Programa!$C46</f>
        <v>0</v>
      </c>
      <c r="AK16" s="34">
        <f>Programa!$C47</f>
        <v>0</v>
      </c>
      <c r="AL16" s="34">
        <f>Programa!$C48</f>
        <v>0</v>
      </c>
      <c r="AM16" s="34">
        <f>Programa!$C49</f>
        <v>0</v>
      </c>
      <c r="AN16" s="34">
        <f>Programa!$C50</f>
        <v>0</v>
      </c>
      <c r="AO16" s="34">
        <f>Programa!$C51</f>
        <v>0</v>
      </c>
      <c r="AP16" s="34">
        <f>Programa!$C52</f>
        <v>0</v>
      </c>
      <c r="AQ16" s="34">
        <f>Programa!$C53</f>
        <v>0</v>
      </c>
      <c r="AR16" s="34">
        <f>Programa!$C54</f>
        <v>0</v>
      </c>
      <c r="AS16" s="34">
        <f>Programa!$C55</f>
        <v>0</v>
      </c>
      <c r="AT16" s="34">
        <f>Programa!$C56</f>
        <v>0</v>
      </c>
      <c r="AU16" s="34">
        <f>Programa!$C57</f>
        <v>0</v>
      </c>
      <c r="AV16" s="34">
        <f>Programa!$C58</f>
        <v>0</v>
      </c>
      <c r="AW16" s="34">
        <f>Programa!$C59</f>
        <v>0</v>
      </c>
      <c r="AX16" s="34">
        <f>Programa!$C59</f>
        <v>0</v>
      </c>
      <c r="AY16" s="34">
        <f>Programa!$C61</f>
        <v>0</v>
      </c>
      <c r="AZ16" s="34">
        <f>Programa!$C62</f>
        <v>0</v>
      </c>
      <c r="BA16" s="34">
        <f>Programa!$C63</f>
        <v>0</v>
      </c>
      <c r="BB16" s="34">
        <f>Programa!$C64</f>
        <v>0</v>
      </c>
      <c r="BC16" s="34">
        <f>Programa!$C65</f>
        <v>0</v>
      </c>
      <c r="BD16" s="34">
        <f>Programa!$C66</f>
        <v>0</v>
      </c>
      <c r="BE16" s="34">
        <f>Programa!$C67</f>
        <v>0</v>
      </c>
      <c r="BF16" s="34">
        <f>Programa!$C68</f>
        <v>0</v>
      </c>
      <c r="BG16" s="34">
        <f>Programa!$C69</f>
        <v>0</v>
      </c>
      <c r="BH16" s="34">
        <f>Programa!$C70</f>
        <v>0</v>
      </c>
      <c r="BI16" s="34">
        <f>Programa!$C71</f>
        <v>0</v>
      </c>
      <c r="BJ16" s="34">
        <f>Programa!$C72</f>
        <v>0</v>
      </c>
      <c r="BK16" s="34">
        <f>Programa!$C73</f>
        <v>0</v>
      </c>
      <c r="BL16" s="34">
        <f>Programa!$C74</f>
        <v>0</v>
      </c>
      <c r="BM16" s="34">
        <f>Programa!$C75</f>
        <v>0</v>
      </c>
      <c r="BN16" s="34">
        <f>Programa!$C76</f>
        <v>0</v>
      </c>
      <c r="BO16" s="34">
        <f>Programa!$C77</f>
        <v>0</v>
      </c>
      <c r="BP16" s="34">
        <f>Programa!$C78</f>
        <v>0</v>
      </c>
      <c r="BQ16" s="34">
        <f>Programa!$C79</f>
        <v>0</v>
      </c>
      <c r="BR16" s="34">
        <f>Programa!$C80</f>
        <v>0</v>
      </c>
      <c r="BS16" s="392">
        <f>Programa!$C81</f>
        <v>0</v>
      </c>
      <c r="BT16" s="1054" t="s">
        <v>112</v>
      </c>
    </row>
    <row r="17" spans="2:72" ht="12" thickTop="1">
      <c r="B17" s="861" t="s">
        <v>90</v>
      </c>
      <c r="C17" s="74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539"/>
    </row>
    <row r="18" spans="2:72">
      <c r="B18" s="341" t="str">
        <f>IF(ModeloCalculoFinanciamiento=1, "ESTIMACIONES DE OBRA A IMPORTE TOTAL","ESTIMACIONES DE OBRA COSTO DIRECTO + INDIRECTO")</f>
        <v>ESTIMACIONES DE OBRA COSTO DIRECTO + INDIRECTO</v>
      </c>
      <c r="C18" s="300">
        <f>ImporteParaFinanciamiento*Programa!N13</f>
        <v>9552.2199999999993</v>
      </c>
      <c r="D18" s="5">
        <f>ImporteParaFinanciamiento*Programa!$N14</f>
        <v>193084.98</v>
      </c>
      <c r="E18" s="5">
        <f>ImporteParaFinanciamiento*Programa!$N15</f>
        <v>205855.48</v>
      </c>
      <c r="F18" s="5">
        <f>ImporteParaFinanciamiento*Programa!$N16</f>
        <v>0</v>
      </c>
      <c r="G18" s="5">
        <f>ImporteParaFinanciamiento*Programa!$N17</f>
        <v>0</v>
      </c>
      <c r="H18" s="5">
        <f>ImporteParaFinanciamiento*Programa!$N18</f>
        <v>0</v>
      </c>
      <c r="I18" s="5">
        <f>ImporteParaFinanciamiento*Programa!$N19</f>
        <v>0</v>
      </c>
      <c r="J18" s="5">
        <f>ImporteParaFinanciamiento*Programa!$N20</f>
        <v>0</v>
      </c>
      <c r="K18" s="5">
        <f>ImporteParaFinanciamiento*Programa!$N21</f>
        <v>0</v>
      </c>
      <c r="L18" s="5">
        <f>ImporteParaFinanciamiento*Programa!$N22</f>
        <v>0</v>
      </c>
      <c r="M18" s="5">
        <f>ImporteParaFinanciamiento*Programa!$N23</f>
        <v>0</v>
      </c>
      <c r="N18" s="5">
        <f>ImporteParaFinanciamiento*Programa!$N24</f>
        <v>0</v>
      </c>
      <c r="O18" s="5">
        <f>ImporteParaFinanciamiento*Programa!$N25</f>
        <v>0</v>
      </c>
      <c r="P18" s="5">
        <f>ImporteParaFinanciamiento*Programa!$N26</f>
        <v>0</v>
      </c>
      <c r="Q18" s="5">
        <f>ImporteParaFinanciamiento*Programa!$N27</f>
        <v>0</v>
      </c>
      <c r="R18" s="5">
        <f>ImporteParaFinanciamiento*Programa!$N28</f>
        <v>0</v>
      </c>
      <c r="S18" s="5">
        <f>ImporteParaFinanciamiento*Programa!$N29</f>
        <v>0</v>
      </c>
      <c r="T18" s="5">
        <f>ImporteParaFinanciamiento*Programa!$N30</f>
        <v>0</v>
      </c>
      <c r="U18" s="5">
        <f>ImporteParaFinanciamiento*Programa!$N31</f>
        <v>0</v>
      </c>
      <c r="V18" s="5">
        <f>ImporteParaFinanciamiento*Programa!$N32</f>
        <v>0</v>
      </c>
      <c r="W18" s="5">
        <f>ImporteParaFinanciamiento*Programa!$N33</f>
        <v>0</v>
      </c>
      <c r="X18" s="5">
        <f>ImporteParaFinanciamiento*Programa!$N34</f>
        <v>0</v>
      </c>
      <c r="Y18" s="5">
        <f>ImporteParaFinanciamiento*Programa!$N35</f>
        <v>0</v>
      </c>
      <c r="Z18" s="5">
        <f>ImporteParaFinanciamiento*Programa!$N36</f>
        <v>0</v>
      </c>
      <c r="AA18" s="5">
        <f>ImporteParaFinanciamiento*Programa!$N37</f>
        <v>0</v>
      </c>
      <c r="AB18" s="5">
        <f>ImporteParaFinanciamiento*Programa!$N38</f>
        <v>0</v>
      </c>
      <c r="AC18" s="5">
        <f>ImporteParaFinanciamiento*Programa!$N39</f>
        <v>0</v>
      </c>
      <c r="AD18" s="5">
        <f>ImporteParaFinanciamiento*Programa!$N40</f>
        <v>0</v>
      </c>
      <c r="AE18" s="5">
        <f>ImporteParaFinanciamiento*Programa!$N41</f>
        <v>0</v>
      </c>
      <c r="AF18" s="5">
        <f>ImporteParaFinanciamiento*Programa!$N42</f>
        <v>0</v>
      </c>
      <c r="AG18" s="5">
        <f>ImporteParaFinanciamiento*Programa!$N43</f>
        <v>0</v>
      </c>
      <c r="AH18" s="5">
        <f>ImporteParaFinanciamiento*Programa!$N44</f>
        <v>0</v>
      </c>
      <c r="AI18" s="5">
        <f>ImporteParaFinanciamiento*Programa!$N45</f>
        <v>0</v>
      </c>
      <c r="AJ18" s="5">
        <f>ImporteParaFinanciamiento*Programa!$N46</f>
        <v>0</v>
      </c>
      <c r="AK18" s="5">
        <f>ImporteParaFinanciamiento*Programa!$N47</f>
        <v>0</v>
      </c>
      <c r="AL18" s="5">
        <f>ImporteParaFinanciamiento*Programa!$N48</f>
        <v>0</v>
      </c>
      <c r="AM18" s="5">
        <f>ImporteParaFinanciamiento*Programa!$N49</f>
        <v>0</v>
      </c>
      <c r="AN18" s="5">
        <f>ImporteParaFinanciamiento*Programa!$N50</f>
        <v>0</v>
      </c>
      <c r="AO18" s="5">
        <f>ImporteParaFinanciamiento*Programa!$N51</f>
        <v>0</v>
      </c>
      <c r="AP18" s="5">
        <f>ImporteParaFinanciamiento*Programa!$N52</f>
        <v>0</v>
      </c>
      <c r="AQ18" s="5">
        <f>ImporteParaFinanciamiento*Programa!$N53</f>
        <v>0</v>
      </c>
      <c r="AR18" s="5">
        <f>ImporteParaFinanciamiento*Programa!$N54</f>
        <v>0</v>
      </c>
      <c r="AS18" s="5">
        <f>ImporteParaFinanciamiento*Programa!$N55</f>
        <v>0</v>
      </c>
      <c r="AT18" s="5">
        <f>ImporteParaFinanciamiento*Programa!$N56</f>
        <v>0</v>
      </c>
      <c r="AU18" s="5">
        <f>ImporteParaFinanciamiento*Programa!$N57</f>
        <v>0</v>
      </c>
      <c r="AV18" s="5">
        <f>ImporteParaFinanciamiento*Programa!$N58</f>
        <v>0</v>
      </c>
      <c r="AW18" s="5">
        <f>ImporteParaFinanciamiento*Programa!$N59</f>
        <v>0</v>
      </c>
      <c r="AX18" s="5">
        <f>ImporteParaFinanciamiento*Programa!$N60</f>
        <v>0</v>
      </c>
      <c r="AY18" s="5">
        <f>ImporteParaFinanciamiento*Programa!$N61</f>
        <v>0</v>
      </c>
      <c r="AZ18" s="5">
        <f>ImporteParaFinanciamiento*Programa!$N62</f>
        <v>0</v>
      </c>
      <c r="BA18" s="5">
        <f>ImporteParaFinanciamiento*Programa!$N63</f>
        <v>0</v>
      </c>
      <c r="BB18" s="5">
        <f>ImporteParaFinanciamiento*Programa!$N64</f>
        <v>0</v>
      </c>
      <c r="BC18" s="5">
        <f>ImporteParaFinanciamiento*Programa!$N65</f>
        <v>0</v>
      </c>
      <c r="BD18" s="5">
        <f>ImporteParaFinanciamiento*Programa!$N66</f>
        <v>0</v>
      </c>
      <c r="BE18" s="5">
        <f>ImporteParaFinanciamiento*Programa!$N67</f>
        <v>0</v>
      </c>
      <c r="BF18" s="5">
        <f>ImporteParaFinanciamiento*Programa!$N68</f>
        <v>0</v>
      </c>
      <c r="BG18" s="5">
        <f>ImporteParaFinanciamiento*Programa!$N69</f>
        <v>0</v>
      </c>
      <c r="BH18" s="5">
        <f>ImporteParaFinanciamiento*Programa!$N70</f>
        <v>0</v>
      </c>
      <c r="BI18" s="5">
        <f>ImporteParaFinanciamiento*Programa!$N71</f>
        <v>0</v>
      </c>
      <c r="BJ18" s="5">
        <f>ImporteParaFinanciamiento*Programa!$N72</f>
        <v>0</v>
      </c>
      <c r="BK18" s="5"/>
      <c r="BL18" s="5"/>
      <c r="BM18" s="5"/>
      <c r="BN18" s="5"/>
      <c r="BO18" s="5"/>
      <c r="BP18" s="5"/>
      <c r="BQ18" s="5"/>
      <c r="BR18" s="5"/>
      <c r="BS18" s="205"/>
      <c r="BT18" s="256">
        <f>SUM(C18:BS18)</f>
        <v>408492.68</v>
      </c>
    </row>
    <row r="19" spans="2:72">
      <c r="B19" s="341" t="s">
        <v>433</v>
      </c>
      <c r="C19" s="300">
        <f>'f)Financiamiento'!M32</f>
        <v>0</v>
      </c>
      <c r="D19" s="5">
        <f>'f)Financiamiento'!$M33</f>
        <v>0</v>
      </c>
      <c r="E19" s="5">
        <f>'f)Financiamiento'!$M34</f>
        <v>2865.67</v>
      </c>
      <c r="F19" s="5">
        <f>'f)Financiamiento'!$M35</f>
        <v>57925.49</v>
      </c>
      <c r="G19" s="5">
        <f>'f)Financiamiento'!$M36</f>
        <v>61756.639999999999</v>
      </c>
      <c r="H19" s="5">
        <f>'f)Financiamiento'!$M37</f>
        <v>0</v>
      </c>
      <c r="I19" s="5">
        <f>'f)Financiamiento'!$M38</f>
        <v>0</v>
      </c>
      <c r="J19" s="5">
        <f>'f)Financiamiento'!$M39</f>
        <v>0</v>
      </c>
      <c r="K19" s="5">
        <f>'f)Financiamiento'!$M40</f>
        <v>0</v>
      </c>
      <c r="L19" s="5">
        <f>'f)Financiamiento'!$M41</f>
        <v>0</v>
      </c>
      <c r="M19" s="5">
        <f>'f)Financiamiento'!$M42</f>
        <v>0</v>
      </c>
      <c r="N19" s="5">
        <f>'f)Financiamiento'!$M43</f>
        <v>0</v>
      </c>
      <c r="O19" s="5">
        <f>'f)Financiamiento'!$M44</f>
        <v>0</v>
      </c>
      <c r="P19" s="5">
        <f>'f)Financiamiento'!$M45</f>
        <v>0</v>
      </c>
      <c r="Q19" s="5">
        <f>'f)Financiamiento'!$M46</f>
        <v>0</v>
      </c>
      <c r="R19" s="5">
        <f>'f)Financiamiento'!$M47</f>
        <v>0</v>
      </c>
      <c r="S19" s="5">
        <f>'f)Financiamiento'!$M48</f>
        <v>0</v>
      </c>
      <c r="T19" s="5">
        <f>'f)Financiamiento'!$M49</f>
        <v>0</v>
      </c>
      <c r="U19" s="5">
        <f>'f)Financiamiento'!$M50</f>
        <v>0</v>
      </c>
      <c r="V19" s="5">
        <f>'f)Financiamiento'!$M51</f>
        <v>0</v>
      </c>
      <c r="W19" s="5">
        <f>'f)Financiamiento'!$M52</f>
        <v>0</v>
      </c>
      <c r="X19" s="5">
        <f>'f)Financiamiento'!$M53</f>
        <v>0</v>
      </c>
      <c r="Y19" s="5">
        <f>'f)Financiamiento'!$M54</f>
        <v>0</v>
      </c>
      <c r="Z19" s="5">
        <f>'f)Financiamiento'!$M55</f>
        <v>0</v>
      </c>
      <c r="AA19" s="5">
        <f>'f)Financiamiento'!$M56</f>
        <v>0</v>
      </c>
      <c r="AB19" s="5">
        <f>'f)Financiamiento'!$M57</f>
        <v>0</v>
      </c>
      <c r="AC19" s="5">
        <f>'f)Financiamiento'!$M58</f>
        <v>0</v>
      </c>
      <c r="AD19" s="5">
        <f>'f)Financiamiento'!$M59</f>
        <v>0</v>
      </c>
      <c r="AE19" s="5">
        <f>'f)Financiamiento'!$M60</f>
        <v>0</v>
      </c>
      <c r="AF19" s="5">
        <f>'f)Financiamiento'!$M61</f>
        <v>0</v>
      </c>
      <c r="AG19" s="5">
        <f>'f)Financiamiento'!$M62</f>
        <v>0</v>
      </c>
      <c r="AH19" s="5">
        <f>'f)Financiamiento'!$M63</f>
        <v>0</v>
      </c>
      <c r="AI19" s="5">
        <f>'f)Financiamiento'!$M64</f>
        <v>0</v>
      </c>
      <c r="AJ19" s="5">
        <f>'f)Financiamiento'!$M65</f>
        <v>0</v>
      </c>
      <c r="AK19" s="5">
        <f>'f)Financiamiento'!$M66</f>
        <v>0</v>
      </c>
      <c r="AL19" s="5">
        <f>'f)Financiamiento'!$M67</f>
        <v>0</v>
      </c>
      <c r="AM19" s="5">
        <f>'f)Financiamiento'!$M68</f>
        <v>0</v>
      </c>
      <c r="AN19" s="5">
        <f>'f)Financiamiento'!$M69</f>
        <v>0</v>
      </c>
      <c r="AO19" s="5">
        <f>'f)Financiamiento'!$M70</f>
        <v>0</v>
      </c>
      <c r="AP19" s="5">
        <f>'f)Financiamiento'!$M71</f>
        <v>0</v>
      </c>
      <c r="AQ19" s="5">
        <f>'f)Financiamiento'!$M72</f>
        <v>0</v>
      </c>
      <c r="AR19" s="5">
        <f>'f)Financiamiento'!$M73</f>
        <v>0</v>
      </c>
      <c r="AS19" s="5">
        <f>'f)Financiamiento'!$M74</f>
        <v>0</v>
      </c>
      <c r="AT19" s="5">
        <f>'f)Financiamiento'!$M75</f>
        <v>0</v>
      </c>
      <c r="AU19" s="5">
        <f>'f)Financiamiento'!$M76</f>
        <v>0</v>
      </c>
      <c r="AV19" s="5">
        <f>'f)Financiamiento'!$M77</f>
        <v>0</v>
      </c>
      <c r="AW19" s="5">
        <f>'f)Financiamiento'!$M78</f>
        <v>0</v>
      </c>
      <c r="AX19" s="5">
        <f>'f)Financiamiento'!$M79</f>
        <v>0</v>
      </c>
      <c r="AY19" s="5">
        <f>'f)Financiamiento'!$M80</f>
        <v>0</v>
      </c>
      <c r="AZ19" s="5">
        <f>'f)Financiamiento'!$M81</f>
        <v>0</v>
      </c>
      <c r="BA19" s="5">
        <f>'f)Financiamiento'!$M82</f>
        <v>0</v>
      </c>
      <c r="BB19" s="5">
        <f>'f)Financiamiento'!$M83</f>
        <v>0</v>
      </c>
      <c r="BC19" s="5">
        <f>'f)Financiamiento'!$M84</f>
        <v>0</v>
      </c>
      <c r="BD19" s="5">
        <f>'f)Financiamiento'!$M85</f>
        <v>0</v>
      </c>
      <c r="BE19" s="5">
        <f>'f)Financiamiento'!$M86</f>
        <v>0</v>
      </c>
      <c r="BF19" s="5">
        <f>'f)Financiamiento'!$M87</f>
        <v>0</v>
      </c>
      <c r="BG19" s="5">
        <f>'f)Financiamiento'!$M88</f>
        <v>0</v>
      </c>
      <c r="BH19" s="5">
        <f>'f)Financiamiento'!$M89</f>
        <v>0</v>
      </c>
      <c r="BI19" s="5">
        <f>'f)Financiamiento'!$M90</f>
        <v>0</v>
      </c>
      <c r="BJ19" s="5">
        <f>'f)Financiamiento'!$M91</f>
        <v>0</v>
      </c>
      <c r="BK19" s="5">
        <f>'f)Financiamiento'!$M92</f>
        <v>0</v>
      </c>
      <c r="BL19" s="5">
        <f>'f)Financiamiento'!$M93</f>
        <v>0</v>
      </c>
      <c r="BM19" s="5">
        <f>'f)Financiamiento'!$M94</f>
        <v>0</v>
      </c>
      <c r="BN19" s="5">
        <f>'f)Financiamiento'!$M95</f>
        <v>0</v>
      </c>
      <c r="BO19" s="5">
        <f>'f)Financiamiento'!$M96</f>
        <v>0</v>
      </c>
      <c r="BP19" s="5">
        <f>'f)Financiamiento'!$M97</f>
        <v>0</v>
      </c>
      <c r="BQ19" s="5">
        <f>'f)Financiamiento'!$M98</f>
        <v>0</v>
      </c>
      <c r="BR19" s="5">
        <f>'f)Financiamiento'!$M99</f>
        <v>0</v>
      </c>
      <c r="BS19" s="205">
        <f>'f)Financiamiento'!$M100</f>
        <v>0</v>
      </c>
      <c r="BT19" s="256">
        <f>SUM(C19:BS19)</f>
        <v>122547.8</v>
      </c>
    </row>
    <row r="20" spans="2:72">
      <c r="B20" s="341" t="s">
        <v>454</v>
      </c>
      <c r="C20" s="300">
        <f>'f)Financiamiento'!O32</f>
        <v>0</v>
      </c>
      <c r="D20" s="5">
        <f>'f)Financiamiento'!$O33</f>
        <v>0</v>
      </c>
      <c r="E20" s="5">
        <f>'f)Financiamiento'!$O34</f>
        <v>6686.55</v>
      </c>
      <c r="F20" s="5">
        <f>'f)Financiamiento'!$O35</f>
        <v>135159.49</v>
      </c>
      <c r="G20" s="5">
        <f>'f)Financiamiento'!$O36</f>
        <v>144098.84</v>
      </c>
      <c r="H20" s="5">
        <f>'f)Financiamiento'!$O37</f>
        <v>0</v>
      </c>
      <c r="I20" s="5">
        <f>'f)Financiamiento'!$O38</f>
        <v>0</v>
      </c>
      <c r="J20" s="5">
        <f>'f)Financiamiento'!$O39</f>
        <v>0</v>
      </c>
      <c r="K20" s="5">
        <f>'f)Financiamiento'!$O40</f>
        <v>0</v>
      </c>
      <c r="L20" s="5">
        <f>'f)Financiamiento'!$O41</f>
        <v>0</v>
      </c>
      <c r="M20" s="5">
        <f>'f)Financiamiento'!$O42</f>
        <v>0</v>
      </c>
      <c r="N20" s="5">
        <f>'f)Financiamiento'!$O43</f>
        <v>0</v>
      </c>
      <c r="O20" s="5">
        <f>'f)Financiamiento'!$O44</f>
        <v>0</v>
      </c>
      <c r="P20" s="5">
        <f>'f)Financiamiento'!$O45</f>
        <v>0</v>
      </c>
      <c r="Q20" s="5">
        <f>'f)Financiamiento'!$O46</f>
        <v>0</v>
      </c>
      <c r="R20" s="5">
        <f>'f)Financiamiento'!$O47</f>
        <v>0</v>
      </c>
      <c r="S20" s="5">
        <f>'f)Financiamiento'!$O48</f>
        <v>0</v>
      </c>
      <c r="T20" s="5">
        <f>'f)Financiamiento'!$O49</f>
        <v>0</v>
      </c>
      <c r="U20" s="5">
        <f>'f)Financiamiento'!$O50</f>
        <v>0</v>
      </c>
      <c r="V20" s="5">
        <f>'f)Financiamiento'!$O51</f>
        <v>0</v>
      </c>
      <c r="W20" s="5">
        <f>'f)Financiamiento'!$O52</f>
        <v>0</v>
      </c>
      <c r="X20" s="5">
        <f>'f)Financiamiento'!$O53</f>
        <v>0</v>
      </c>
      <c r="Y20" s="5">
        <f>'f)Financiamiento'!$O54</f>
        <v>0</v>
      </c>
      <c r="Z20" s="5">
        <f>'f)Financiamiento'!$O55</f>
        <v>0</v>
      </c>
      <c r="AA20" s="5">
        <f>'f)Financiamiento'!$O56</f>
        <v>0</v>
      </c>
      <c r="AB20" s="5">
        <f>'f)Financiamiento'!$O57</f>
        <v>0</v>
      </c>
      <c r="AC20" s="5">
        <f>'f)Financiamiento'!$O58</f>
        <v>0</v>
      </c>
      <c r="AD20" s="5">
        <f>'f)Financiamiento'!$O59</f>
        <v>0</v>
      </c>
      <c r="AE20" s="5">
        <f>'f)Financiamiento'!$O60</f>
        <v>0</v>
      </c>
      <c r="AF20" s="5">
        <f>'f)Financiamiento'!$O61</f>
        <v>0</v>
      </c>
      <c r="AG20" s="5">
        <f>'f)Financiamiento'!$O62</f>
        <v>0</v>
      </c>
      <c r="AH20" s="5">
        <f>'f)Financiamiento'!$O63</f>
        <v>0</v>
      </c>
      <c r="AI20" s="5">
        <f>'f)Financiamiento'!$O64</f>
        <v>0</v>
      </c>
      <c r="AJ20" s="5">
        <f>'f)Financiamiento'!$O65</f>
        <v>0</v>
      </c>
      <c r="AK20" s="5">
        <f>'f)Financiamiento'!$O66</f>
        <v>0</v>
      </c>
      <c r="AL20" s="5">
        <f>'f)Financiamiento'!$O67</f>
        <v>0</v>
      </c>
      <c r="AM20" s="5">
        <f>'f)Financiamiento'!$O68</f>
        <v>0</v>
      </c>
      <c r="AN20" s="5">
        <f>'f)Financiamiento'!$O69</f>
        <v>0</v>
      </c>
      <c r="AO20" s="5">
        <f>'f)Financiamiento'!$O70</f>
        <v>0</v>
      </c>
      <c r="AP20" s="5">
        <f>'f)Financiamiento'!$O71</f>
        <v>0</v>
      </c>
      <c r="AQ20" s="5">
        <f>'f)Financiamiento'!$O72</f>
        <v>0</v>
      </c>
      <c r="AR20" s="5">
        <f>'f)Financiamiento'!$O73</f>
        <v>0</v>
      </c>
      <c r="AS20" s="5">
        <f>'f)Financiamiento'!$O74</f>
        <v>0</v>
      </c>
      <c r="AT20" s="5">
        <f>'f)Financiamiento'!$O75</f>
        <v>0</v>
      </c>
      <c r="AU20" s="5">
        <f>'f)Financiamiento'!$O76</f>
        <v>0</v>
      </c>
      <c r="AV20" s="5">
        <f>'f)Financiamiento'!$O77</f>
        <v>0</v>
      </c>
      <c r="AW20" s="5">
        <f>'f)Financiamiento'!$O78</f>
        <v>0</v>
      </c>
      <c r="AX20" s="5">
        <f>'f)Financiamiento'!$O79</f>
        <v>0</v>
      </c>
      <c r="AY20" s="5">
        <f>'f)Financiamiento'!$O80</f>
        <v>0</v>
      </c>
      <c r="AZ20" s="5">
        <f>'f)Financiamiento'!$O81</f>
        <v>0</v>
      </c>
      <c r="BA20" s="5">
        <f>'f)Financiamiento'!$O82</f>
        <v>0</v>
      </c>
      <c r="BB20" s="5">
        <f>'f)Financiamiento'!$O83</f>
        <v>0</v>
      </c>
      <c r="BC20" s="5">
        <f>'f)Financiamiento'!$O84</f>
        <v>0</v>
      </c>
      <c r="BD20" s="5">
        <f>'f)Financiamiento'!$O85</f>
        <v>0</v>
      </c>
      <c r="BE20" s="5">
        <f>'f)Financiamiento'!$O86</f>
        <v>0</v>
      </c>
      <c r="BF20" s="5">
        <f>'f)Financiamiento'!$O87</f>
        <v>0</v>
      </c>
      <c r="BG20" s="5">
        <f>'f)Financiamiento'!$O88</f>
        <v>0</v>
      </c>
      <c r="BH20" s="5">
        <f>'f)Financiamiento'!$O89</f>
        <v>0</v>
      </c>
      <c r="BI20" s="5">
        <f>'f)Financiamiento'!$O90</f>
        <v>0</v>
      </c>
      <c r="BJ20" s="5">
        <f>'f)Financiamiento'!$O91</f>
        <v>0</v>
      </c>
      <c r="BK20" s="5">
        <f>'f)Financiamiento'!$O92</f>
        <v>0</v>
      </c>
      <c r="BL20" s="5">
        <f>'f)Financiamiento'!$O93</f>
        <v>0</v>
      </c>
      <c r="BM20" s="5">
        <f>'f)Financiamiento'!$O94</f>
        <v>0</v>
      </c>
      <c r="BN20" s="5">
        <f>'f)Financiamiento'!$O95</f>
        <v>0</v>
      </c>
      <c r="BO20" s="5">
        <f>'f)Financiamiento'!$O96</f>
        <v>0</v>
      </c>
      <c r="BP20" s="5">
        <f>'f)Financiamiento'!$O97</f>
        <v>0</v>
      </c>
      <c r="BQ20" s="5">
        <f>'f)Financiamiento'!$O98</f>
        <v>0</v>
      </c>
      <c r="BR20" s="5">
        <f>'f)Financiamiento'!$O99</f>
        <v>0</v>
      </c>
      <c r="BS20" s="205">
        <f>'f)Financiamiento'!$O100</f>
        <v>0</v>
      </c>
      <c r="BT20" s="256">
        <f>SUM(C20:BS20)</f>
        <v>285944.88</v>
      </c>
    </row>
    <row r="21" spans="2:72">
      <c r="B21" s="341" t="s">
        <v>271</v>
      </c>
      <c r="C21" s="300">
        <f>ImporteAnticipo1</f>
        <v>173603.9</v>
      </c>
      <c r="D21" s="5">
        <f>'f)Financiamiento'!E32+'f)Financiamiento'!E33</f>
        <v>0</v>
      </c>
      <c r="E21" s="5">
        <f>'f)Financiamiento'!$E34</f>
        <v>0</v>
      </c>
      <c r="F21" s="5">
        <f>'f)Financiamiento'!$E35</f>
        <v>0</v>
      </c>
      <c r="G21" s="5">
        <f>'f)Financiamiento'!$E36</f>
        <v>0</v>
      </c>
      <c r="H21" s="5">
        <f>'f)Financiamiento'!$E37</f>
        <v>0</v>
      </c>
      <c r="I21" s="5">
        <f>'f)Financiamiento'!$E38</f>
        <v>0</v>
      </c>
      <c r="J21" s="5">
        <f>'f)Financiamiento'!$E39</f>
        <v>0</v>
      </c>
      <c r="K21" s="5">
        <f>'f)Financiamiento'!$E40</f>
        <v>0</v>
      </c>
      <c r="L21" s="5">
        <f>'f)Financiamiento'!$E41</f>
        <v>0</v>
      </c>
      <c r="M21" s="5">
        <f>'f)Financiamiento'!$E42</f>
        <v>0</v>
      </c>
      <c r="N21" s="5">
        <f>'f)Financiamiento'!$E43</f>
        <v>0</v>
      </c>
      <c r="O21" s="5">
        <f>'f)Financiamiento'!$E44</f>
        <v>0</v>
      </c>
      <c r="P21" s="5">
        <f>'f)Financiamiento'!$E45</f>
        <v>0</v>
      </c>
      <c r="Q21" s="5">
        <f>'f)Financiamiento'!$E46</f>
        <v>0</v>
      </c>
      <c r="R21" s="5">
        <f>'f)Financiamiento'!$E47</f>
        <v>0</v>
      </c>
      <c r="S21" s="5">
        <f>'f)Financiamiento'!$E48</f>
        <v>0</v>
      </c>
      <c r="T21" s="5">
        <f>'f)Financiamiento'!$E49</f>
        <v>0</v>
      </c>
      <c r="U21" s="5">
        <f>'f)Financiamiento'!$E50</f>
        <v>0</v>
      </c>
      <c r="V21" s="5">
        <f>'f)Financiamiento'!$E51</f>
        <v>0</v>
      </c>
      <c r="W21" s="5">
        <f>'f)Financiamiento'!$E52</f>
        <v>0</v>
      </c>
      <c r="X21" s="5">
        <f>'f)Financiamiento'!$E53</f>
        <v>0</v>
      </c>
      <c r="Y21" s="5">
        <f>'f)Financiamiento'!$E54</f>
        <v>0</v>
      </c>
      <c r="Z21" s="5">
        <f>'f)Financiamiento'!$E55</f>
        <v>0</v>
      </c>
      <c r="AA21" s="5">
        <f>'f)Financiamiento'!$E56</f>
        <v>0</v>
      </c>
      <c r="AB21" s="5">
        <f>'f)Financiamiento'!$E57</f>
        <v>0</v>
      </c>
      <c r="AC21" s="5">
        <f>'f)Financiamiento'!$E58</f>
        <v>0</v>
      </c>
      <c r="AD21" s="5">
        <f>'f)Financiamiento'!$E59</f>
        <v>0</v>
      </c>
      <c r="AE21" s="5">
        <f>'f)Financiamiento'!$E60</f>
        <v>0</v>
      </c>
      <c r="AF21" s="5">
        <f>'f)Financiamiento'!$E61</f>
        <v>0</v>
      </c>
      <c r="AG21" s="5">
        <f>'f)Financiamiento'!$E62</f>
        <v>0</v>
      </c>
      <c r="AH21" s="5">
        <f>'f)Financiamiento'!$E63</f>
        <v>0</v>
      </c>
      <c r="AI21" s="5">
        <f>'f)Financiamiento'!$E64</f>
        <v>0</v>
      </c>
      <c r="AJ21" s="5">
        <f>'f)Financiamiento'!$E65</f>
        <v>0</v>
      </c>
      <c r="AK21" s="5">
        <f>'f)Financiamiento'!$E66</f>
        <v>0</v>
      </c>
      <c r="AL21" s="5">
        <f>'f)Financiamiento'!$E67</f>
        <v>0</v>
      </c>
      <c r="AM21" s="5">
        <f>'f)Financiamiento'!$E68</f>
        <v>0</v>
      </c>
      <c r="AN21" s="5">
        <f>'f)Financiamiento'!$E69</f>
        <v>0</v>
      </c>
      <c r="AO21" s="5">
        <f>'f)Financiamiento'!$E70</f>
        <v>0</v>
      </c>
      <c r="AP21" s="5">
        <f>'f)Financiamiento'!$E71</f>
        <v>0</v>
      </c>
      <c r="AQ21" s="5">
        <f>'f)Financiamiento'!$E72</f>
        <v>0</v>
      </c>
      <c r="AR21" s="5">
        <f>'f)Financiamiento'!$E73</f>
        <v>0</v>
      </c>
      <c r="AS21" s="5">
        <f>'f)Financiamiento'!$E74</f>
        <v>0</v>
      </c>
      <c r="AT21" s="5">
        <f>'f)Financiamiento'!$E75</f>
        <v>0</v>
      </c>
      <c r="AU21" s="5">
        <f>'f)Financiamiento'!$E76</f>
        <v>0</v>
      </c>
      <c r="AV21" s="5">
        <f>'f)Financiamiento'!$E77</f>
        <v>0</v>
      </c>
      <c r="AW21" s="5">
        <f>'f)Financiamiento'!$E78</f>
        <v>0</v>
      </c>
      <c r="AX21" s="5">
        <f>'f)Financiamiento'!$E79</f>
        <v>0</v>
      </c>
      <c r="AY21" s="5">
        <f>'f)Financiamiento'!$E80</f>
        <v>0</v>
      </c>
      <c r="AZ21" s="5">
        <f>'f)Financiamiento'!$E81</f>
        <v>0</v>
      </c>
      <c r="BA21" s="5">
        <f>'f)Financiamiento'!$E82</f>
        <v>0</v>
      </c>
      <c r="BB21" s="5">
        <f>'f)Financiamiento'!$E83</f>
        <v>0</v>
      </c>
      <c r="BC21" s="5">
        <f>'f)Financiamiento'!$E84</f>
        <v>0</v>
      </c>
      <c r="BD21" s="5">
        <f>'f)Financiamiento'!$E85</f>
        <v>0</v>
      </c>
      <c r="BE21" s="5">
        <f>'f)Financiamiento'!$E86</f>
        <v>0</v>
      </c>
      <c r="BF21" s="5">
        <f>'f)Financiamiento'!$E87</f>
        <v>0</v>
      </c>
      <c r="BG21" s="5">
        <f>'f)Financiamiento'!$E88</f>
        <v>0</v>
      </c>
      <c r="BH21" s="5">
        <f>'f)Financiamiento'!$E89</f>
        <v>0</v>
      </c>
      <c r="BI21" s="5">
        <f>'f)Financiamiento'!$E90</f>
        <v>0</v>
      </c>
      <c r="BJ21" s="5">
        <f>'f)Financiamiento'!$E91</f>
        <v>0</v>
      </c>
      <c r="BK21" s="5"/>
      <c r="BL21" s="5"/>
      <c r="BM21" s="5"/>
      <c r="BN21" s="5"/>
      <c r="BO21" s="5"/>
      <c r="BP21" s="5"/>
      <c r="BQ21" s="5"/>
      <c r="BR21" s="5"/>
      <c r="BS21" s="205"/>
      <c r="BT21" s="256">
        <f>SUM(C21:BS21)</f>
        <v>173603.9</v>
      </c>
    </row>
    <row r="22" spans="2:72">
      <c r="B22" s="341" t="s">
        <v>142</v>
      </c>
      <c r="C22" s="300">
        <f>C21+C20</f>
        <v>173603.9</v>
      </c>
      <c r="D22" s="5">
        <f t="shared" ref="D22:BS22" si="0">IF(D15&lt;=PeriodoFinalCobro,C22+D20+D21,0)</f>
        <v>173603.9</v>
      </c>
      <c r="E22" s="5">
        <f t="shared" si="0"/>
        <v>180290.45</v>
      </c>
      <c r="F22" s="5">
        <f t="shared" si="0"/>
        <v>315449.94</v>
      </c>
      <c r="G22" s="5">
        <f t="shared" si="0"/>
        <v>459548.78</v>
      </c>
      <c r="H22" s="5">
        <f t="shared" si="0"/>
        <v>0</v>
      </c>
      <c r="I22" s="5">
        <f t="shared" si="0"/>
        <v>0</v>
      </c>
      <c r="J22" s="5">
        <f t="shared" si="0"/>
        <v>0</v>
      </c>
      <c r="K22" s="5">
        <f t="shared" si="0"/>
        <v>0</v>
      </c>
      <c r="L22" s="5">
        <f t="shared" si="0"/>
        <v>0</v>
      </c>
      <c r="M22" s="5">
        <f t="shared" si="0"/>
        <v>0</v>
      </c>
      <c r="N22" s="5">
        <f t="shared" si="0"/>
        <v>0</v>
      </c>
      <c r="O22" s="5">
        <f t="shared" si="0"/>
        <v>0</v>
      </c>
      <c r="P22" s="5">
        <f t="shared" si="0"/>
        <v>0</v>
      </c>
      <c r="Q22" s="5">
        <f t="shared" si="0"/>
        <v>0</v>
      </c>
      <c r="R22" s="5">
        <f t="shared" si="0"/>
        <v>0</v>
      </c>
      <c r="S22" s="5">
        <f t="shared" si="0"/>
        <v>0</v>
      </c>
      <c r="T22" s="5">
        <f t="shared" si="0"/>
        <v>0</v>
      </c>
      <c r="U22" s="5">
        <f t="shared" si="0"/>
        <v>0</v>
      </c>
      <c r="V22" s="5">
        <f t="shared" si="0"/>
        <v>0</v>
      </c>
      <c r="W22" s="5">
        <f t="shared" si="0"/>
        <v>0</v>
      </c>
      <c r="X22" s="5">
        <f t="shared" si="0"/>
        <v>0</v>
      </c>
      <c r="Y22" s="5">
        <f t="shared" si="0"/>
        <v>0</v>
      </c>
      <c r="Z22" s="5">
        <f t="shared" si="0"/>
        <v>0</v>
      </c>
      <c r="AA22" s="5">
        <f t="shared" si="0"/>
        <v>0</v>
      </c>
      <c r="AB22" s="5">
        <f t="shared" si="0"/>
        <v>0</v>
      </c>
      <c r="AC22" s="5">
        <f t="shared" si="0"/>
        <v>0</v>
      </c>
      <c r="AD22" s="5">
        <f t="shared" si="0"/>
        <v>0</v>
      </c>
      <c r="AE22" s="5">
        <f t="shared" si="0"/>
        <v>0</v>
      </c>
      <c r="AF22" s="5">
        <f t="shared" si="0"/>
        <v>0</v>
      </c>
      <c r="AG22" s="5">
        <f t="shared" si="0"/>
        <v>0</v>
      </c>
      <c r="AH22" s="5">
        <f t="shared" si="0"/>
        <v>0</v>
      </c>
      <c r="AI22" s="5">
        <f t="shared" si="0"/>
        <v>0</v>
      </c>
      <c r="AJ22" s="5">
        <f t="shared" si="0"/>
        <v>0</v>
      </c>
      <c r="AK22" s="5">
        <f t="shared" si="0"/>
        <v>0</v>
      </c>
      <c r="AL22" s="5">
        <f t="shared" si="0"/>
        <v>0</v>
      </c>
      <c r="AM22" s="5">
        <f t="shared" si="0"/>
        <v>0</v>
      </c>
      <c r="AN22" s="5">
        <f t="shared" si="0"/>
        <v>0</v>
      </c>
      <c r="AO22" s="5">
        <f t="shared" si="0"/>
        <v>0</v>
      </c>
      <c r="AP22" s="5">
        <f t="shared" si="0"/>
        <v>0</v>
      </c>
      <c r="AQ22" s="5">
        <f t="shared" si="0"/>
        <v>0</v>
      </c>
      <c r="AR22" s="5">
        <f t="shared" si="0"/>
        <v>0</v>
      </c>
      <c r="AS22" s="5">
        <f t="shared" si="0"/>
        <v>0</v>
      </c>
      <c r="AT22" s="5">
        <f t="shared" si="0"/>
        <v>0</v>
      </c>
      <c r="AU22" s="5">
        <f t="shared" si="0"/>
        <v>0</v>
      </c>
      <c r="AV22" s="5">
        <f t="shared" si="0"/>
        <v>0</v>
      </c>
      <c r="AW22" s="5">
        <f t="shared" si="0"/>
        <v>0</v>
      </c>
      <c r="AX22" s="5">
        <f t="shared" si="0"/>
        <v>0</v>
      </c>
      <c r="AY22" s="5">
        <f t="shared" si="0"/>
        <v>0</v>
      </c>
      <c r="AZ22" s="5">
        <f t="shared" si="0"/>
        <v>0</v>
      </c>
      <c r="BA22" s="5">
        <f t="shared" si="0"/>
        <v>0</v>
      </c>
      <c r="BB22" s="5">
        <f t="shared" si="0"/>
        <v>0</v>
      </c>
      <c r="BC22" s="5">
        <f t="shared" si="0"/>
        <v>0</v>
      </c>
      <c r="BD22" s="5">
        <f t="shared" si="0"/>
        <v>0</v>
      </c>
      <c r="BE22" s="5">
        <f t="shared" si="0"/>
        <v>0</v>
      </c>
      <c r="BF22" s="5">
        <f t="shared" si="0"/>
        <v>0</v>
      </c>
      <c r="BG22" s="5">
        <f t="shared" si="0"/>
        <v>0</v>
      </c>
      <c r="BH22" s="5">
        <f t="shared" si="0"/>
        <v>0</v>
      </c>
      <c r="BI22" s="5">
        <f t="shared" si="0"/>
        <v>0</v>
      </c>
      <c r="BJ22" s="5">
        <f t="shared" si="0"/>
        <v>0</v>
      </c>
      <c r="BK22" s="5">
        <f t="shared" si="0"/>
        <v>0</v>
      </c>
      <c r="BL22" s="5">
        <f t="shared" si="0"/>
        <v>0</v>
      </c>
      <c r="BM22" s="5">
        <f t="shared" si="0"/>
        <v>0</v>
      </c>
      <c r="BN22" s="5">
        <f t="shared" si="0"/>
        <v>0</v>
      </c>
      <c r="BO22" s="5">
        <f t="shared" si="0"/>
        <v>0</v>
      </c>
      <c r="BP22" s="5">
        <f t="shared" si="0"/>
        <v>0</v>
      </c>
      <c r="BQ22" s="5">
        <f t="shared" si="0"/>
        <v>0</v>
      </c>
      <c r="BR22" s="5">
        <f t="shared" si="0"/>
        <v>0</v>
      </c>
      <c r="BS22" s="205">
        <f t="shared" si="0"/>
        <v>0</v>
      </c>
      <c r="BT22" s="363"/>
    </row>
    <row r="23" spans="2:72">
      <c r="B23" s="341"/>
      <c r="C23" s="46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331"/>
      <c r="BT23" s="363"/>
    </row>
    <row r="24" spans="2:72">
      <c r="B24" s="829" t="s">
        <v>185</v>
      </c>
      <c r="C24" s="46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331"/>
      <c r="BT24" s="363"/>
    </row>
    <row r="25" spans="2:72">
      <c r="B25" s="341" t="s">
        <v>535</v>
      </c>
      <c r="C25" s="300">
        <f t="shared" ref="C25:BS25" si="1">C27/((1+$C$26))</f>
        <v>8454.83</v>
      </c>
      <c r="D25" s="5">
        <f t="shared" si="1"/>
        <v>170902.82</v>
      </c>
      <c r="E25" s="5">
        <f t="shared" si="1"/>
        <v>182206.21</v>
      </c>
      <c r="F25" s="5">
        <f t="shared" si="1"/>
        <v>0</v>
      </c>
      <c r="G25" s="5">
        <f t="shared" si="1"/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  <c r="M25" s="5">
        <f t="shared" si="1"/>
        <v>0</v>
      </c>
      <c r="N25" s="5">
        <f t="shared" si="1"/>
        <v>0</v>
      </c>
      <c r="O25" s="5">
        <f t="shared" si="1"/>
        <v>0</v>
      </c>
      <c r="P25" s="5">
        <f t="shared" si="1"/>
        <v>0</v>
      </c>
      <c r="Q25" s="5">
        <f t="shared" si="1"/>
        <v>0</v>
      </c>
      <c r="R25" s="5">
        <f t="shared" si="1"/>
        <v>0</v>
      </c>
      <c r="S25" s="5">
        <f t="shared" si="1"/>
        <v>0</v>
      </c>
      <c r="T25" s="5">
        <f t="shared" si="1"/>
        <v>0</v>
      </c>
      <c r="U25" s="5">
        <f t="shared" si="1"/>
        <v>0</v>
      </c>
      <c r="V25" s="5">
        <f t="shared" si="1"/>
        <v>0</v>
      </c>
      <c r="W25" s="5">
        <f t="shared" si="1"/>
        <v>0</v>
      </c>
      <c r="X25" s="5">
        <f t="shared" si="1"/>
        <v>0</v>
      </c>
      <c r="Y25" s="5">
        <f t="shared" si="1"/>
        <v>0</v>
      </c>
      <c r="Z25" s="5">
        <f t="shared" si="1"/>
        <v>0</v>
      </c>
      <c r="AA25" s="5">
        <f t="shared" si="1"/>
        <v>0</v>
      </c>
      <c r="AB25" s="5">
        <f t="shared" si="1"/>
        <v>0</v>
      </c>
      <c r="AC25" s="5">
        <f t="shared" si="1"/>
        <v>0</v>
      </c>
      <c r="AD25" s="5">
        <f t="shared" si="1"/>
        <v>0</v>
      </c>
      <c r="AE25" s="5">
        <f t="shared" si="1"/>
        <v>0</v>
      </c>
      <c r="AF25" s="5">
        <f t="shared" si="1"/>
        <v>0</v>
      </c>
      <c r="AG25" s="5">
        <f t="shared" si="1"/>
        <v>0</v>
      </c>
      <c r="AH25" s="5">
        <f t="shared" si="1"/>
        <v>0</v>
      </c>
      <c r="AI25" s="5">
        <f t="shared" si="1"/>
        <v>0</v>
      </c>
      <c r="AJ25" s="5">
        <f t="shared" si="1"/>
        <v>0</v>
      </c>
      <c r="AK25" s="5">
        <f t="shared" si="1"/>
        <v>0</v>
      </c>
      <c r="AL25" s="5">
        <f t="shared" si="1"/>
        <v>0</v>
      </c>
      <c r="AM25" s="5">
        <f t="shared" si="1"/>
        <v>0</v>
      </c>
      <c r="AN25" s="5">
        <f t="shared" si="1"/>
        <v>0</v>
      </c>
      <c r="AO25" s="5">
        <f t="shared" si="1"/>
        <v>0</v>
      </c>
      <c r="AP25" s="5">
        <f t="shared" si="1"/>
        <v>0</v>
      </c>
      <c r="AQ25" s="5">
        <f t="shared" si="1"/>
        <v>0</v>
      </c>
      <c r="AR25" s="5">
        <f t="shared" si="1"/>
        <v>0</v>
      </c>
      <c r="AS25" s="5">
        <f t="shared" si="1"/>
        <v>0</v>
      </c>
      <c r="AT25" s="5">
        <f t="shared" si="1"/>
        <v>0</v>
      </c>
      <c r="AU25" s="5">
        <f t="shared" si="1"/>
        <v>0</v>
      </c>
      <c r="AV25" s="5">
        <f t="shared" si="1"/>
        <v>0</v>
      </c>
      <c r="AW25" s="5">
        <f t="shared" si="1"/>
        <v>0</v>
      </c>
      <c r="AX25" s="5">
        <f t="shared" si="1"/>
        <v>0</v>
      </c>
      <c r="AY25" s="5">
        <f t="shared" si="1"/>
        <v>0</v>
      </c>
      <c r="AZ25" s="5">
        <f t="shared" si="1"/>
        <v>0</v>
      </c>
      <c r="BA25" s="5">
        <f t="shared" si="1"/>
        <v>0</v>
      </c>
      <c r="BB25" s="5">
        <f t="shared" si="1"/>
        <v>0</v>
      </c>
      <c r="BC25" s="5">
        <f t="shared" si="1"/>
        <v>0</v>
      </c>
      <c r="BD25" s="5">
        <f t="shared" si="1"/>
        <v>0</v>
      </c>
      <c r="BE25" s="5">
        <f t="shared" si="1"/>
        <v>0</v>
      </c>
      <c r="BF25" s="5">
        <f t="shared" si="1"/>
        <v>0</v>
      </c>
      <c r="BG25" s="5">
        <f t="shared" si="1"/>
        <v>0</v>
      </c>
      <c r="BH25" s="5">
        <f t="shared" si="1"/>
        <v>0</v>
      </c>
      <c r="BI25" s="5">
        <f t="shared" si="1"/>
        <v>0</v>
      </c>
      <c r="BJ25" s="5">
        <f t="shared" si="1"/>
        <v>0</v>
      </c>
      <c r="BK25" s="5">
        <f t="shared" si="1"/>
        <v>0</v>
      </c>
      <c r="BL25" s="5">
        <f t="shared" si="1"/>
        <v>0</v>
      </c>
      <c r="BM25" s="5">
        <f t="shared" si="1"/>
        <v>0</v>
      </c>
      <c r="BN25" s="5">
        <f t="shared" si="1"/>
        <v>0</v>
      </c>
      <c r="BO25" s="5">
        <f t="shared" si="1"/>
        <v>0</v>
      </c>
      <c r="BP25" s="5">
        <f t="shared" si="1"/>
        <v>0</v>
      </c>
      <c r="BQ25" s="5">
        <f t="shared" si="1"/>
        <v>0</v>
      </c>
      <c r="BR25" s="5">
        <f t="shared" si="1"/>
        <v>0</v>
      </c>
      <c r="BS25" s="205">
        <f t="shared" si="1"/>
        <v>0</v>
      </c>
      <c r="BT25" s="256">
        <f>SUM(C25:BS25)</f>
        <v>361563.86</v>
      </c>
    </row>
    <row r="26" spans="2:72">
      <c r="B26" s="341" t="s">
        <v>10</v>
      </c>
      <c r="C26" s="729">
        <f>Porcentaje_Indirecto</f>
        <v>0.12979399999999999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331"/>
      <c r="BT26" s="363"/>
    </row>
    <row r="27" spans="2:72">
      <c r="B27" s="341" t="s">
        <v>47</v>
      </c>
      <c r="C27" s="300">
        <f>CostoDirectoMasIndirecto*Programa!$N13</f>
        <v>9552.2199999999993</v>
      </c>
      <c r="D27" s="5">
        <f>CostoDirectoMasIndirecto*Programa!$N14</f>
        <v>193084.98</v>
      </c>
      <c r="E27" s="5">
        <f>CostoDirectoMasIndirecto*Programa!$N15</f>
        <v>205855.48</v>
      </c>
      <c r="F27" s="5">
        <f>CostoDirectoMasIndirecto*Programa!$N16</f>
        <v>0</v>
      </c>
      <c r="G27" s="5">
        <f>CostoDirectoMasIndirecto*Programa!$N17</f>
        <v>0</v>
      </c>
      <c r="H27" s="5">
        <f>CostoDirectoMasIndirecto*Programa!$N18</f>
        <v>0</v>
      </c>
      <c r="I27" s="5">
        <f>CostoDirectoMasIndirecto*Programa!$N19</f>
        <v>0</v>
      </c>
      <c r="J27" s="5">
        <f>CostoDirectoMasIndirecto*Programa!$N20</f>
        <v>0</v>
      </c>
      <c r="K27" s="5">
        <f>CostoDirectoMasIndirecto*Programa!$N21</f>
        <v>0</v>
      </c>
      <c r="L27" s="5">
        <f>CostoDirectoMasIndirecto*Programa!$N22</f>
        <v>0</v>
      </c>
      <c r="M27" s="5">
        <f>CostoDirectoMasIndirecto*Programa!$N23</f>
        <v>0</v>
      </c>
      <c r="N27" s="5">
        <f>CostoDirectoMasIndirecto*Programa!$N24</f>
        <v>0</v>
      </c>
      <c r="O27" s="5">
        <f>CostoDirectoMasIndirecto*Programa!$N25</f>
        <v>0</v>
      </c>
      <c r="P27" s="5">
        <f>CostoDirectoMasIndirecto*Programa!$N26</f>
        <v>0</v>
      </c>
      <c r="Q27" s="5">
        <f>CostoDirectoMasIndirecto*Programa!$N27</f>
        <v>0</v>
      </c>
      <c r="R27" s="5">
        <f>CostoDirectoMasIndirecto*Programa!$N28</f>
        <v>0</v>
      </c>
      <c r="S27" s="5">
        <f>CostoDirectoMasIndirecto*Programa!$N29</f>
        <v>0</v>
      </c>
      <c r="T27" s="5">
        <f>CostoDirectoMasIndirecto*Programa!$N30</f>
        <v>0</v>
      </c>
      <c r="U27" s="5">
        <f>CostoDirectoMasIndirecto*Programa!$N31</f>
        <v>0</v>
      </c>
      <c r="V27" s="5">
        <f>CostoDirectoMasIndirecto*Programa!$N32</f>
        <v>0</v>
      </c>
      <c r="W27" s="5">
        <f>CostoDirectoMasIndirecto*Programa!$N33</f>
        <v>0</v>
      </c>
      <c r="X27" s="5">
        <f>CostoDirectoMasIndirecto*Programa!$N34</f>
        <v>0</v>
      </c>
      <c r="Y27" s="5">
        <f>CostoDirectoMasIndirecto*Programa!$N35</f>
        <v>0</v>
      </c>
      <c r="Z27" s="5">
        <f>CostoDirectoMasIndirecto*Programa!$N36</f>
        <v>0</v>
      </c>
      <c r="AA27" s="5">
        <f>CostoDirectoMasIndirecto*Programa!$N37</f>
        <v>0</v>
      </c>
      <c r="AB27" s="5">
        <f>CostoDirectoMasIndirecto*Programa!$N38</f>
        <v>0</v>
      </c>
      <c r="AC27" s="5">
        <f>CostoDirectoMasIndirecto*Programa!$N39</f>
        <v>0</v>
      </c>
      <c r="AD27" s="5">
        <f>CostoDirectoMasIndirecto*Programa!$N40</f>
        <v>0</v>
      </c>
      <c r="AE27" s="5">
        <f>CostoDirectoMasIndirecto*Programa!$N41</f>
        <v>0</v>
      </c>
      <c r="AF27" s="5">
        <f>CostoDirectoMasIndirecto*Programa!$N42</f>
        <v>0</v>
      </c>
      <c r="AG27" s="5">
        <f>CostoDirectoMasIndirecto*Programa!$N43</f>
        <v>0</v>
      </c>
      <c r="AH27" s="5">
        <f>CostoDirectoMasIndirecto*Programa!$N44</f>
        <v>0</v>
      </c>
      <c r="AI27" s="5">
        <f>CostoDirectoMasIndirecto*Programa!$N45</f>
        <v>0</v>
      </c>
      <c r="AJ27" s="5">
        <f>CostoDirectoMasIndirecto*Programa!$N46</f>
        <v>0</v>
      </c>
      <c r="AK27" s="5">
        <f>CostoDirectoMasIndirecto*Programa!$N47</f>
        <v>0</v>
      </c>
      <c r="AL27" s="5">
        <f>CostoDirectoMasIndirecto*Programa!$N48</f>
        <v>0</v>
      </c>
      <c r="AM27" s="5">
        <f>CostoDirectoMasIndirecto*Programa!$N49</f>
        <v>0</v>
      </c>
      <c r="AN27" s="5">
        <f>CostoDirectoMasIndirecto*Programa!$N50</f>
        <v>0</v>
      </c>
      <c r="AO27" s="5">
        <f>CostoDirectoMasIndirecto*Programa!$N51</f>
        <v>0</v>
      </c>
      <c r="AP27" s="5">
        <f>CostoDirectoMasIndirecto*Programa!$N52</f>
        <v>0</v>
      </c>
      <c r="AQ27" s="5">
        <f>CostoDirectoMasIndirecto*Programa!$N53</f>
        <v>0</v>
      </c>
      <c r="AR27" s="5">
        <f>CostoDirectoMasIndirecto*Programa!$N54</f>
        <v>0</v>
      </c>
      <c r="AS27" s="5">
        <f>CostoDirectoMasIndirecto*Programa!$N55</f>
        <v>0</v>
      </c>
      <c r="AT27" s="5">
        <f>CostoDirectoMasIndirecto*Programa!$N56</f>
        <v>0</v>
      </c>
      <c r="AU27" s="5">
        <f>CostoDirectoMasIndirecto*Programa!$N57</f>
        <v>0</v>
      </c>
      <c r="AV27" s="5">
        <f>CostoDirectoMasIndirecto*Programa!$N58</f>
        <v>0</v>
      </c>
      <c r="AW27" s="5">
        <f>CostoDirectoMasIndirecto*Programa!$N59</f>
        <v>0</v>
      </c>
      <c r="AX27" s="5">
        <f>CostoDirectoMasIndirecto*Programa!$N60</f>
        <v>0</v>
      </c>
      <c r="AY27" s="5">
        <f>CostoDirectoMasIndirecto*Programa!$N61</f>
        <v>0</v>
      </c>
      <c r="AZ27" s="5">
        <f>CostoDirectoMasIndirecto*Programa!$N62</f>
        <v>0</v>
      </c>
      <c r="BA27" s="5">
        <f>CostoDirectoMasIndirecto*Programa!$N63</f>
        <v>0</v>
      </c>
      <c r="BB27" s="5">
        <f>CostoDirectoMasIndirecto*Programa!$N64</f>
        <v>0</v>
      </c>
      <c r="BC27" s="5">
        <f>CostoDirectoMasIndirecto*Programa!$N65</f>
        <v>0</v>
      </c>
      <c r="BD27" s="5">
        <f>CostoDirectoMasIndirecto*Programa!$N66</f>
        <v>0</v>
      </c>
      <c r="BE27" s="5">
        <f>CostoDirectoMasIndirecto*Programa!$N67</f>
        <v>0</v>
      </c>
      <c r="BF27" s="5">
        <f>CostoDirectoMasIndirecto*Programa!$N68</f>
        <v>0</v>
      </c>
      <c r="BG27" s="5">
        <f>CostoDirectoMasIndirecto*Programa!$N69</f>
        <v>0</v>
      </c>
      <c r="BH27" s="5">
        <f>CostoDirectoMasIndirecto*Programa!$N70</f>
        <v>0</v>
      </c>
      <c r="BI27" s="5">
        <f>CostoDirectoMasIndirecto*Programa!$N71</f>
        <v>0</v>
      </c>
      <c r="BJ27" s="5">
        <f>CostoDirectoMasIndirecto*Programa!$N72</f>
        <v>0</v>
      </c>
      <c r="BK27" s="5"/>
      <c r="BL27" s="5"/>
      <c r="BM27" s="5"/>
      <c r="BN27" s="5"/>
      <c r="BO27" s="5"/>
      <c r="BP27" s="5"/>
      <c r="BQ27" s="5"/>
      <c r="BR27" s="5"/>
      <c r="BS27" s="205"/>
      <c r="BT27" s="256">
        <f>SUM(C27:BS27)</f>
        <v>408492.68</v>
      </c>
    </row>
    <row r="28" spans="2:72">
      <c r="B28" s="341" t="s">
        <v>98</v>
      </c>
      <c r="C28" s="300">
        <f>AnticipoInicialProveedor</f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/>
      <c r="BK28" s="35"/>
      <c r="BL28" s="35"/>
      <c r="BM28" s="35"/>
      <c r="BN28" s="35"/>
      <c r="BO28" s="35"/>
      <c r="BP28" s="35"/>
      <c r="BQ28" s="35"/>
      <c r="BR28" s="35"/>
      <c r="BS28" s="647"/>
      <c r="BT28" s="256">
        <f>SUM(C28:BS28)</f>
        <v>0</v>
      </c>
    </row>
    <row r="29" spans="2:72">
      <c r="B29" s="341" t="s">
        <v>69</v>
      </c>
      <c r="C29" s="300">
        <f>C27+C28</f>
        <v>9552.2199999999993</v>
      </c>
      <c r="D29" s="5">
        <f t="shared" ref="D29:BS29" si="2">IF(D15&lt;=PeriodoFinalCobro,C29+D27+D28,0)</f>
        <v>202637.2</v>
      </c>
      <c r="E29" s="5">
        <f t="shared" si="2"/>
        <v>408492.68</v>
      </c>
      <c r="F29" s="5">
        <f t="shared" si="2"/>
        <v>408492.68</v>
      </c>
      <c r="G29" s="5">
        <f t="shared" si="2"/>
        <v>408492.68</v>
      </c>
      <c r="H29" s="5">
        <f t="shared" si="2"/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  <c r="L29" s="5">
        <f t="shared" si="2"/>
        <v>0</v>
      </c>
      <c r="M29" s="5">
        <f t="shared" si="2"/>
        <v>0</v>
      </c>
      <c r="N29" s="5">
        <f t="shared" si="2"/>
        <v>0</v>
      </c>
      <c r="O29" s="5">
        <f t="shared" si="2"/>
        <v>0</v>
      </c>
      <c r="P29" s="5">
        <f t="shared" si="2"/>
        <v>0</v>
      </c>
      <c r="Q29" s="5">
        <f t="shared" si="2"/>
        <v>0</v>
      </c>
      <c r="R29" s="5">
        <f t="shared" si="2"/>
        <v>0</v>
      </c>
      <c r="S29" s="5">
        <f t="shared" si="2"/>
        <v>0</v>
      </c>
      <c r="T29" s="5">
        <f t="shared" si="2"/>
        <v>0</v>
      </c>
      <c r="U29" s="5">
        <f t="shared" si="2"/>
        <v>0</v>
      </c>
      <c r="V29" s="5">
        <f t="shared" si="2"/>
        <v>0</v>
      </c>
      <c r="W29" s="5">
        <f t="shared" si="2"/>
        <v>0</v>
      </c>
      <c r="X29" s="5">
        <f t="shared" si="2"/>
        <v>0</v>
      </c>
      <c r="Y29" s="5">
        <f t="shared" si="2"/>
        <v>0</v>
      </c>
      <c r="Z29" s="5">
        <f t="shared" si="2"/>
        <v>0</v>
      </c>
      <c r="AA29" s="5">
        <f t="shared" si="2"/>
        <v>0</v>
      </c>
      <c r="AB29" s="5">
        <f t="shared" si="2"/>
        <v>0</v>
      </c>
      <c r="AC29" s="5">
        <f t="shared" si="2"/>
        <v>0</v>
      </c>
      <c r="AD29" s="5">
        <f t="shared" si="2"/>
        <v>0</v>
      </c>
      <c r="AE29" s="5">
        <f t="shared" si="2"/>
        <v>0</v>
      </c>
      <c r="AF29" s="5">
        <f t="shared" si="2"/>
        <v>0</v>
      </c>
      <c r="AG29" s="5">
        <f t="shared" si="2"/>
        <v>0</v>
      </c>
      <c r="AH29" s="5">
        <f t="shared" si="2"/>
        <v>0</v>
      </c>
      <c r="AI29" s="5">
        <f t="shared" si="2"/>
        <v>0</v>
      </c>
      <c r="AJ29" s="5">
        <f t="shared" si="2"/>
        <v>0</v>
      </c>
      <c r="AK29" s="5">
        <f t="shared" si="2"/>
        <v>0</v>
      </c>
      <c r="AL29" s="5">
        <f t="shared" si="2"/>
        <v>0</v>
      </c>
      <c r="AM29" s="5">
        <f t="shared" si="2"/>
        <v>0</v>
      </c>
      <c r="AN29" s="5">
        <f t="shared" si="2"/>
        <v>0</v>
      </c>
      <c r="AO29" s="5">
        <f t="shared" si="2"/>
        <v>0</v>
      </c>
      <c r="AP29" s="5">
        <f t="shared" si="2"/>
        <v>0</v>
      </c>
      <c r="AQ29" s="5">
        <f t="shared" si="2"/>
        <v>0</v>
      </c>
      <c r="AR29" s="5">
        <f t="shared" si="2"/>
        <v>0</v>
      </c>
      <c r="AS29" s="5">
        <f t="shared" si="2"/>
        <v>0</v>
      </c>
      <c r="AT29" s="5">
        <f t="shared" si="2"/>
        <v>0</v>
      </c>
      <c r="AU29" s="5">
        <f t="shared" si="2"/>
        <v>0</v>
      </c>
      <c r="AV29" s="5">
        <f t="shared" si="2"/>
        <v>0</v>
      </c>
      <c r="AW29" s="5">
        <f t="shared" si="2"/>
        <v>0</v>
      </c>
      <c r="AX29" s="5">
        <f t="shared" si="2"/>
        <v>0</v>
      </c>
      <c r="AY29" s="5">
        <f t="shared" si="2"/>
        <v>0</v>
      </c>
      <c r="AZ29" s="5">
        <f t="shared" si="2"/>
        <v>0</v>
      </c>
      <c r="BA29" s="5">
        <f t="shared" si="2"/>
        <v>0</v>
      </c>
      <c r="BB29" s="5">
        <f t="shared" si="2"/>
        <v>0</v>
      </c>
      <c r="BC29" s="5">
        <f t="shared" si="2"/>
        <v>0</v>
      </c>
      <c r="BD29" s="5">
        <f t="shared" si="2"/>
        <v>0</v>
      </c>
      <c r="BE29" s="5">
        <f t="shared" si="2"/>
        <v>0</v>
      </c>
      <c r="BF29" s="5">
        <f t="shared" si="2"/>
        <v>0</v>
      </c>
      <c r="BG29" s="5">
        <f t="shared" si="2"/>
        <v>0</v>
      </c>
      <c r="BH29" s="5">
        <f t="shared" si="2"/>
        <v>0</v>
      </c>
      <c r="BI29" s="5">
        <f t="shared" si="2"/>
        <v>0</v>
      </c>
      <c r="BJ29" s="5">
        <f t="shared" si="2"/>
        <v>0</v>
      </c>
      <c r="BK29" s="5">
        <f t="shared" si="2"/>
        <v>0</v>
      </c>
      <c r="BL29" s="5">
        <f t="shared" si="2"/>
        <v>0</v>
      </c>
      <c r="BM29" s="5">
        <f t="shared" si="2"/>
        <v>0</v>
      </c>
      <c r="BN29" s="5">
        <f t="shared" si="2"/>
        <v>0</v>
      </c>
      <c r="BO29" s="5">
        <f t="shared" si="2"/>
        <v>0</v>
      </c>
      <c r="BP29" s="5">
        <f t="shared" si="2"/>
        <v>0</v>
      </c>
      <c r="BQ29" s="5">
        <f t="shared" si="2"/>
        <v>0</v>
      </c>
      <c r="BR29" s="5">
        <f t="shared" si="2"/>
        <v>0</v>
      </c>
      <c r="BS29" s="205">
        <f t="shared" si="2"/>
        <v>0</v>
      </c>
      <c r="BT29" s="256" t="s">
        <v>168</v>
      </c>
    </row>
    <row r="30" spans="2:72">
      <c r="B30" s="1160" t="s">
        <v>181</v>
      </c>
      <c r="C30" s="466"/>
      <c r="D30" s="11" t="s">
        <v>168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331"/>
      <c r="BT30" s="363"/>
    </row>
    <row r="31" spans="2:72">
      <c r="B31" s="1161"/>
      <c r="C31" s="300">
        <f>(C22-C29)</f>
        <v>164051.68</v>
      </c>
      <c r="D31" s="821">
        <f>(D22-D29)</f>
        <v>-29033.3</v>
      </c>
      <c r="E31" s="5">
        <f>E22-E29</f>
        <v>-228202.23</v>
      </c>
      <c r="F31" s="5">
        <f>(F22-F29)</f>
        <v>-93042.74</v>
      </c>
      <c r="G31" s="5">
        <f t="shared" ref="G31:BS31" si="3">G22-G29</f>
        <v>51056.1</v>
      </c>
      <c r="H31" s="5">
        <f t="shared" si="3"/>
        <v>0</v>
      </c>
      <c r="I31" s="5">
        <f t="shared" si="3"/>
        <v>0</v>
      </c>
      <c r="J31" s="5">
        <f t="shared" si="3"/>
        <v>0</v>
      </c>
      <c r="K31" s="5">
        <f t="shared" si="3"/>
        <v>0</v>
      </c>
      <c r="L31" s="5">
        <f t="shared" si="3"/>
        <v>0</v>
      </c>
      <c r="M31" s="5">
        <f t="shared" si="3"/>
        <v>0</v>
      </c>
      <c r="N31" s="5">
        <f t="shared" si="3"/>
        <v>0</v>
      </c>
      <c r="O31" s="5">
        <f t="shared" si="3"/>
        <v>0</v>
      </c>
      <c r="P31" s="5">
        <f t="shared" si="3"/>
        <v>0</v>
      </c>
      <c r="Q31" s="5">
        <f t="shared" si="3"/>
        <v>0</v>
      </c>
      <c r="R31" s="5">
        <f t="shared" si="3"/>
        <v>0</v>
      </c>
      <c r="S31" s="5">
        <f t="shared" si="3"/>
        <v>0</v>
      </c>
      <c r="T31" s="5">
        <f t="shared" si="3"/>
        <v>0</v>
      </c>
      <c r="U31" s="5">
        <f t="shared" si="3"/>
        <v>0</v>
      </c>
      <c r="V31" s="5">
        <f t="shared" si="3"/>
        <v>0</v>
      </c>
      <c r="W31" s="5">
        <f t="shared" si="3"/>
        <v>0</v>
      </c>
      <c r="X31" s="5">
        <f t="shared" si="3"/>
        <v>0</v>
      </c>
      <c r="Y31" s="5">
        <f t="shared" si="3"/>
        <v>0</v>
      </c>
      <c r="Z31" s="5">
        <f t="shared" si="3"/>
        <v>0</v>
      </c>
      <c r="AA31" s="5">
        <f t="shared" si="3"/>
        <v>0</v>
      </c>
      <c r="AB31" s="5">
        <f t="shared" si="3"/>
        <v>0</v>
      </c>
      <c r="AC31" s="5">
        <f t="shared" si="3"/>
        <v>0</v>
      </c>
      <c r="AD31" s="5">
        <f t="shared" si="3"/>
        <v>0</v>
      </c>
      <c r="AE31" s="5">
        <f t="shared" si="3"/>
        <v>0</v>
      </c>
      <c r="AF31" s="5">
        <f t="shared" si="3"/>
        <v>0</v>
      </c>
      <c r="AG31" s="5">
        <f t="shared" si="3"/>
        <v>0</v>
      </c>
      <c r="AH31" s="5">
        <f t="shared" si="3"/>
        <v>0</v>
      </c>
      <c r="AI31" s="5">
        <f t="shared" si="3"/>
        <v>0</v>
      </c>
      <c r="AJ31" s="5">
        <f t="shared" si="3"/>
        <v>0</v>
      </c>
      <c r="AK31" s="5">
        <f t="shared" si="3"/>
        <v>0</v>
      </c>
      <c r="AL31" s="5">
        <f t="shared" si="3"/>
        <v>0</v>
      </c>
      <c r="AM31" s="5">
        <f t="shared" si="3"/>
        <v>0</v>
      </c>
      <c r="AN31" s="5">
        <f t="shared" si="3"/>
        <v>0</v>
      </c>
      <c r="AO31" s="5">
        <f t="shared" si="3"/>
        <v>0</v>
      </c>
      <c r="AP31" s="5">
        <f t="shared" si="3"/>
        <v>0</v>
      </c>
      <c r="AQ31" s="5">
        <f t="shared" si="3"/>
        <v>0</v>
      </c>
      <c r="AR31" s="5">
        <f t="shared" si="3"/>
        <v>0</v>
      </c>
      <c r="AS31" s="5">
        <f t="shared" si="3"/>
        <v>0</v>
      </c>
      <c r="AT31" s="5">
        <f t="shared" si="3"/>
        <v>0</v>
      </c>
      <c r="AU31" s="5">
        <f t="shared" si="3"/>
        <v>0</v>
      </c>
      <c r="AV31" s="5">
        <f t="shared" si="3"/>
        <v>0</v>
      </c>
      <c r="AW31" s="5">
        <f t="shared" si="3"/>
        <v>0</v>
      </c>
      <c r="AX31" s="5">
        <f t="shared" si="3"/>
        <v>0</v>
      </c>
      <c r="AY31" s="5">
        <f t="shared" si="3"/>
        <v>0</v>
      </c>
      <c r="AZ31" s="5">
        <f t="shared" si="3"/>
        <v>0</v>
      </c>
      <c r="BA31" s="5">
        <f t="shared" si="3"/>
        <v>0</v>
      </c>
      <c r="BB31" s="5">
        <f t="shared" si="3"/>
        <v>0</v>
      </c>
      <c r="BC31" s="5">
        <f t="shared" si="3"/>
        <v>0</v>
      </c>
      <c r="BD31" s="5">
        <f t="shared" si="3"/>
        <v>0</v>
      </c>
      <c r="BE31" s="5">
        <f t="shared" si="3"/>
        <v>0</v>
      </c>
      <c r="BF31" s="5">
        <f t="shared" si="3"/>
        <v>0</v>
      </c>
      <c r="BG31" s="5">
        <f t="shared" si="3"/>
        <v>0</v>
      </c>
      <c r="BH31" s="5">
        <f t="shared" si="3"/>
        <v>0</v>
      </c>
      <c r="BI31" s="5">
        <f t="shared" si="3"/>
        <v>0</v>
      </c>
      <c r="BJ31" s="5">
        <f t="shared" si="3"/>
        <v>0</v>
      </c>
      <c r="BK31" s="5">
        <f t="shared" si="3"/>
        <v>0</v>
      </c>
      <c r="BL31" s="5">
        <f t="shared" si="3"/>
        <v>0</v>
      </c>
      <c r="BM31" s="5">
        <f t="shared" si="3"/>
        <v>0</v>
      </c>
      <c r="BN31" s="5">
        <f t="shared" si="3"/>
        <v>0</v>
      </c>
      <c r="BO31" s="5">
        <f t="shared" si="3"/>
        <v>0</v>
      </c>
      <c r="BP31" s="5">
        <f t="shared" si="3"/>
        <v>0</v>
      </c>
      <c r="BQ31" s="5">
        <f t="shared" si="3"/>
        <v>0</v>
      </c>
      <c r="BR31" s="5">
        <f t="shared" si="3"/>
        <v>0</v>
      </c>
      <c r="BS31" s="205">
        <f t="shared" si="3"/>
        <v>0</v>
      </c>
      <c r="BT31" s="363"/>
    </row>
    <row r="32" spans="2:72" ht="26.25" customHeight="1">
      <c r="B32" s="992" t="s">
        <v>301</v>
      </c>
      <c r="C32" s="300">
        <f t="shared" ref="C32:BS32" si="4">ROUND(IF(Intereses_a_considerar=1,IF(C31&lt;0,C31*PorcentajeAplicablePeriodo,0),IF(C31&lt;0,C31*PorcentajeAplicablePeriodo,IF(Tipo_de_Tasa=1,C31*PorcentajeAplicablePeriodo,C31*Porcentaje_Aplicable_TasaPasiva))),2)</f>
        <v>0</v>
      </c>
      <c r="D32" s="821">
        <f t="shared" si="4"/>
        <v>-523.44000000000005</v>
      </c>
      <c r="E32" s="5">
        <f t="shared" si="4"/>
        <v>-4114.26</v>
      </c>
      <c r="F32" s="5">
        <f t="shared" si="4"/>
        <v>-1677.47</v>
      </c>
      <c r="G32" s="5">
        <f t="shared" si="4"/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>
        <f t="shared" si="4"/>
        <v>0</v>
      </c>
      <c r="O32" s="5">
        <f t="shared" si="4"/>
        <v>0</v>
      </c>
      <c r="P32" s="5">
        <f t="shared" si="4"/>
        <v>0</v>
      </c>
      <c r="Q32" s="5">
        <f t="shared" si="4"/>
        <v>0</v>
      </c>
      <c r="R32" s="5">
        <f t="shared" si="4"/>
        <v>0</v>
      </c>
      <c r="S32" s="5">
        <f t="shared" si="4"/>
        <v>0</v>
      </c>
      <c r="T32" s="5">
        <f t="shared" si="4"/>
        <v>0</v>
      </c>
      <c r="U32" s="5">
        <f t="shared" si="4"/>
        <v>0</v>
      </c>
      <c r="V32" s="5">
        <f t="shared" si="4"/>
        <v>0</v>
      </c>
      <c r="W32" s="5">
        <f t="shared" si="4"/>
        <v>0</v>
      </c>
      <c r="X32" s="5">
        <f t="shared" si="4"/>
        <v>0</v>
      </c>
      <c r="Y32" s="5">
        <f t="shared" si="4"/>
        <v>0</v>
      </c>
      <c r="Z32" s="5">
        <f t="shared" si="4"/>
        <v>0</v>
      </c>
      <c r="AA32" s="5">
        <f t="shared" si="4"/>
        <v>0</v>
      </c>
      <c r="AB32" s="5">
        <f t="shared" si="4"/>
        <v>0</v>
      </c>
      <c r="AC32" s="5">
        <f t="shared" si="4"/>
        <v>0</v>
      </c>
      <c r="AD32" s="5">
        <f t="shared" si="4"/>
        <v>0</v>
      </c>
      <c r="AE32" s="5">
        <f t="shared" si="4"/>
        <v>0</v>
      </c>
      <c r="AF32" s="5">
        <f t="shared" si="4"/>
        <v>0</v>
      </c>
      <c r="AG32" s="5">
        <f t="shared" si="4"/>
        <v>0</v>
      </c>
      <c r="AH32" s="5">
        <f t="shared" si="4"/>
        <v>0</v>
      </c>
      <c r="AI32" s="5">
        <f t="shared" si="4"/>
        <v>0</v>
      </c>
      <c r="AJ32" s="5">
        <f t="shared" si="4"/>
        <v>0</v>
      </c>
      <c r="AK32" s="5">
        <f t="shared" si="4"/>
        <v>0</v>
      </c>
      <c r="AL32" s="5">
        <f t="shared" si="4"/>
        <v>0</v>
      </c>
      <c r="AM32" s="5">
        <f t="shared" si="4"/>
        <v>0</v>
      </c>
      <c r="AN32" s="5">
        <f t="shared" si="4"/>
        <v>0</v>
      </c>
      <c r="AO32" s="5">
        <f t="shared" si="4"/>
        <v>0</v>
      </c>
      <c r="AP32" s="5">
        <f t="shared" si="4"/>
        <v>0</v>
      </c>
      <c r="AQ32" s="5">
        <f t="shared" si="4"/>
        <v>0</v>
      </c>
      <c r="AR32" s="5">
        <f t="shared" si="4"/>
        <v>0</v>
      </c>
      <c r="AS32" s="5">
        <f t="shared" si="4"/>
        <v>0</v>
      </c>
      <c r="AT32" s="5">
        <f t="shared" si="4"/>
        <v>0</v>
      </c>
      <c r="AU32" s="5">
        <f t="shared" si="4"/>
        <v>0</v>
      </c>
      <c r="AV32" s="5">
        <f t="shared" si="4"/>
        <v>0</v>
      </c>
      <c r="AW32" s="5">
        <f t="shared" si="4"/>
        <v>0</v>
      </c>
      <c r="AX32" s="5">
        <f t="shared" si="4"/>
        <v>0</v>
      </c>
      <c r="AY32" s="5">
        <f t="shared" si="4"/>
        <v>0</v>
      </c>
      <c r="AZ32" s="5">
        <f t="shared" si="4"/>
        <v>0</v>
      </c>
      <c r="BA32" s="5">
        <f t="shared" si="4"/>
        <v>0</v>
      </c>
      <c r="BB32" s="5">
        <f t="shared" si="4"/>
        <v>0</v>
      </c>
      <c r="BC32" s="5">
        <f t="shared" si="4"/>
        <v>0</v>
      </c>
      <c r="BD32" s="5">
        <f t="shared" si="4"/>
        <v>0</v>
      </c>
      <c r="BE32" s="5">
        <f t="shared" si="4"/>
        <v>0</v>
      </c>
      <c r="BF32" s="5">
        <f t="shared" si="4"/>
        <v>0</v>
      </c>
      <c r="BG32" s="5">
        <f t="shared" si="4"/>
        <v>0</v>
      </c>
      <c r="BH32" s="5">
        <f t="shared" si="4"/>
        <v>0</v>
      </c>
      <c r="BI32" s="5">
        <f t="shared" si="4"/>
        <v>0</v>
      </c>
      <c r="BJ32" s="5">
        <f t="shared" si="4"/>
        <v>0</v>
      </c>
      <c r="BK32" s="5">
        <f t="shared" si="4"/>
        <v>0</v>
      </c>
      <c r="BL32" s="5">
        <f t="shared" si="4"/>
        <v>0</v>
      </c>
      <c r="BM32" s="5">
        <f t="shared" si="4"/>
        <v>0</v>
      </c>
      <c r="BN32" s="5">
        <f t="shared" si="4"/>
        <v>0</v>
      </c>
      <c r="BO32" s="5">
        <f t="shared" si="4"/>
        <v>0</v>
      </c>
      <c r="BP32" s="5">
        <f t="shared" si="4"/>
        <v>0</v>
      </c>
      <c r="BQ32" s="5">
        <f t="shared" si="4"/>
        <v>0</v>
      </c>
      <c r="BR32" s="5">
        <f t="shared" si="4"/>
        <v>0</v>
      </c>
      <c r="BS32" s="746">
        <f t="shared" si="4"/>
        <v>0</v>
      </c>
      <c r="BT32" s="256">
        <f>SUM(C32:BS32)</f>
        <v>-6315.17</v>
      </c>
    </row>
    <row r="33" spans="2:72">
      <c r="B33" s="341" t="s">
        <v>502</v>
      </c>
      <c r="C33" s="300">
        <f>C32</f>
        <v>0</v>
      </c>
      <c r="D33" s="821">
        <f>C33+D32</f>
        <v>-523.44000000000005</v>
      </c>
      <c r="E33" s="5">
        <f>D33+E32</f>
        <v>-4637.7</v>
      </c>
      <c r="F33" s="5">
        <f t="shared" ref="F33:BS33" si="5">IF(F32&lt;&gt;0,E33+F32,0)</f>
        <v>-6315.17</v>
      </c>
      <c r="G33" s="5">
        <f t="shared" si="5"/>
        <v>0</v>
      </c>
      <c r="H33" s="5">
        <f t="shared" si="5"/>
        <v>0</v>
      </c>
      <c r="I33" s="5">
        <f t="shared" si="5"/>
        <v>0</v>
      </c>
      <c r="J33" s="5">
        <f t="shared" si="5"/>
        <v>0</v>
      </c>
      <c r="K33" s="5">
        <f t="shared" si="5"/>
        <v>0</v>
      </c>
      <c r="L33" s="5">
        <f t="shared" si="5"/>
        <v>0</v>
      </c>
      <c r="M33" s="5">
        <f t="shared" si="5"/>
        <v>0</v>
      </c>
      <c r="N33" s="5">
        <f t="shared" si="5"/>
        <v>0</v>
      </c>
      <c r="O33" s="5">
        <f t="shared" si="5"/>
        <v>0</v>
      </c>
      <c r="P33" s="5">
        <f t="shared" si="5"/>
        <v>0</v>
      </c>
      <c r="Q33" s="5">
        <f t="shared" si="5"/>
        <v>0</v>
      </c>
      <c r="R33" s="5">
        <f t="shared" si="5"/>
        <v>0</v>
      </c>
      <c r="S33" s="5">
        <f t="shared" si="5"/>
        <v>0</v>
      </c>
      <c r="T33" s="5">
        <f t="shared" si="5"/>
        <v>0</v>
      </c>
      <c r="U33" s="5">
        <f t="shared" si="5"/>
        <v>0</v>
      </c>
      <c r="V33" s="5">
        <f t="shared" si="5"/>
        <v>0</v>
      </c>
      <c r="W33" s="5">
        <f t="shared" si="5"/>
        <v>0</v>
      </c>
      <c r="X33" s="5">
        <f t="shared" si="5"/>
        <v>0</v>
      </c>
      <c r="Y33" s="5">
        <f t="shared" si="5"/>
        <v>0</v>
      </c>
      <c r="Z33" s="5">
        <f t="shared" si="5"/>
        <v>0</v>
      </c>
      <c r="AA33" s="5">
        <f t="shared" si="5"/>
        <v>0</v>
      </c>
      <c r="AB33" s="5">
        <f t="shared" si="5"/>
        <v>0</v>
      </c>
      <c r="AC33" s="5">
        <f t="shared" si="5"/>
        <v>0</v>
      </c>
      <c r="AD33" s="5">
        <f t="shared" si="5"/>
        <v>0</v>
      </c>
      <c r="AE33" s="5">
        <f t="shared" si="5"/>
        <v>0</v>
      </c>
      <c r="AF33" s="5">
        <f t="shared" si="5"/>
        <v>0</v>
      </c>
      <c r="AG33" s="5">
        <f t="shared" si="5"/>
        <v>0</v>
      </c>
      <c r="AH33" s="5">
        <f t="shared" si="5"/>
        <v>0</v>
      </c>
      <c r="AI33" s="5">
        <f t="shared" si="5"/>
        <v>0</v>
      </c>
      <c r="AJ33" s="5">
        <f t="shared" si="5"/>
        <v>0</v>
      </c>
      <c r="AK33" s="5">
        <f t="shared" si="5"/>
        <v>0</v>
      </c>
      <c r="AL33" s="5">
        <f t="shared" si="5"/>
        <v>0</v>
      </c>
      <c r="AM33" s="5">
        <f t="shared" si="5"/>
        <v>0</v>
      </c>
      <c r="AN33" s="5">
        <f t="shared" si="5"/>
        <v>0</v>
      </c>
      <c r="AO33" s="5">
        <f t="shared" si="5"/>
        <v>0</v>
      </c>
      <c r="AP33" s="5">
        <f t="shared" si="5"/>
        <v>0</v>
      </c>
      <c r="AQ33" s="5">
        <f t="shared" si="5"/>
        <v>0</v>
      </c>
      <c r="AR33" s="5">
        <f t="shared" si="5"/>
        <v>0</v>
      </c>
      <c r="AS33" s="5">
        <f t="shared" si="5"/>
        <v>0</v>
      </c>
      <c r="AT33" s="5">
        <f t="shared" si="5"/>
        <v>0</v>
      </c>
      <c r="AU33" s="5">
        <f t="shared" si="5"/>
        <v>0</v>
      </c>
      <c r="AV33" s="5">
        <f t="shared" si="5"/>
        <v>0</v>
      </c>
      <c r="AW33" s="5">
        <f t="shared" si="5"/>
        <v>0</v>
      </c>
      <c r="AX33" s="5">
        <f t="shared" si="5"/>
        <v>0</v>
      </c>
      <c r="AY33" s="5">
        <f t="shared" si="5"/>
        <v>0</v>
      </c>
      <c r="AZ33" s="5">
        <f t="shared" si="5"/>
        <v>0</v>
      </c>
      <c r="BA33" s="5">
        <f t="shared" si="5"/>
        <v>0</v>
      </c>
      <c r="BB33" s="5">
        <f t="shared" si="5"/>
        <v>0</v>
      </c>
      <c r="BC33" s="5">
        <f t="shared" si="5"/>
        <v>0</v>
      </c>
      <c r="BD33" s="5">
        <f t="shared" si="5"/>
        <v>0</v>
      </c>
      <c r="BE33" s="5">
        <f t="shared" si="5"/>
        <v>0</v>
      </c>
      <c r="BF33" s="5">
        <f t="shared" si="5"/>
        <v>0</v>
      </c>
      <c r="BG33" s="5">
        <f t="shared" si="5"/>
        <v>0</v>
      </c>
      <c r="BH33" s="5">
        <f t="shared" si="5"/>
        <v>0</v>
      </c>
      <c r="BI33" s="5">
        <f t="shared" si="5"/>
        <v>0</v>
      </c>
      <c r="BJ33" s="5">
        <f t="shared" si="5"/>
        <v>0</v>
      </c>
      <c r="BK33" s="5">
        <f t="shared" si="5"/>
        <v>0</v>
      </c>
      <c r="BL33" s="5">
        <f t="shared" si="5"/>
        <v>0</v>
      </c>
      <c r="BM33" s="5">
        <f t="shared" si="5"/>
        <v>0</v>
      </c>
      <c r="BN33" s="5">
        <f t="shared" si="5"/>
        <v>0</v>
      </c>
      <c r="BO33" s="5">
        <f t="shared" si="5"/>
        <v>0</v>
      </c>
      <c r="BP33" s="5">
        <f t="shared" si="5"/>
        <v>0</v>
      </c>
      <c r="BQ33" s="5">
        <f t="shared" si="5"/>
        <v>0</v>
      </c>
      <c r="BR33" s="5">
        <f t="shared" si="5"/>
        <v>0</v>
      </c>
      <c r="BS33" s="205">
        <f t="shared" si="5"/>
        <v>0</v>
      </c>
      <c r="BT33" s="256" t="s">
        <v>168</v>
      </c>
    </row>
    <row r="34" spans="2:72" ht="12" thickBot="1">
      <c r="B34" s="161"/>
      <c r="C34" s="16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720"/>
    </row>
    <row r="35" spans="2:72" ht="12" thickTop="1"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2:72">
      <c r="B36" s="279" t="s">
        <v>170</v>
      </c>
      <c r="C36" s="395">
        <f>TasaInteres/100</f>
        <v>8.0500000000000002E-2</v>
      </c>
      <c r="F36" s="279" t="s">
        <v>15</v>
      </c>
      <c r="G36" s="395">
        <f>(C36+C37)/DIAS_DEL_AÑO</f>
        <v>4.4000000000000002E-4</v>
      </c>
      <c r="I36" s="291"/>
      <c r="J36" s="279" t="str">
        <f>IF(Intereses_a_considerar=1,"",IF(Tipo_de_Tasa=2,"TASA PASIVA:",""))</f>
        <v/>
      </c>
      <c r="K36" s="966">
        <f>IF(Intereses_a_considerar=1,0,IF(Tipo_de_Tasa=2,C36,0))</f>
        <v>0</v>
      </c>
    </row>
    <row r="37" spans="2:72">
      <c r="B37" s="279" t="s">
        <v>65</v>
      </c>
      <c r="C37" s="395">
        <f>PuntosBanco/100</f>
        <v>0.08</v>
      </c>
      <c r="F37" s="279" t="s">
        <v>9</v>
      </c>
      <c r="G37" s="657">
        <f>DiasPagoEstimaciones</f>
        <v>41</v>
      </c>
      <c r="I37" s="291">
        <f>+PorcentajeAplicablePeriodo*E31</f>
        <v>-4114.2580046700004</v>
      </c>
      <c r="J37" s="279" t="str">
        <f>IF(Intereses_a_considerar=1,"",IF(Tipo_de_Tasa=2,"TASA DE INTERES DIARIA PASIVA:",""))</f>
        <v/>
      </c>
      <c r="K37" s="966">
        <f>(K36)/DIAS_DEL_AÑO</f>
        <v>0</v>
      </c>
    </row>
    <row r="38" spans="2:72" ht="22.5" customHeight="1">
      <c r="B38" s="1010"/>
      <c r="D38" s="270" t="s">
        <v>168</v>
      </c>
      <c r="E38" s="781"/>
      <c r="F38" s="1022" t="s">
        <v>455</v>
      </c>
      <c r="G38" s="676">
        <f>(C36+C37)/DIAS_DEL_AÑO*DiasPagoEstimaciones</f>
        <v>1.8029E-2</v>
      </c>
      <c r="I38" s="1145" t="str">
        <f>IF(Intereses_a_considerar=1,"",IF(Tipo_de_Tasa=2,"% APLICABLE AL PERIODO CON IMPORTE POSITIVOS :",""))</f>
        <v/>
      </c>
      <c r="J38" s="1146"/>
      <c r="K38" s="794">
        <f>(K36)/DIAS_DEL_AÑO*DiasPagoEstimaciones</f>
        <v>0</v>
      </c>
    </row>
    <row r="39" spans="2:72">
      <c r="B39" s="577"/>
    </row>
    <row r="40" spans="2:72">
      <c r="B40" s="279" t="s">
        <v>124</v>
      </c>
      <c r="F40" s="441" t="s">
        <v>160</v>
      </c>
      <c r="G40" s="873">
        <f>IF(BT32&lt;0,-BT32,0)</f>
        <v>6315.17</v>
      </c>
      <c r="H40" s="441" t="s">
        <v>160</v>
      </c>
      <c r="I40" s="872">
        <f>G40/G41</f>
        <v>1.091307E-2</v>
      </c>
    </row>
    <row r="41" spans="2:72">
      <c r="B41" s="270" t="s">
        <v>168</v>
      </c>
      <c r="G41" s="571">
        <f>CostoDirectoMasIndirecto</f>
        <v>578679.65</v>
      </c>
    </row>
    <row r="43" spans="2:72">
      <c r="C43" s="886" t="s">
        <v>29</v>
      </c>
    </row>
  </sheetData>
  <mergeCells count="9">
    <mergeCell ref="I38:J38"/>
    <mergeCell ref="B1:E3"/>
    <mergeCell ref="H3:I3"/>
    <mergeCell ref="F4:J6"/>
    <mergeCell ref="C13:BS13"/>
    <mergeCell ref="B13:B16"/>
    <mergeCell ref="B30:B31"/>
    <mergeCell ref="K3:BT3"/>
    <mergeCell ref="K4:BT4"/>
  </mergeCells>
  <pageMargins left="0.2" right="0.2" top="0.6" bottom="0.6" header="0.4" footer="0.38"/>
  <pageSetup scale="98" orientation="landscape" r:id="rId1"/>
  <headerFooter alignWithMargins="0"/>
  <colBreaks count="2" manualBreakCount="2">
    <brk id="11" max="1048575" man="1"/>
    <brk id="59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140</vt:i4>
      </vt:variant>
    </vt:vector>
  </HeadingPairs>
  <TitlesOfParts>
    <vt:vector size="154" baseType="lpstr">
      <vt:lpstr>N_Campos Generales</vt:lpstr>
      <vt:lpstr>DatosObra</vt:lpstr>
      <vt:lpstr>Programa</vt:lpstr>
      <vt:lpstr>a)Plantilla</vt:lpstr>
      <vt:lpstr>b)Indirectos Desglosados</vt:lpstr>
      <vt:lpstr>c)Resumen Indirectos</vt:lpstr>
      <vt:lpstr>d)Pers.Técnico</vt:lpstr>
      <vt:lpstr>e)Pers.Técnico$</vt:lpstr>
      <vt:lpstr>f)Financ_Horizontal</vt:lpstr>
      <vt:lpstr>f)Financiamiento</vt:lpstr>
      <vt:lpstr>g)Utilidad</vt:lpstr>
      <vt:lpstr>h)Cargos_Adicionales</vt:lpstr>
      <vt:lpstr>i)Resumen</vt:lpstr>
      <vt:lpstr>z)Documentacion</vt:lpstr>
      <vt:lpstr>AInicio</vt:lpstr>
      <vt:lpstr>AnoPeriodo</vt:lpstr>
      <vt:lpstr>AnticipoInicialProveedor</vt:lpstr>
      <vt:lpstr>area</vt:lpstr>
      <vt:lpstr>'e)Pers.Técnico$'!Área_de_impresión</vt:lpstr>
      <vt:lpstr>'i)Resumen'!Área_de_impresión</vt:lpstr>
      <vt:lpstr>CalculoDelCargoAdicional</vt:lpstr>
      <vt:lpstr>cargo</vt:lpstr>
      <vt:lpstr>cargoresponsabledelaobra</vt:lpstr>
      <vt:lpstr>ciudad</vt:lpstr>
      <vt:lpstr>ciudadcliente</vt:lpstr>
      <vt:lpstr>ciudaddelaobra</vt:lpstr>
      <vt:lpstr>cmic</vt:lpstr>
      <vt:lpstr>codigopostalcliente</vt:lpstr>
      <vt:lpstr>codigopostaldelaobra</vt:lpstr>
      <vt:lpstr>colonia</vt:lpstr>
      <vt:lpstr>coloniacliente</vt:lpstr>
      <vt:lpstr>coloniadelaobra</vt:lpstr>
      <vt:lpstr>contactocliente</vt:lpstr>
      <vt:lpstr>Costo_directo</vt:lpstr>
      <vt:lpstr>CostoDirectoMasIndirecto</vt:lpstr>
      <vt:lpstr>decimalesredondeo</vt:lpstr>
      <vt:lpstr>departamento</vt:lpstr>
      <vt:lpstr>DIAS_DEL_AÑO</vt:lpstr>
      <vt:lpstr>DiasNaturales</vt:lpstr>
      <vt:lpstr>DiasPagoEstimaciones</vt:lpstr>
      <vt:lpstr>DiasPeriodos</vt:lpstr>
      <vt:lpstr>direccioncliente</vt:lpstr>
      <vt:lpstr>direcciondeconcurso</vt:lpstr>
      <vt:lpstr>direcciondelaobra</vt:lpstr>
      <vt:lpstr>domicilio</vt:lpstr>
      <vt:lpstr>EJERCICIO</vt:lpstr>
      <vt:lpstr>EJERCICIO1</vt:lpstr>
      <vt:lpstr>EJERCICIO2</vt:lpstr>
      <vt:lpstr>email</vt:lpstr>
      <vt:lpstr>emailcliente</vt:lpstr>
      <vt:lpstr>emaildelaobra</vt:lpstr>
      <vt:lpstr>estado</vt:lpstr>
      <vt:lpstr>estadodelaobra</vt:lpstr>
      <vt:lpstr>EXHIBICION1</vt:lpstr>
      <vt:lpstr>EXHIBICION2</vt:lpstr>
      <vt:lpstr>Factor_SFP</vt:lpstr>
      <vt:lpstr>fechaconvocatoria</vt:lpstr>
      <vt:lpstr>fechadeconcurso</vt:lpstr>
      <vt:lpstr>fechainicio</vt:lpstr>
      <vt:lpstr>fechaterminacion</vt:lpstr>
      <vt:lpstr>Hasta_Utilidad</vt:lpstr>
      <vt:lpstr>Hjor</vt:lpstr>
      <vt:lpstr>Importe_Campo</vt:lpstr>
      <vt:lpstr>Importe_CargoAdicional</vt:lpstr>
      <vt:lpstr>Importe_Central</vt:lpstr>
      <vt:lpstr>Importe_Financiamiento</vt:lpstr>
      <vt:lpstr>Importe_Indirecto</vt:lpstr>
      <vt:lpstr>Importe_TotalObra</vt:lpstr>
      <vt:lpstr>Importe_Utilidad</vt:lpstr>
      <vt:lpstr>ImporteAnticipo1</vt:lpstr>
      <vt:lpstr>ImporteAnticipo2</vt:lpstr>
      <vt:lpstr>ImporteEjecutar2doAnt</vt:lpstr>
      <vt:lpstr>ImporteEjercer1</vt:lpstr>
      <vt:lpstr>ImporteEjercer2</vt:lpstr>
      <vt:lpstr>ImporteEjercerEjercicio1</vt:lpstr>
      <vt:lpstr>ImporteParaFinanciamiento</vt:lpstr>
      <vt:lpstr>imss</vt:lpstr>
      <vt:lpstr>IndicadorEcon1</vt:lpstr>
      <vt:lpstr>infonavit</vt:lpstr>
      <vt:lpstr>Intereses_a_considerar</vt:lpstr>
      <vt:lpstr>ISR</vt:lpstr>
      <vt:lpstr>Mano_Gravable</vt:lpstr>
      <vt:lpstr>ModeloCalculoFinanciamiento</vt:lpstr>
      <vt:lpstr>MontoEjercer1</vt:lpstr>
      <vt:lpstr>MontoEjercer2</vt:lpstr>
      <vt:lpstr>nombrecliente</vt:lpstr>
      <vt:lpstr>nombredelaobra</vt:lpstr>
      <vt:lpstr>numconvocatoria</vt:lpstr>
      <vt:lpstr>numerodeconcurso</vt:lpstr>
      <vt:lpstr>PeriodoAmortizacionP2</vt:lpstr>
      <vt:lpstr>PeriodoEntrega2</vt:lpstr>
      <vt:lpstr>PeriodoEntrega3</vt:lpstr>
      <vt:lpstr>PeriodoEntregaAnticipo2</vt:lpstr>
      <vt:lpstr>PeriodoFinal</vt:lpstr>
      <vt:lpstr>PeriodoFinalCobro</vt:lpstr>
      <vt:lpstr>PeriodoInicial</vt:lpstr>
      <vt:lpstr>PeriodoInicialCobro</vt:lpstr>
      <vt:lpstr>Periodos</vt:lpstr>
      <vt:lpstr>PeriodosProgramados</vt:lpstr>
      <vt:lpstr>plazocalculado</vt:lpstr>
      <vt:lpstr>plazoreal</vt:lpstr>
      <vt:lpstr>Porcentaje_Aplicable_TasaPasiva</vt:lpstr>
      <vt:lpstr>Porcentaje_Campo</vt:lpstr>
      <vt:lpstr>Porcentaje_CargoAdicional</vt:lpstr>
      <vt:lpstr>Porcentaje_Central</vt:lpstr>
      <vt:lpstr>Porcentaje_Indirecto</vt:lpstr>
      <vt:lpstr>Porcentaje_Utilidad</vt:lpstr>
      <vt:lpstr>Porcentaje_Utilidad_Propuesta</vt:lpstr>
      <vt:lpstr>PorcentajeAmortizacion1</vt:lpstr>
      <vt:lpstr>PorcentajeAmortizacion2</vt:lpstr>
      <vt:lpstr>PorcentajeAnticipo1</vt:lpstr>
      <vt:lpstr>PorcentajeAnticipo2</vt:lpstr>
      <vt:lpstr>PorcentajeAplicablePeriodo</vt:lpstr>
      <vt:lpstr>PorcentajeFinanciamiento</vt:lpstr>
      <vt:lpstr>porcentajeivapresupuesto</vt:lpstr>
      <vt:lpstr>PorcentajeNomina</vt:lpstr>
      <vt:lpstr>primeramoneda</vt:lpstr>
      <vt:lpstr>PTU</vt:lpstr>
      <vt:lpstr>PuntosBanco</vt:lpstr>
      <vt:lpstr>razonsocial</vt:lpstr>
      <vt:lpstr>RedondeoPersonalTecnico</vt:lpstr>
      <vt:lpstr>remateprimeramoneda</vt:lpstr>
      <vt:lpstr>rematesegundamoneda</vt:lpstr>
      <vt:lpstr>responsable</vt:lpstr>
      <vt:lpstr>responsabledelaobra</vt:lpstr>
      <vt:lpstr>rfc</vt:lpstr>
      <vt:lpstr>SaldoporAmortizar</vt:lpstr>
      <vt:lpstr>segundamoneda</vt:lpstr>
      <vt:lpstr>'f)Financiamiento'!Suma_Financiamiento</vt:lpstr>
      <vt:lpstr>TasaInteres</vt:lpstr>
      <vt:lpstr>TCostoDirecto</vt:lpstr>
      <vt:lpstr>telefono</vt:lpstr>
      <vt:lpstr>telefonocliente</vt:lpstr>
      <vt:lpstr>telefonodelaobra</vt:lpstr>
      <vt:lpstr>TEquipo</vt:lpstr>
      <vt:lpstr>TImporte</vt:lpstr>
      <vt:lpstr>Tipo_Año</vt:lpstr>
      <vt:lpstr>Tipo_de_Tasa</vt:lpstr>
      <vt:lpstr>TipoDeAnticipo</vt:lpstr>
      <vt:lpstr>tipodelicitacion</vt:lpstr>
      <vt:lpstr>TipoProgramaPersonalTecnico</vt:lpstr>
      <vt:lpstr>TituloPeriodo</vt:lpstr>
      <vt:lpstr>'b)Indirectos Desglosados'!Títulos_a_imprimir</vt:lpstr>
      <vt:lpstr>'c)Resumen Indirectos'!Títulos_a_imprimir</vt:lpstr>
      <vt:lpstr>'d)Pers.Técnico'!Títulos_a_imprimir</vt:lpstr>
      <vt:lpstr>'e)Pers.Técnico$'!Títulos_a_imprimir</vt:lpstr>
      <vt:lpstr>'f)Financiamiento'!Títulos_a_imprimir</vt:lpstr>
      <vt:lpstr>Títulos_a_imprimir</vt:lpstr>
      <vt:lpstr>TManoObra</vt:lpstr>
      <vt:lpstr>TMateriales</vt:lpstr>
      <vt:lpstr>totalpresupuestoprimeramoneda</vt:lpstr>
      <vt:lpstr>totalpresupuestosegundamoneda</vt:lpstr>
      <vt:lpstr>TOtrosInsumos</vt:lpstr>
      <vt:lpstr>Utilidad_Neta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Daniel</dc:creator>
  <cp:lastModifiedBy>Ing. Daniel</cp:lastModifiedBy>
  <cp:lastPrinted>2022-08-02T22:18:08Z</cp:lastPrinted>
  <dcterms:created xsi:type="dcterms:W3CDTF">2022-08-02T03:43:47Z</dcterms:created>
  <dcterms:modified xsi:type="dcterms:W3CDTF">2025-05-09T20:21:25Z</dcterms:modified>
</cp:coreProperties>
</file>