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pivotTables/pivotTable1.xml" ContentType="application/vnd.openxmlformats-officedocument.spreadsheetml.pivotTab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hidePivotFieldList="1" defaultThemeVersion="202300"/>
  <mc:AlternateContent xmlns:mc="http://schemas.openxmlformats.org/markup-compatibility/2006">
    <mc:Choice Requires="x15">
      <x15ac:absPath xmlns:x15ac="http://schemas.microsoft.com/office/spreadsheetml/2010/11/ac" url="C:\AMS\KINGSTON NEGRA\CURSOS\COFIDE\2026\06-08-2026 EXCEL CON IA\"/>
    </mc:Choice>
  </mc:AlternateContent>
  <xr:revisionPtr revIDLastSave="0" documentId="13_ncr:1_{2F6C26B0-8BE0-4747-A196-26AC67C27F65}" xr6:coauthVersionLast="47" xr6:coauthVersionMax="47" xr10:uidLastSave="{00000000-0000-0000-0000-000000000000}"/>
  <bookViews>
    <workbookView xWindow="0" yWindow="45" windowWidth="28800" windowHeight="15435" activeTab="3" xr2:uid="{1C9C4A75-A018-42F5-AA71-BE2ACB44A6BA}"/>
  </bookViews>
  <sheets>
    <sheet name="Resumen CFDI" sheetId="9" r:id="rId1"/>
    <sheet name="TABLA" sheetId="1" r:id="rId2"/>
    <sheet name="CAMARA" sheetId="2" r:id="rId3"/>
    <sheet name="EJEMPLO" sheetId="4" r:id="rId4"/>
    <sheet name="FORMULAS" sheetId="5" r:id="rId5"/>
    <sheet name="TABLAD" sheetId="7" r:id="rId6"/>
    <sheet name="CFDI" sheetId="6" r:id="rId7"/>
    <sheet name="REDUCCIONC" sheetId="8" r:id="rId8"/>
  </sheets>
  <externalReferences>
    <externalReference r:id="rId9"/>
  </externalReferences>
  <definedNames>
    <definedName name="INPCA">[1]INPC!$B$5:$B$60</definedName>
    <definedName name="INPCM">[1]INPC!$C$4:$N$4</definedName>
    <definedName name="TINPC">[1]INPC!$C$5:$N$60</definedName>
  </definedNames>
  <calcPr calcId="191029"/>
  <pivotCaches>
    <pivotCache cacheId="11" r:id="rId10"/>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17" i="4" l="1"/>
  <c r="E18" i="4"/>
  <c r="E19" i="4"/>
  <c r="E20" i="4"/>
  <c r="E21" i="4"/>
  <c r="E22" i="4"/>
  <c r="E23" i="4"/>
  <c r="D18" i="4"/>
  <c r="D19" i="4"/>
  <c r="D20" i="4"/>
  <c r="D21" i="4"/>
  <c r="D22" i="4"/>
  <c r="D23" i="4"/>
  <c r="D17" i="4"/>
  <c r="B55" i="5"/>
  <c r="C53" i="5"/>
  <c r="C52" i="5"/>
  <c r="C51" i="5"/>
  <c r="C50" i="5"/>
  <c r="B48" i="5"/>
  <c r="C46" i="5"/>
  <c r="C45" i="5"/>
  <c r="C44" i="5"/>
  <c r="J49" i="9"/>
  <c r="I49" i="9"/>
  <c r="J48" i="9"/>
  <c r="K48" i="9" s="1"/>
  <c r="I48" i="9"/>
  <c r="E46" i="9"/>
  <c r="D46" i="9"/>
  <c r="C46" i="9"/>
  <c r="E45" i="9"/>
  <c r="D45" i="9"/>
  <c r="C45" i="9"/>
  <c r="E44" i="9"/>
  <c r="D44" i="9"/>
  <c r="C44" i="9"/>
  <c r="J37" i="9"/>
  <c r="I37" i="9"/>
  <c r="J42" i="9"/>
  <c r="I42" i="9"/>
  <c r="J38" i="9"/>
  <c r="I38" i="9"/>
  <c r="J41" i="9"/>
  <c r="I41" i="9"/>
  <c r="J39" i="9"/>
  <c r="I39" i="9"/>
  <c r="J40" i="9"/>
  <c r="I40" i="9"/>
  <c r="D38" i="9"/>
  <c r="C38" i="9"/>
  <c r="D37" i="9"/>
  <c r="C37" i="9"/>
  <c r="E37" i="9" s="1"/>
  <c r="H9" i="9"/>
  <c r="F9" i="9"/>
  <c r="D9" i="9"/>
  <c r="J6" i="9"/>
  <c r="H6" i="9"/>
  <c r="F6" i="9"/>
  <c r="D6" i="9"/>
  <c r="B6" i="9"/>
  <c r="F27" i="8"/>
  <c r="C69" i="8"/>
  <c r="C67" i="8"/>
  <c r="C64" i="8"/>
  <c r="C62" i="8"/>
  <c r="C60" i="8"/>
  <c r="C56" i="8"/>
  <c r="C44" i="8"/>
  <c r="C42" i="8"/>
  <c r="C40" i="8"/>
  <c r="C39" i="8"/>
  <c r="C38" i="8"/>
  <c r="C32" i="8"/>
  <c r="C30" i="8"/>
  <c r="F28" i="8"/>
  <c r="F30" i="8" s="1"/>
  <c r="C28" i="8"/>
  <c r="C27" i="8"/>
  <c r="C26" i="8"/>
  <c r="C22" i="8"/>
  <c r="C20" i="8"/>
  <c r="C18" i="8"/>
  <c r="C17" i="8"/>
  <c r="C16" i="8"/>
  <c r="C12" i="8"/>
  <c r="F10" i="8"/>
  <c r="C10" i="8"/>
  <c r="C61" i="8"/>
  <c r="C55" i="8"/>
  <c r="F29" i="8"/>
  <c r="C21" i="8"/>
  <c r="C31" i="8" s="1"/>
  <c r="C43" i="8" s="1"/>
  <c r="C36" i="5"/>
  <c r="C35" i="5"/>
  <c r="C31" i="5"/>
  <c r="C30" i="5"/>
  <c r="C29" i="5"/>
  <c r="C28" i="5"/>
  <c r="C5" i="6"/>
  <c r="C6" i="6"/>
  <c r="C7" i="6"/>
  <c r="C8" i="6"/>
  <c r="C9" i="6"/>
  <c r="C10" i="6"/>
  <c r="C11" i="6"/>
  <c r="C12" i="6"/>
  <c r="C13" i="6"/>
  <c r="C14" i="6"/>
  <c r="C15" i="6"/>
  <c r="C16" i="6"/>
  <c r="C17" i="6"/>
  <c r="C18" i="6"/>
  <c r="C19" i="6"/>
  <c r="C20" i="6"/>
  <c r="C21" i="6"/>
  <c r="C22" i="6"/>
  <c r="C23" i="6"/>
  <c r="C24" i="6"/>
  <c r="C25" i="6"/>
  <c r="C26" i="6"/>
  <c r="C27" i="6"/>
  <c r="C28" i="6"/>
  <c r="C29" i="6"/>
  <c r="C30" i="6"/>
  <c r="C31" i="6"/>
  <c r="C32" i="6"/>
  <c r="C33" i="6"/>
  <c r="C34" i="6"/>
  <c r="N34" i="6"/>
  <c r="N33" i="6"/>
  <c r="N32" i="6"/>
  <c r="N31" i="6"/>
  <c r="N30" i="6"/>
  <c r="N29" i="6"/>
  <c r="N28" i="6"/>
  <c r="N27" i="6"/>
  <c r="N26" i="6"/>
  <c r="N25" i="6"/>
  <c r="N24" i="6"/>
  <c r="N23" i="6"/>
  <c r="N22" i="6"/>
  <c r="N21" i="6"/>
  <c r="N20" i="6"/>
  <c r="N19" i="6"/>
  <c r="N18" i="6"/>
  <c r="N17" i="6"/>
  <c r="N16" i="6"/>
  <c r="N15" i="6"/>
  <c r="N14" i="6"/>
  <c r="N13" i="6"/>
  <c r="N12" i="6"/>
  <c r="N11" i="6"/>
  <c r="N10" i="6"/>
  <c r="N9" i="6"/>
  <c r="N8" i="6"/>
  <c r="N7" i="6"/>
  <c r="N6" i="6"/>
  <c r="N5" i="6"/>
  <c r="E11" i="5" a="1"/>
  <c r="B11" i="5" a="1"/>
  <c r="B12" i="1" a="1"/>
  <c r="C5" i="5"/>
  <c r="C8" i="5"/>
  <c r="C7" i="5"/>
  <c r="C6" i="5"/>
  <c r="H18" i="4"/>
  <c r="H19" i="4"/>
  <c r="H20" i="4"/>
  <c r="H21" i="4"/>
  <c r="H22" i="4"/>
  <c r="H23" i="4"/>
  <c r="H17" i="4"/>
  <c r="F18" i="4"/>
  <c r="F19" i="4"/>
  <c r="F20" i="4"/>
  <c r="F21" i="4"/>
  <c r="F22" i="4"/>
  <c r="F23" i="4"/>
  <c r="F17" i="4"/>
  <c r="C8" i="4"/>
  <c r="F8" i="1"/>
  <c r="G8" i="1" s="1"/>
  <c r="F7" i="1"/>
  <c r="G7" i="1"/>
  <c r="F5" i="1"/>
  <c r="G5" i="1" s="1"/>
  <c r="F6" i="1"/>
  <c r="G6" i="1" s="1"/>
  <c r="F4" i="1"/>
  <c r="K49" i="9" l="1"/>
  <c r="E38" i="9"/>
  <c r="K40" i="9"/>
  <c r="K37" i="9"/>
  <c r="B13" i="9" s="1"/>
  <c r="K42" i="9"/>
  <c r="K41" i="9"/>
  <c r="K39" i="9"/>
  <c r="K38" i="9"/>
  <c r="B9" i="9"/>
  <c r="J9" i="9"/>
  <c r="C65" i="8"/>
  <c r="C66" i="8" s="1"/>
  <c r="C68" i="8" s="1"/>
  <c r="C70" i="8" s="1"/>
  <c r="C33" i="8"/>
  <c r="C19" i="8"/>
  <c r="C11" i="8"/>
  <c r="G4" i="1"/>
  <c r="C34" i="8" l="1"/>
  <c r="C45" i="8"/>
  <c r="C46" i="8" s="1"/>
  <c r="C48" i="8" s="1"/>
  <c r="C50" i="8" s="1"/>
  <c r="C63" i="8"/>
  <c r="C29" i="8"/>
  <c r="C75" i="8" l="1"/>
  <c r="C41" i="8"/>
  <c r="C74" i="8" s="1"/>
  <c r="C76" i="8"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<sst xmlns="http://schemas.openxmlformats.org/spreadsheetml/2006/main" count="481" uniqueCount="244">
  <si>
    <t>Fecha</t>
  </si>
  <si>
    <t>No. factura</t>
  </si>
  <si>
    <t>Cliente</t>
  </si>
  <si>
    <t>Importe</t>
  </si>
  <si>
    <t>IVA</t>
  </si>
  <si>
    <t>Total</t>
  </si>
  <si>
    <t>A</t>
  </si>
  <si>
    <t>B</t>
  </si>
  <si>
    <t>D</t>
  </si>
  <si>
    <t>Formado código postal</t>
  </si>
  <si>
    <t>Formato de tarjeta de crédito</t>
  </si>
  <si>
    <t>Formato de fecha</t>
  </si>
  <si>
    <t>"CDMX a " d " de " mmmm " de " aaaa</t>
  </si>
  <si>
    <t>Número invisible</t>
  </si>
  <si>
    <t>""</t>
  </si>
  <si>
    <r>
      <rPr>
        <b/>
        <sz val="11"/>
        <color theme="1"/>
        <rFont val="Aptos Narrow"/>
        <family val="2"/>
        <scheme val="minor"/>
      </rPr>
      <t>Artículo 66 LISR</t>
    </r>
    <r>
      <rPr>
        <sz val="11"/>
        <color theme="1"/>
        <rFont val="Aptos Narrow"/>
        <family val="2"/>
        <scheme val="minor"/>
      </rPr>
      <t>.- La jornada de trabajo podrá prolongarse por circunstancias extraordinarias.
En estos casos, se abonará como salario por este tiempo un cien por ciento más de lo fijado para las horas ordinarias. El trabajo extraordinario no excederá de doce horas en una semana, las cuales podrán
distribuirse en hasta cuatro horas diarias, en un máximo de cuatro días en ese periodo.</t>
    </r>
  </si>
  <si>
    <t>Lunes</t>
  </si>
  <si>
    <t>Martes</t>
  </si>
  <si>
    <t>Miércoles</t>
  </si>
  <si>
    <t>Jueves</t>
  </si>
  <si>
    <t>Viernes</t>
  </si>
  <si>
    <t>Sábado</t>
  </si>
  <si>
    <t>Domingo</t>
  </si>
  <si>
    <t>Horas extras</t>
  </si>
  <si>
    <t>Horas extras dobles</t>
  </si>
  <si>
    <t>No. de factura</t>
  </si>
  <si>
    <t>BUSCARV</t>
  </si>
  <si>
    <t>=SI.ERROR(BUSCARV($C$4,TABLA!$C$4:$G$8,3,FALSO),"")</t>
  </si>
  <si>
    <t>=SI.ERROR(BUSCARX(C4,TABLA!C4:C8,TABLA!B4:B8),"")</t>
  </si>
  <si>
    <t>=FILTRAR(B3:G8,D3:D8="A")</t>
  </si>
  <si>
    <t>=SECUENCIA(10,1,1)</t>
  </si>
  <si>
    <t>=SECUENCIA(10,2,1,2)</t>
  </si>
  <si>
    <t>UUID / Folio Fiscal</t>
  </si>
  <si>
    <t>Fecha Emisión</t>
  </si>
  <si>
    <t>Serie-Folio</t>
  </si>
  <si>
    <t>RFC Receptor</t>
  </si>
  <si>
    <t>Nombre / Razón Social Receptor</t>
  </si>
  <si>
    <t>Tipo CFDI</t>
  </si>
  <si>
    <t>Uso CFDI</t>
  </si>
  <si>
    <t>Método Pago</t>
  </si>
  <si>
    <t>Subtotal</t>
  </si>
  <si>
    <t>IVA (16%)</t>
  </si>
  <si>
    <t>Retenciones</t>
  </si>
  <si>
    <t>Estatus</t>
  </si>
  <si>
    <t>550E8400-E29B-41D4-A716-000000000001</t>
  </si>
  <si>
    <t>FA-1001</t>
  </si>
  <si>
    <t>GME920415AB1</t>
  </si>
  <si>
    <t>GRUPO COMMERCIAL MEXICANO S.A. DE C.V.</t>
  </si>
  <si>
    <t>Ingreso</t>
  </si>
  <si>
    <t>G03 - Gastos en general</t>
  </si>
  <si>
    <t>PUE - Pago en una sola exhibición</t>
  </si>
  <si>
    <t>Cancelado</t>
  </si>
  <si>
    <t>550E8400-E29B-41D4-A716-000000000002</t>
  </si>
  <si>
    <t>FA-1002</t>
  </si>
  <si>
    <t>SER980122HA5</t>
  </si>
  <si>
    <t>SERVICIOS INTEGRALES DE COMPUTO S.A.</t>
  </si>
  <si>
    <t>Egreso</t>
  </si>
  <si>
    <t>G02 - Devoluciones, descuentos o bonificaciones</t>
  </si>
  <si>
    <t>Vigente</t>
  </si>
  <si>
    <t>550E8400-E29B-41D4-A716-000000000003</t>
  </si>
  <si>
    <t>FA-1003</t>
  </si>
  <si>
    <t>Pago</t>
  </si>
  <si>
    <t>CP01 - Pagos</t>
  </si>
  <si>
    <t>N/A</t>
  </si>
  <si>
    <t>550E8400-E29B-41D4-A716-000000000004</t>
  </si>
  <si>
    <t>FA-1004</t>
  </si>
  <si>
    <t>G01 - Adquisición de mercancías</t>
  </si>
  <si>
    <t>PPD - Pago en parcialidades o diferido</t>
  </si>
  <si>
    <t>550E8400-E29B-41D4-A716-000000000005</t>
  </si>
  <si>
    <t>FA-1005</t>
  </si>
  <si>
    <t>XAXX010101000</t>
  </si>
  <si>
    <t>PUBLICO EN GENERAL</t>
  </si>
  <si>
    <t>550E8400-E29B-41D4-A716-000000000006</t>
  </si>
  <si>
    <t>FA-1006</t>
  </si>
  <si>
    <t>550E8400-E29B-41D4-A716-000000000007</t>
  </si>
  <si>
    <t>FA-1007</t>
  </si>
  <si>
    <t>550E8400-E29B-41D4-A716-000000000008</t>
  </si>
  <si>
    <t>FA-1008</t>
  </si>
  <si>
    <t>550E8400-E29B-41D4-A716-000000000009</t>
  </si>
  <si>
    <t>FA-1009</t>
  </si>
  <si>
    <t>TEC0506203X2</t>
  </si>
  <si>
    <t>TECNOLOGIA EMPRESARIAL Y CONSULTORIA S.C.</t>
  </si>
  <si>
    <t>550E8400-E29B-41D4-A716-000000000010</t>
  </si>
  <si>
    <t>FA-1010</t>
  </si>
  <si>
    <t>LMO180312KP9</t>
  </si>
  <si>
    <t>LOGISTICA Y MONTAJES DEL NORTE S. DE R.L.</t>
  </si>
  <si>
    <t>I08 - Maquinaria y equipo</t>
  </si>
  <si>
    <t>550E8400-E29B-41D4-A716-000000000011</t>
  </si>
  <si>
    <t>FA-1011</t>
  </si>
  <si>
    <t>S01 - Sin efectos fiscales</t>
  </si>
  <si>
    <t>550E8400-E29B-41D4-A716-000000000012</t>
  </si>
  <si>
    <t>FA-1012</t>
  </si>
  <si>
    <t>550E8400-E29B-41D4-A716-000000000013</t>
  </si>
  <si>
    <t>FA-1013</t>
  </si>
  <si>
    <t>550E8400-E29B-41D4-A716-000000000014</t>
  </si>
  <si>
    <t>FA-1014</t>
  </si>
  <si>
    <t>550E8400-E29B-41D4-A716-000000000015</t>
  </si>
  <si>
    <t>FA-1015</t>
  </si>
  <si>
    <t>550E8400-E29B-41D4-A716-000000000016</t>
  </si>
  <si>
    <t>FA-1016</t>
  </si>
  <si>
    <t>550E8400-E29B-41D4-A716-000000000017</t>
  </si>
  <si>
    <t>FA-1017</t>
  </si>
  <si>
    <t>INM1109088R1</t>
  </si>
  <si>
    <t>INMOBILIARIA Y DESARROLLOS INDUSTRIALES</t>
  </si>
  <si>
    <t>P01 - Por definir</t>
  </si>
  <si>
    <t>550E8400-E29B-41D4-A716-000000000018</t>
  </si>
  <si>
    <t>FA-1018</t>
  </si>
  <si>
    <t>550E8400-E29B-41D4-A716-000000000019</t>
  </si>
  <si>
    <t>FA-1019</t>
  </si>
  <si>
    <t>550E8400-E29B-41D4-A716-000000000020</t>
  </si>
  <si>
    <t>FA-1020</t>
  </si>
  <si>
    <t>550E8400-E29B-41D4-A716-000000000021</t>
  </si>
  <si>
    <t>FA-1021</t>
  </si>
  <si>
    <t>550E8400-E29B-41D4-A716-000000000022</t>
  </si>
  <si>
    <t>FA-1022</t>
  </si>
  <si>
    <t>550E8400-E29B-41D4-A716-000000000023</t>
  </si>
  <si>
    <t>FA-1023</t>
  </si>
  <si>
    <t>550E8400-E29B-41D4-A716-000000000024</t>
  </si>
  <si>
    <t>FA-1024</t>
  </si>
  <si>
    <t>550E8400-E29B-41D4-A716-000000000025</t>
  </si>
  <si>
    <t>FA-1025</t>
  </si>
  <si>
    <t>550E8400-E29B-41D4-A716-000000000026</t>
  </si>
  <si>
    <t>FA-1026</t>
  </si>
  <si>
    <t>550E8400-E29B-41D4-A716-000000000027</t>
  </si>
  <si>
    <t>FA-1027</t>
  </si>
  <si>
    <t>550E8400-E29B-41D4-A716-000000000028</t>
  </si>
  <si>
    <t>FA-1028</t>
  </si>
  <si>
    <t>550E8400-E29B-41D4-A716-000000000029</t>
  </si>
  <si>
    <t>FA-1029</t>
  </si>
  <si>
    <t>550E8400-E29B-41D4-A716-000000000030</t>
  </si>
  <si>
    <t>FA-1030</t>
  </si>
  <si>
    <t>Total general</t>
  </si>
  <si>
    <t>Suma de Subtotal</t>
  </si>
  <si>
    <t>Suma de IVA (16%)</t>
  </si>
  <si>
    <t>Suma de Retenciones</t>
  </si>
  <si>
    <t>Suma de Total</t>
  </si>
  <si>
    <t>(Todas)</t>
  </si>
  <si>
    <t>Año - mes</t>
  </si>
  <si>
    <t>2026-jul</t>
  </si>
  <si>
    <t>Fecha inicial</t>
  </si>
  <si>
    <t>Fecha final</t>
  </si>
  <si>
    <t>=SI.ERROR(SUMAR.SI.CONJUNTO(CFDI!$K:$K,CFDI!$D:$D,"&gt;="&amp;$C$24,CFDI!$D:$D,"&lt;="&amp;$C$25,CFDI!$H:$H,$C$26),"")</t>
  </si>
  <si>
    <t>1256</t>
  </si>
  <si>
    <t>=VALOR(B35)</t>
  </si>
  <si>
    <t>INGRESO   CFDI</t>
  </si>
  <si>
    <t>=ESPACIOS(B36)</t>
  </si>
  <si>
    <r>
      <rPr>
        <b/>
        <sz val="11"/>
        <color rgb="FF0033CC"/>
        <rFont val="Aptos Narrow"/>
        <family val="2"/>
        <scheme val="minor"/>
      </rPr>
      <t>Ley General de Sociedades Mercantiles
Artículo 9o</t>
    </r>
    <r>
      <rPr>
        <sz val="11"/>
        <color rgb="FF0033CC"/>
        <rFont val="Aptos Narrow"/>
        <family val="2"/>
        <scheme val="minor"/>
      </rPr>
      <t>.- Toda sociedad podrá aumentar o disminuir su capital, observando, según su naturaleza, los requisitos que exige esta Ley.
La reducción del capital social, efectuada mediante reembolso a los socios o liberación concedida a éstos de exhibiciones no realizadas, se publicará en el sistema electrónico establecido por la Secretaría de Economía.
Párrafo reformado DOF 13-06-2014
Los acreedores de la sociedad, separada o conjuntamente, podrán oponerse ante la autoridad judicial a dicha reducción, desde el día en que se haya tomado la decisión por la sociedad, hasta cinco días después de la última publicación.
La oposición se tramitará en la vía sumaria, suspendiéndose la reducción entre tanto la sociedad no pague los créditos de los opositores, o no los garantice a satisfacción del Juez que conozca del asunto, o hasta que cause ejecutoria la sentencia que declare que la oposición es infundada.</t>
    </r>
  </si>
  <si>
    <t>Reembolso total</t>
  </si>
  <si>
    <t>Saldo de la CUCA a la fecha de pago</t>
  </si>
  <si>
    <t>③</t>
  </si>
  <si>
    <t>(/) Acciones por reembolsar</t>
  </si>
  <si>
    <t>(/) Total de acciones</t>
  </si>
  <si>
    <t>Reembolso por acción</t>
  </si>
  <si>
    <t>(=) CUCA por acción</t>
  </si>
  <si>
    <t>①</t>
  </si>
  <si>
    <t>(-) CUCA por acción</t>
  </si>
  <si>
    <t>(=) Resultado</t>
  </si>
  <si>
    <t>(x) Acciones a reembolsar</t>
  </si>
  <si>
    <t>(=) Utilidad distribuida gravable</t>
  </si>
  <si>
    <t>⑤</t>
  </si>
  <si>
    <t>Saldo de la CUFIN a la fecha de pago</t>
  </si>
  <si>
    <t>⑥</t>
  </si>
  <si>
    <t>(=) CUFIN por acción</t>
  </si>
  <si>
    <t>(x) Acciones por reembolsar</t>
  </si>
  <si>
    <t>②</t>
  </si>
  <si>
    <t>(=) Utilidad distribuida gravable que no proviene de CUFIN</t>
  </si>
  <si>
    <t>(x) Factor de piramidación</t>
  </si>
  <si>
    <t>(=) Utilidad distribuida gravable + ISR</t>
  </si>
  <si>
    <t>(x) Tasa de ISR artículo 9 LISR</t>
  </si>
  <si>
    <t>(=) ISR utilidad distribuida fracción I artículo 78 LISR</t>
  </si>
  <si>
    <t>⑦</t>
  </si>
  <si>
    <t>Capital contable según el estado de posición financiera aprobado por la asamblea de accionistas para fines de dicha disminución</t>
  </si>
  <si>
    <t>(-) Saldo de la CUCA a la fecha de la reducción</t>
  </si>
  <si>
    <t>(=) Utilidad distribuida máxima</t>
  </si>
  <si>
    <t>④</t>
  </si>
  <si>
    <t>(-) Utilidad distribuida gravable</t>
  </si>
  <si>
    <t>(=) Utilidad distribuida gravable para efectos de la fracción II</t>
  </si>
  <si>
    <t>(=) Utilidad distribuida gravable que no proviene de la CUFIN</t>
  </si>
  <si>
    <t>(=) ISR utilidad distribuida fracción II artículo 78 LISR</t>
  </si>
  <si>
    <t>⑧</t>
  </si>
  <si>
    <t>ISR por reducción de capital</t>
  </si>
  <si>
    <t>ISR utilidad distribuida fracción I artículo 78 LISR</t>
  </si>
  <si>
    <t>(=) ISR por reducción de capital</t>
  </si>
  <si>
    <r>
      <rPr>
        <b/>
        <sz val="12"/>
        <color theme="1"/>
        <rFont val="Aptos Narrow"/>
        <family val="2"/>
        <scheme val="minor"/>
      </rPr>
      <t>Artículo 78 LISR</t>
    </r>
    <r>
      <rPr>
        <sz val="12"/>
        <color theme="1"/>
        <rFont val="Aptos Narrow"/>
        <family val="2"/>
        <scheme val="minor"/>
      </rPr>
      <t xml:space="preserve">. Las personas morales residentes en México que reduzcan su capital determinarán la utilidad distribuida, conforme a lo siguiente:
I.	Se disminuirá del reembolso por acción, el saldo de la cuenta de capital de aportación por acción que se tenga a la fecha en la que se pague el reembolso.
</t>
    </r>
    <r>
      <rPr>
        <b/>
        <sz val="12"/>
        <color theme="1"/>
        <rFont val="Aptos Narrow"/>
        <family val="2"/>
        <scheme val="minor"/>
      </rPr>
      <t>Sexto párrafo</t>
    </r>
    <r>
      <rPr>
        <sz val="12"/>
        <color theme="1"/>
        <rFont val="Aptos Narrow"/>
        <family val="2"/>
        <scheme val="minor"/>
      </rPr>
      <t xml:space="preserve">
Para determinar el monto del saldo de la cuenta de capital de aportación por acción se dividirá el saldo de dicha cuenta a la fecha en que se pague el reembolso, sin considerar éste, entre el total de acciones de la misma persona existentes a la misma fecha, incluyendo las correspondientes a la reinversión o a la capitalización de utilidades, o de cualquier otro concepto que integre el capital contable de la misma.</t>
    </r>
  </si>
  <si>
    <r>
      <rPr>
        <b/>
        <sz val="12"/>
        <color theme="1"/>
        <rFont val="Aptos Narrow"/>
        <family val="2"/>
        <scheme val="minor"/>
      </rPr>
      <t>Artículo 78 fracción I segundo párrafo LISR</t>
    </r>
    <r>
      <rPr>
        <sz val="12"/>
        <color theme="1"/>
        <rFont val="Aptos Narrow"/>
        <family val="2"/>
        <scheme val="minor"/>
      </rPr>
      <t xml:space="preserve">
La utilidad distribuida será la cantidad que resulte de multiplicar el número de acciones que se reembolsen o las que se hayan considerado para la reducción de capital de que se trate, según corresponda, por el monto que resulte conforme al párrafo anterior.</t>
    </r>
  </si>
  <si>
    <r>
      <rPr>
        <b/>
        <sz val="12"/>
        <color theme="1"/>
        <rFont val="Aptos Narrow"/>
        <family val="2"/>
        <scheme val="minor"/>
      </rPr>
      <t>Artículo 78 fracción I segundo párrafo LISR</t>
    </r>
    <r>
      <rPr>
        <sz val="12"/>
        <color theme="1"/>
        <rFont val="Aptos Narrow"/>
        <family val="2"/>
        <scheme val="minor"/>
      </rPr>
      <t xml:space="preserve">
La utilidad distribuida gravable determinada conforme el párrafo anterior podrá provenir de la cuenta de utilidad fiscal neta hasta por la parte que del saldo de dicha cuenta le corresponda al número de acciones que se reembolsan. El monto que de la cuenta de utilidad fiscal neta le corresponda a las acciones señaladas, se disminuirá del saldo que dicha cuenta tenga en la fecha en la que se pagó el reembolso.</t>
    </r>
  </si>
  <si>
    <r>
      <rPr>
        <b/>
        <sz val="12"/>
        <color theme="1"/>
        <rFont val="Aptos Narrow"/>
        <family val="2"/>
        <scheme val="minor"/>
      </rPr>
      <t>Artículo 78 fracción I cuarto párrafo LISR</t>
    </r>
    <r>
      <rPr>
        <sz val="12"/>
        <color theme="1"/>
        <rFont val="Aptos Narrow"/>
        <family val="2"/>
        <scheme val="minor"/>
      </rPr>
      <t xml:space="preserve">
Cuando la utilidad distribuida gravable a que se refiere esta fracción no provenga de la cuenta de utilidad fiscal neta, las personas morales deberán determinar y enterar el impuesto que corresponda aplicando a dicha utilidad la tasa prevista en el artículo 9 de esta Ley. Para estos efectos, el monto de la utilidad distribuida deberá incluir el impuesto sobre la renta que le corresponda a la misma. Para determinar el impuesto que corresponde a dicha utilidad, se multiplicará la misma por el factor de 1.4286 y al resultado se le aplicará la tasa del artículo 9 de esta Ley.</t>
    </r>
  </si>
  <si>
    <r>
      <rPr>
        <b/>
        <sz val="11"/>
        <color theme="1"/>
        <rFont val="Aptos Narrow"/>
        <family val="2"/>
        <scheme val="minor"/>
      </rPr>
      <t>Artículo 78 LISR</t>
    </r>
    <r>
      <rPr>
        <sz val="11"/>
        <color theme="1"/>
        <rFont val="Aptos Narrow"/>
        <family val="2"/>
        <scheme val="minor"/>
      </rPr>
      <t>. Las personas morales residentes en México que reduzcan su capital determinarán la utilidad distribuida, conforme a lo siguiente:
II.	Las personas morales que reduzcan su capital, adicionalmente, considerarán dicha reducción como utilidad distribuida hasta por la cantidad que resulte de restar al capital contable según el estado de posición financiera aprobado por la asamblea de accionistas para fines de dicha disminución, el saldo de la cuenta de capital de aportación que se tenga a la fecha en que se efectúe la reducción referida cuando éste sea menor.</t>
    </r>
  </si>
  <si>
    <r>
      <rPr>
        <b/>
        <sz val="11"/>
        <color theme="1"/>
        <rFont val="Aptos Narrow"/>
        <family val="2"/>
        <scheme val="minor"/>
      </rPr>
      <t>Artículo 78 fracción II segundo párrafo LISR</t>
    </r>
    <r>
      <rPr>
        <sz val="11"/>
        <color theme="1"/>
        <rFont val="Aptos Narrow"/>
        <family val="2"/>
        <scheme val="minor"/>
      </rPr>
      <t xml:space="preserve">
A la cantidad que se obtenga conforme al párrafo anterior se le disminuirá la utilidad distribuida determinada en los términos del segundo párrafo de la fracción I de este artículo. El resultado será la utilidad distribuida gravable para los efectos de esta fracción.
	Cuando la utilidad distribuida gravable a que se refiere el párrafo anterior no provenga de la cuenta de utilidad fiscal neta, las personas morales deberán determinar y enterar el impuesto que corresponda a dicha utilidad, aplicando a la misma la tasa prevista en el artículo 9 de esta Ley. Para estos efectos, el monto de la utilidad distribuida gravable deberá incluir el impuesto sobre la renta que le corresponda a la misma. Para determinar el impuesto que corresponde a dicha utilidad, se multiplicará la misma por el factor de 1.4286 y al resultado se le aplicará la tasa del artículo 9 de esta Ley. Cuando la utilidad distribuida gravable provenga de la mencionada cuenta de utilidad fiscal neta se estará a lo dispuesto en el tercero párrafo del artículo 10 de esta Ley y dicha utilidad se deberá disminuir del saldo de la mencionada cuenta. La utilidad que se determine conforme a esta fracción se considerará para reducciones de capital subsecuentes como aportación de capital en los términos de este artículo.</t>
    </r>
  </si>
  <si>
    <t>(=) CUFIN correspondiente a las acciones a reembolsar</t>
  </si>
  <si>
    <t>(-) CUFIN correspondiente a las acciones a reembolsar</t>
  </si>
  <si>
    <t>(-) CUFIN aplicable después de la fracción I</t>
  </si>
  <si>
    <t>(+) ISR utilidad distribuida fracción II artículo 78 LISR</t>
  </si>
  <si>
    <t>RESUMEN EJECUTIVO CFDI</t>
  </si>
  <si>
    <t>Indicadores de emisión, vigencia, impuestos y concentración | Fuente: CFDI!B4:O34</t>
  </si>
  <si>
    <t>CFDI totales</t>
  </si>
  <si>
    <t>CFDI vigentes</t>
  </si>
  <si>
    <t>Tasa de cancelación</t>
  </si>
  <si>
    <t>Ingresos vigentes</t>
  </si>
  <si>
    <t>Egresos vigentes</t>
  </si>
  <si>
    <t>Neto documental vigente</t>
  </si>
  <si>
    <t>IVA de ingresos vigentes</t>
  </si>
  <si>
    <t>Retenciones de ingresos vigentes</t>
  </si>
  <si>
    <t>Ingresos vigentes PPD</t>
  </si>
  <si>
    <t>Ticket promedio de ingreso</t>
  </si>
  <si>
    <t>LECTURA EJECUTIVA</t>
  </si>
  <si>
    <t>DESEMPEÑO POR MES</t>
  </si>
  <si>
    <t>Mes</t>
  </si>
  <si>
    <t>Ingreso vigente</t>
  </si>
  <si>
    <t>Egreso vigente</t>
  </si>
  <si>
    <t>Neto</t>
  </si>
  <si>
    <t>2026-ago</t>
  </si>
  <si>
    <t>CONCENTRACIÓN POR RECEPTOR</t>
  </si>
  <si>
    <t>Receptor</t>
  </si>
  <si>
    <t>RFC</t>
  </si>
  <si>
    <t>Participación</t>
  </si>
  <si>
    <t>DETALLE POR TIPO Y ESTATUS</t>
  </si>
  <si>
    <t>Tipo</t>
  </si>
  <si>
    <t>Cantidad</t>
  </si>
  <si>
    <t>Vigentes</t>
  </si>
  <si>
    <t>Total vigente</t>
  </si>
  <si>
    <t>MÉTODO DE PAGO — INGRESOS VIGENTES</t>
  </si>
  <si>
    <t>Método</t>
  </si>
  <si>
    <t>PUE</t>
  </si>
  <si>
    <t>PPD</t>
  </si>
  <si>
    <t>Fecha de ingreso</t>
  </si>
  <si>
    <t>Fecha de cálculo</t>
  </si>
  <si>
    <t>Años</t>
  </si>
  <si>
    <t>Meses</t>
  </si>
  <si>
    <t>Días</t>
  </si>
  <si>
    <t>=SIFECHA(C41,C42,"Y")</t>
  </si>
  <si>
    <t>=SIFECHA(C41,C42,"YM")</t>
  </si>
  <si>
    <t>=SIFECHA(C41,C42,"MD")</t>
  </si>
  <si>
    <t>=FECHA(AÑO(C42),C45,C46)</t>
  </si>
  <si>
    <t>=fin.mes(C42,0)</t>
  </si>
  <si>
    <t>Año</t>
  </si>
  <si>
    <t>=año(C42)</t>
  </si>
  <si>
    <t>=mes(C42)</t>
  </si>
  <si>
    <t>Día</t>
  </si>
  <si>
    <t>=DIA(C42)</t>
  </si>
  <si>
    <t>=NUM.DE.SEMANA(C42)</t>
  </si>
  <si>
    <t>=si($C$59&lt;&gt;"",1,0)</t>
  </si>
  <si>
    <t>=CONTAR($C$17:C18)</t>
  </si>
  <si>
    <t>Tope de horas extras dobles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</si>
</sst>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0000"/>
    <numFmt numFmtId="165" formatCode="0000\ 0000\ 0000\ 0000"/>
    <numFmt numFmtId="166" formatCode="&quot;CDMX a &quot;\ d\ &quot; de &quot;\ mmmm\ &quot; de &quot;\ yyyy"/>
    <numFmt numFmtId="167" formatCode="&quot;&quot;"/>
    <numFmt numFmtId="168" formatCode="yyyy\-mm\-dd\ hh:mm"/>
    <numFmt numFmtId="169" formatCode="\$#,##0.00"/>
    <numFmt numFmtId="170" formatCode="0.0000"/>
    <numFmt numFmtId="171" formatCode="0.0%"/>
    <numFmt numFmtId="172" formatCode="&quot;$&quot;#,##0"/>
  </numFmts>
  <fonts count="22" x14ac:knownFonts="1">
    <font>
      <sz val="11"/>
      <color theme="1"/>
      <name val="Aptos Narrow"/>
      <family val="2"/>
      <scheme val="minor"/>
    </font>
    <font>
      <b/>
      <sz val="11"/>
      <color theme="0"/>
      <name val="Aptos Narrow"/>
      <family val="2"/>
      <scheme val="minor"/>
    </font>
    <font>
      <b/>
      <sz val="11"/>
      <color theme="1"/>
      <name val="Aptos Narrow"/>
      <family val="2"/>
      <scheme val="minor"/>
    </font>
    <font>
      <sz val="8"/>
      <name val="Aptos Narrow"/>
      <family val="2"/>
      <scheme val="minor"/>
    </font>
    <font>
      <b/>
      <sz val="11"/>
      <color rgb="FFFFFFFF"/>
      <name val="Segoe UI"/>
      <family val="2"/>
    </font>
    <font>
      <sz val="10"/>
      <color rgb="FF000000"/>
      <name val="Segoe UI"/>
      <family val="2"/>
    </font>
    <font>
      <sz val="11"/>
      <color theme="1"/>
      <name val="Aptos Narrow"/>
      <family val="2"/>
      <scheme val="minor"/>
    </font>
    <font>
      <u/>
      <sz val="11"/>
      <color theme="10"/>
      <name val="Aptos Narrow"/>
      <family val="2"/>
      <scheme val="minor"/>
    </font>
    <font>
      <sz val="11"/>
      <color rgb="FF0033CC"/>
      <name val="Aptos Narrow"/>
      <family val="2"/>
      <scheme val="minor"/>
    </font>
    <font>
      <b/>
      <sz val="11"/>
      <color rgb="FF0033CC"/>
      <name val="Aptos Narrow"/>
      <family val="2"/>
      <scheme val="minor"/>
    </font>
    <font>
      <sz val="12"/>
      <color theme="1"/>
      <name val="Aptos Narrow"/>
      <family val="2"/>
      <scheme val="minor"/>
    </font>
    <font>
      <b/>
      <u/>
      <sz val="11"/>
      <color rgb="FFC00000"/>
      <name val="Arial"/>
      <family val="2"/>
    </font>
    <font>
      <b/>
      <sz val="12"/>
      <color theme="1"/>
      <name val="Aptos Narrow"/>
      <family val="2"/>
      <scheme val="minor"/>
    </font>
    <font>
      <sz val="11"/>
      <color theme="1"/>
      <name val="Calibri"/>
      <family val="2"/>
    </font>
    <font>
      <b/>
      <u/>
      <sz val="11"/>
      <color theme="1"/>
      <name val="Arial"/>
      <family val="2"/>
    </font>
    <font>
      <b/>
      <sz val="11"/>
      <color rgb="FFFFFFFF"/>
      <name val="Aptos Narrow"/>
      <family val="2"/>
      <scheme val="minor"/>
    </font>
    <font>
      <b/>
      <sz val="18"/>
      <color rgb="FFFFFFFF"/>
      <name val="Aptos Narrow"/>
      <family val="2"/>
      <scheme val="minor"/>
    </font>
    <font>
      <i/>
      <sz val="11"/>
      <color rgb="FF666666"/>
      <name val="Aptos Narrow"/>
      <family val="2"/>
      <scheme val="minor"/>
    </font>
    <font>
      <b/>
      <sz val="20"/>
      <color rgb="FF17365D"/>
      <name val="Aptos Narrow"/>
      <family val="2"/>
      <scheme val="minor"/>
    </font>
    <font>
      <sz val="11"/>
      <color rgb="FF1F1F1F"/>
      <name val="Aptos Narrow"/>
      <family val="2"/>
      <scheme val="minor"/>
    </font>
    <font>
      <b/>
      <sz val="11"/>
      <color rgb="FF1F1F1F"/>
      <name val="Aptos Narrow"/>
      <family val="2"/>
      <scheme val="minor"/>
    </font>
    <font>
      <b/>
      <sz val="11"/>
      <color rgb="FFFFFF00"/>
      <name val="Aptos Narrow"/>
      <family val="2"/>
      <scheme val="minor"/>
    </font>
  </fonts>
  <fills count="17">
    <fill>
      <patternFill patternType="none"/>
    </fill>
    <fill>
      <patternFill patternType="gray125"/>
    </fill>
    <fill>
      <patternFill patternType="solid">
        <fgColor theme="6" tint="0.79998168889431442"/>
        <bgColor theme="6" tint="0.79998168889431442"/>
      </patternFill>
    </fill>
    <fill>
      <patternFill patternType="solid">
        <fgColor theme="6"/>
        <bgColor theme="6"/>
      </patternFill>
    </fill>
    <fill>
      <patternFill patternType="solid">
        <fgColor rgb="FFFFFFCC"/>
        <bgColor indexed="64"/>
      </patternFill>
    </fill>
    <fill>
      <patternFill patternType="solid">
        <fgColor rgb="FFC00000"/>
        <bgColor indexed="64"/>
      </patternFill>
    </fill>
    <fill>
      <patternFill patternType="solid">
        <fgColor theme="3" tint="0.89999084444715716"/>
        <bgColor indexed="64"/>
      </patternFill>
    </fill>
    <fill>
      <patternFill patternType="solid">
        <fgColor rgb="FF1F4E78"/>
        <bgColor rgb="FF1F4E78"/>
      </patternFill>
    </fill>
    <fill>
      <patternFill patternType="solid">
        <fgColor rgb="FFF9FAFB"/>
        <bgColor rgb="FFF9FAFB"/>
      </patternFill>
    </fill>
    <fill>
      <patternFill patternType="solid">
        <fgColor rgb="FFFFFFFF"/>
        <bgColor rgb="FFFFFFFF"/>
      </patternFill>
    </fill>
    <fill>
      <patternFill patternType="solid">
        <fgColor theme="9" tint="0.79998168889431442"/>
        <bgColor indexed="64"/>
      </patternFill>
    </fill>
    <fill>
      <patternFill patternType="solid">
        <fgColor rgb="FF17365D"/>
        <bgColor indexed="64"/>
      </patternFill>
    </fill>
    <fill>
      <patternFill patternType="solid">
        <fgColor rgb="FF2F75B5"/>
        <bgColor indexed="64"/>
      </patternFill>
    </fill>
    <fill>
      <patternFill patternType="solid">
        <fgColor rgb="FFD9EAF7"/>
        <bgColor indexed="64"/>
      </patternFill>
    </fill>
    <fill>
      <patternFill patternType="solid">
        <fgColor rgb="FFF4F7FA"/>
        <bgColor indexed="64"/>
      </patternFill>
    </fill>
    <fill>
      <patternFill patternType="solid">
        <fgColor rgb="FFFFF2CC"/>
        <bgColor indexed="64"/>
      </patternFill>
    </fill>
    <fill>
      <patternFill patternType="solid">
        <fgColor rgb="FFE2F0D9"/>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theme="6" tint="0.39997558519241921"/>
      </left>
      <right/>
      <top style="thin">
        <color theme="6" tint="0.39997558519241921"/>
      </top>
      <bottom/>
      <diagonal/>
    </border>
    <border>
      <left/>
      <right/>
      <top style="thin">
        <color theme="6" tint="0.39997558519241921"/>
      </top>
      <bottom/>
      <diagonal/>
    </border>
    <border>
      <left/>
      <right style="thin">
        <color theme="6" tint="0.39997558519241921"/>
      </right>
      <top style="thin">
        <color theme="6" tint="0.39997558519241921"/>
      </top>
      <bottom/>
      <diagonal/>
    </border>
    <border>
      <left style="thin">
        <color rgb="FFD9D9D9"/>
      </left>
      <right style="thin">
        <color rgb="FFD9D9D9"/>
      </right>
      <top style="thin">
        <color rgb="FFD9D9D9"/>
      </top>
      <bottom style="thin">
        <color rgb="FFD9D9D9"/>
      </bottom>
      <diagonal/>
    </border>
    <border>
      <left/>
      <right/>
      <top style="thin">
        <color theme="1"/>
      </top>
      <bottom/>
      <diagonal/>
    </border>
    <border>
      <left style="thin">
        <color rgb="FFD9D9D9"/>
      </left>
      <right/>
      <top style="thin">
        <color rgb="FFD9D9D9"/>
      </top>
      <bottom/>
      <diagonal/>
    </border>
    <border>
      <left style="thin">
        <color rgb="FFD9D9D9"/>
      </left>
      <right style="thin">
        <color rgb="FFD9D9D9"/>
      </right>
      <top style="thin">
        <color rgb="FFD9D9D9"/>
      </top>
      <bottom/>
      <diagonal/>
    </border>
    <border>
      <left style="thin">
        <color rgb="FFD9D9D9"/>
      </left>
      <right/>
      <top style="thin">
        <color rgb="FFD9D9D9"/>
      </top>
      <bottom style="thin">
        <color rgb="FFD9D9D9"/>
      </bottom>
      <diagonal/>
    </border>
    <border>
      <left/>
      <right/>
      <top/>
      <bottom style="thin">
        <color indexed="64"/>
      </bottom>
      <diagonal/>
    </border>
    <border>
      <left style="thin">
        <color rgb="FFB4C6E7"/>
      </left>
      <right style="thin">
        <color rgb="FFB4C6E7"/>
      </right>
      <top style="thin">
        <color rgb="FFB4C6E7"/>
      </top>
      <bottom style="thin">
        <color rgb="FFB4C6E7"/>
      </bottom>
      <diagonal/>
    </border>
  </borders>
  <cellStyleXfs count="3">
    <xf numFmtId="0" fontId="0" fillId="0" borderId="0"/>
    <xf numFmtId="9" fontId="6" fillId="0" borderId="0" applyFont="0" applyFill="0" applyBorder="0" applyAlignment="0" applyProtection="0"/>
    <xf numFmtId="0" fontId="7" fillId="0" borderId="0" applyNumberFormat="0" applyFill="0" applyBorder="0" applyAlignment="0" applyProtection="0"/>
  </cellStyleXfs>
  <cellXfs count="109">
    <xf numFmtId="0" fontId="0" fillId="0" borderId="0" xfId="0"/>
    <xf numFmtId="4" fontId="0" fillId="0" borderId="0" xfId="0" applyNumberFormat="1"/>
    <xf numFmtId="0" fontId="0" fillId="0" borderId="1" xfId="0" applyBorder="1"/>
    <xf numFmtId="0" fontId="0" fillId="4" borderId="1" xfId="0" applyFill="1" applyBorder="1"/>
    <xf numFmtId="164" fontId="0" fillId="4" borderId="1" xfId="0" applyNumberFormat="1" applyFill="1" applyBorder="1"/>
    <xf numFmtId="165" fontId="0" fillId="4" borderId="1" xfId="0" applyNumberFormat="1" applyFill="1" applyBorder="1"/>
    <xf numFmtId="166" fontId="0" fillId="4" borderId="1" xfId="0" applyNumberFormat="1" applyFill="1" applyBorder="1"/>
    <xf numFmtId="0" fontId="0" fillId="0" borderId="0" xfId="0" quotePrefix="1"/>
    <xf numFmtId="167" fontId="0" fillId="4" borderId="1" xfId="0" applyNumberFormat="1" applyFill="1" applyBorder="1"/>
    <xf numFmtId="0" fontId="0" fillId="5" borderId="0" xfId="0" applyFill="1"/>
    <xf numFmtId="0" fontId="2" fillId="6" borderId="1" xfId="0" applyFont="1" applyFill="1" applyBorder="1" applyAlignment="1">
      <alignment horizontal="center"/>
    </xf>
    <xf numFmtId="0" fontId="2" fillId="0" borderId="0" xfId="0" applyFont="1"/>
    <xf numFmtId="4" fontId="0" fillId="0" borderId="1" xfId="0" applyNumberFormat="1" applyBorder="1"/>
    <xf numFmtId="0" fontId="1" fillId="3" borderId="2" xfId="0" applyFont="1" applyFill="1" applyBorder="1"/>
    <xf numFmtId="0" fontId="1" fillId="3" borderId="3" xfId="0" applyFont="1" applyFill="1" applyBorder="1"/>
    <xf numFmtId="0" fontId="1" fillId="3" borderId="4" xfId="0" applyFont="1" applyFill="1" applyBorder="1"/>
    <xf numFmtId="14" fontId="0" fillId="2" borderId="2" xfId="0" applyNumberFormat="1" applyFill="1" applyBorder="1"/>
    <xf numFmtId="0" fontId="0" fillId="2" borderId="3" xfId="0" applyFill="1" applyBorder="1"/>
    <xf numFmtId="4" fontId="0" fillId="2" borderId="3" xfId="0" applyNumberFormat="1" applyFill="1" applyBorder="1"/>
    <xf numFmtId="4" fontId="0" fillId="2" borderId="4" xfId="0" applyNumberFormat="1" applyFill="1" applyBorder="1"/>
    <xf numFmtId="14" fontId="0" fillId="0" borderId="2" xfId="0" applyNumberFormat="1" applyBorder="1"/>
    <xf numFmtId="0" fontId="0" fillId="0" borderId="3" xfId="0" applyBorder="1"/>
    <xf numFmtId="4" fontId="0" fillId="0" borderId="3" xfId="0" applyNumberFormat="1" applyBorder="1"/>
    <xf numFmtId="4" fontId="0" fillId="0" borderId="4" xfId="0" applyNumberFormat="1" applyBorder="1"/>
    <xf numFmtId="14" fontId="0" fillId="0" borderId="1" xfId="0" applyNumberFormat="1" applyBorder="1"/>
    <xf numFmtId="0" fontId="5" fillId="9" borderId="5" xfId="0" applyFont="1" applyFill="1" applyBorder="1" applyAlignment="1">
      <alignment horizontal="center" vertical="center"/>
    </xf>
    <xf numFmtId="0" fontId="0" fillId="0" borderId="1" xfId="0" applyBorder="1" applyAlignment="1">
      <alignment horizontal="justify" vertical="center" wrapText="1"/>
    </xf>
    <xf numFmtId="0" fontId="0" fillId="0" borderId="1" xfId="0" applyBorder="1" applyAlignment="1">
      <alignment horizontal="justify" vertical="center"/>
    </xf>
    <xf numFmtId="0" fontId="0" fillId="0" borderId="0" xfId="0" pivotButton="1"/>
    <xf numFmtId="169" fontId="0" fillId="0" borderId="0" xfId="0" applyNumberFormat="1"/>
    <xf numFmtId="0" fontId="4" fillId="7" borderId="6" xfId="0" applyFont="1" applyFill="1" applyBorder="1" applyAlignment="1">
      <alignment horizontal="center" vertical="center" wrapText="1"/>
    </xf>
    <xf numFmtId="0" fontId="5" fillId="8" borderId="7" xfId="0" applyFont="1" applyFill="1" applyBorder="1" applyAlignment="1">
      <alignment vertical="center"/>
    </xf>
    <xf numFmtId="168" fontId="5" fillId="8" borderId="7" xfId="0" applyNumberFormat="1" applyFont="1" applyFill="1" applyBorder="1" applyAlignment="1">
      <alignment horizontal="center" vertical="center"/>
    </xf>
    <xf numFmtId="0" fontId="5" fillId="8" borderId="7" xfId="0" applyFont="1" applyFill="1" applyBorder="1" applyAlignment="1">
      <alignment horizontal="center" vertical="center"/>
    </xf>
    <xf numFmtId="0" fontId="5" fillId="8" borderId="7" xfId="0" applyFont="1" applyFill="1" applyBorder="1" applyAlignment="1">
      <alignment horizontal="left" vertical="center"/>
    </xf>
    <xf numFmtId="169" fontId="5" fillId="8" borderId="7" xfId="0" applyNumberFormat="1" applyFont="1" applyFill="1" applyBorder="1" applyAlignment="1">
      <alignment horizontal="right" vertical="center"/>
    </xf>
    <xf numFmtId="0" fontId="5" fillId="8" borderId="8" xfId="0" applyFont="1" applyFill="1" applyBorder="1" applyAlignment="1">
      <alignment horizontal="center" vertical="center"/>
    </xf>
    <xf numFmtId="0" fontId="5" fillId="9" borderId="7" xfId="0" applyFont="1" applyFill="1" applyBorder="1" applyAlignment="1">
      <alignment vertical="center"/>
    </xf>
    <xf numFmtId="168" fontId="5" fillId="9" borderId="7" xfId="0" applyNumberFormat="1" applyFont="1" applyFill="1" applyBorder="1" applyAlignment="1">
      <alignment horizontal="center" vertical="center"/>
    </xf>
    <xf numFmtId="0" fontId="5" fillId="9" borderId="7" xfId="0" applyFont="1" applyFill="1" applyBorder="1" applyAlignment="1">
      <alignment horizontal="center" vertical="center"/>
    </xf>
    <xf numFmtId="0" fontId="5" fillId="9" borderId="7" xfId="0" applyFont="1" applyFill="1" applyBorder="1" applyAlignment="1">
      <alignment horizontal="left" vertical="center"/>
    </xf>
    <xf numFmtId="169" fontId="5" fillId="9" borderId="7" xfId="0" applyNumberFormat="1" applyFont="1" applyFill="1" applyBorder="1" applyAlignment="1">
      <alignment horizontal="right" vertical="center"/>
    </xf>
    <xf numFmtId="0" fontId="5" fillId="9" borderId="8" xfId="0" applyFont="1" applyFill="1" applyBorder="1" applyAlignment="1">
      <alignment horizontal="center" vertical="center"/>
    </xf>
    <xf numFmtId="0" fontId="5" fillId="9" borderId="9" xfId="0" applyFont="1" applyFill="1" applyBorder="1" applyAlignment="1">
      <alignment vertical="center"/>
    </xf>
    <xf numFmtId="168" fontId="5" fillId="9" borderId="9" xfId="0" applyNumberFormat="1" applyFont="1" applyFill="1" applyBorder="1" applyAlignment="1">
      <alignment horizontal="center" vertical="center"/>
    </xf>
    <xf numFmtId="0" fontId="5" fillId="9" borderId="9" xfId="0" applyFont="1" applyFill="1" applyBorder="1" applyAlignment="1">
      <alignment horizontal="center" vertical="center"/>
    </xf>
    <xf numFmtId="0" fontId="5" fillId="9" borderId="9" xfId="0" applyFont="1" applyFill="1" applyBorder="1" applyAlignment="1">
      <alignment horizontal="left" vertical="center"/>
    </xf>
    <xf numFmtId="169" fontId="5" fillId="9" borderId="9" xfId="0" applyNumberFormat="1" applyFont="1" applyFill="1" applyBorder="1" applyAlignment="1">
      <alignment horizontal="right" vertical="center"/>
    </xf>
    <xf numFmtId="14" fontId="0" fillId="4" borderId="1" xfId="0" applyNumberFormat="1" applyFill="1" applyBorder="1"/>
    <xf numFmtId="0" fontId="8" fillId="0" borderId="1" xfId="2" applyFont="1" applyBorder="1" applyAlignment="1" applyProtection="1">
      <alignment horizontal="justify" wrapText="1"/>
    </xf>
    <xf numFmtId="0" fontId="8" fillId="0" borderId="1" xfId="2" applyFont="1" applyBorder="1" applyAlignment="1" applyProtection="1">
      <alignment horizontal="justify"/>
    </xf>
    <xf numFmtId="4" fontId="10" fillId="10" borderId="1" xfId="0" applyNumberFormat="1" applyFont="1" applyFill="1" applyBorder="1"/>
    <xf numFmtId="0" fontId="10" fillId="0" borderId="0" xfId="0" applyFont="1"/>
    <xf numFmtId="0" fontId="11" fillId="0" borderId="0" xfId="2" applyFont="1" applyAlignment="1" applyProtection="1">
      <alignment horizontal="right"/>
    </xf>
    <xf numFmtId="0" fontId="12" fillId="0" borderId="0" xfId="0" applyFont="1"/>
    <xf numFmtId="4" fontId="12" fillId="0" borderId="0" xfId="0" applyNumberFormat="1" applyFont="1"/>
    <xf numFmtId="0" fontId="13" fillId="0" borderId="0" xfId="0" applyFont="1"/>
    <xf numFmtId="0" fontId="10" fillId="0" borderId="1" xfId="0" applyFont="1" applyBorder="1" applyAlignment="1">
      <alignment horizontal="justify" vertical="center" wrapText="1"/>
    </xf>
    <xf numFmtId="0" fontId="10" fillId="0" borderId="1" xfId="0" applyFont="1" applyBorder="1" applyAlignment="1">
      <alignment horizontal="justify" vertical="center"/>
    </xf>
    <xf numFmtId="0" fontId="0" fillId="0" borderId="0" xfId="0" applyFont="1"/>
    <xf numFmtId="0" fontId="10" fillId="0" borderId="0" xfId="2" applyFont="1" applyProtection="1"/>
    <xf numFmtId="0" fontId="14" fillId="0" borderId="0" xfId="2" applyFont="1" applyProtection="1"/>
    <xf numFmtId="4" fontId="10" fillId="0" borderId="10" xfId="0" applyNumberFormat="1" applyFont="1" applyBorder="1"/>
    <xf numFmtId="4" fontId="10" fillId="0" borderId="0" xfId="0" applyNumberFormat="1" applyFont="1"/>
    <xf numFmtId="0" fontId="10" fillId="0" borderId="1" xfId="0" applyFont="1" applyBorder="1" applyAlignment="1">
      <alignment horizontal="justify" wrapText="1"/>
    </xf>
    <xf numFmtId="0" fontId="10" fillId="0" borderId="1" xfId="0" applyFont="1" applyBorder="1" applyAlignment="1">
      <alignment horizontal="justify"/>
    </xf>
    <xf numFmtId="4" fontId="0" fillId="0" borderId="0" xfId="0" applyNumberFormat="1" applyFont="1"/>
    <xf numFmtId="9" fontId="0" fillId="0" borderId="10" xfId="1" applyFont="1" applyBorder="1" applyProtection="1"/>
    <xf numFmtId="4" fontId="2" fillId="0" borderId="0" xfId="0" applyNumberFormat="1" applyFont="1"/>
    <xf numFmtId="0" fontId="0" fillId="0" borderId="1" xfId="0" applyFont="1" applyBorder="1" applyAlignment="1">
      <alignment horizontal="justify" vertical="center" wrapText="1"/>
    </xf>
    <xf numFmtId="0" fontId="0" fillId="0" borderId="1" xfId="0" applyFont="1" applyBorder="1" applyAlignment="1">
      <alignment horizontal="justify" vertical="center"/>
    </xf>
    <xf numFmtId="0" fontId="0" fillId="0" borderId="0" xfId="2" applyFont="1" applyAlignment="1" applyProtection="1">
      <alignment horizontal="justify" vertical="center" wrapText="1"/>
    </xf>
    <xf numFmtId="4" fontId="0" fillId="10" borderId="1" xfId="0" applyNumberFormat="1" applyFont="1" applyFill="1" applyBorder="1" applyAlignment="1">
      <alignment vertical="center"/>
    </xf>
    <xf numFmtId="0" fontId="0" fillId="0" borderId="0" xfId="0" applyFont="1" applyAlignment="1">
      <alignment horizontal="justify" vertical="center" wrapText="1"/>
    </xf>
    <xf numFmtId="4" fontId="0" fillId="0" borderId="10" xfId="0" applyNumberFormat="1" applyFont="1" applyBorder="1"/>
    <xf numFmtId="170" fontId="12" fillId="0" borderId="0" xfId="0" applyNumberFormat="1" applyFont="1"/>
    <xf numFmtId="170" fontId="10" fillId="0" borderId="10" xfId="0" applyNumberFormat="1" applyFont="1" applyBorder="1"/>
    <xf numFmtId="170" fontId="10" fillId="0" borderId="0" xfId="0" applyNumberFormat="1" applyFont="1"/>
    <xf numFmtId="4" fontId="0" fillId="0" borderId="1" xfId="0" applyNumberFormat="1" applyFont="1" applyBorder="1" applyAlignment="1">
      <alignment horizontal="justify" vertical="center"/>
    </xf>
    <xf numFmtId="170" fontId="0" fillId="0" borderId="10" xfId="0" applyNumberFormat="1" applyFont="1" applyBorder="1"/>
    <xf numFmtId="0" fontId="16" fillId="11" borderId="0" xfId="0" applyFont="1" applyFill="1" applyAlignment="1">
      <alignment horizontal="center"/>
    </xf>
    <xf numFmtId="0" fontId="17" fillId="0" borderId="0" xfId="0" applyFont="1" applyAlignment="1">
      <alignment horizontal="center"/>
    </xf>
    <xf numFmtId="0" fontId="15" fillId="12" borderId="0" xfId="0" applyFont="1" applyFill="1"/>
    <xf numFmtId="0" fontId="0" fillId="0" borderId="0" xfId="0" applyAlignment="1">
      <alignment horizontal="right"/>
    </xf>
    <xf numFmtId="0" fontId="15" fillId="12" borderId="0" xfId="0" applyFont="1" applyFill="1" applyAlignment="1">
      <alignment horizontal="right"/>
    </xf>
    <xf numFmtId="3" fontId="18" fillId="13" borderId="11" xfId="0" applyNumberFormat="1" applyFont="1" applyFill="1" applyBorder="1" applyAlignment="1">
      <alignment horizontal="center" vertical="center"/>
    </xf>
    <xf numFmtId="171" fontId="18" fillId="15" borderId="11" xfId="0" applyNumberFormat="1" applyFont="1" applyFill="1" applyBorder="1" applyAlignment="1">
      <alignment horizontal="center" vertical="center"/>
    </xf>
    <xf numFmtId="172" fontId="18" fillId="13" borderId="11" xfId="0" applyNumberFormat="1" applyFont="1" applyFill="1" applyBorder="1" applyAlignment="1">
      <alignment horizontal="center" vertical="center"/>
    </xf>
    <xf numFmtId="0" fontId="20" fillId="14" borderId="11" xfId="0" applyFont="1" applyFill="1" applyBorder="1" applyAlignment="1">
      <alignment horizontal="center" vertical="center" wrapText="1"/>
    </xf>
    <xf numFmtId="0" fontId="20" fillId="15" borderId="11" xfId="0" applyFont="1" applyFill="1" applyBorder="1" applyAlignment="1">
      <alignment horizontal="center" vertical="center" wrapText="1"/>
    </xf>
    <xf numFmtId="0" fontId="0" fillId="0" borderId="11" xfId="0" applyBorder="1"/>
    <xf numFmtId="172" fontId="18" fillId="16" borderId="11" xfId="0" applyNumberFormat="1" applyFont="1" applyFill="1" applyBorder="1" applyAlignment="1">
      <alignment horizontal="center" vertical="center"/>
    </xf>
    <xf numFmtId="172" fontId="18" fillId="15" borderId="11" xfId="0" applyNumberFormat="1" applyFont="1" applyFill="1" applyBorder="1" applyAlignment="1">
      <alignment horizontal="center" vertical="center"/>
    </xf>
    <xf numFmtId="0" fontId="20" fillId="16" borderId="11" xfId="0" applyFont="1" applyFill="1" applyBorder="1" applyAlignment="1">
      <alignment horizontal="center" vertical="center" wrapText="1"/>
    </xf>
    <xf numFmtId="0" fontId="15" fillId="12" borderId="11" xfId="0" applyFont="1" applyFill="1" applyBorder="1"/>
    <xf numFmtId="0" fontId="19" fillId="14" borderId="11" xfId="0" applyFont="1" applyFill="1" applyBorder="1" applyAlignment="1">
      <alignment vertical="center" wrapText="1"/>
    </xf>
    <xf numFmtId="0" fontId="15" fillId="11" borderId="11" xfId="0" applyFont="1" applyFill="1" applyBorder="1" applyAlignment="1">
      <alignment horizontal="center"/>
    </xf>
    <xf numFmtId="0" fontId="0" fillId="14" borderId="11" xfId="0" applyFill="1" applyBorder="1"/>
    <xf numFmtId="172" fontId="0" fillId="14" borderId="11" xfId="0" applyNumberFormat="1" applyFill="1" applyBorder="1" applyAlignment="1">
      <alignment horizontal="right"/>
    </xf>
    <xf numFmtId="0" fontId="0" fillId="14" borderId="11" xfId="0" applyFill="1" applyBorder="1" applyAlignment="1">
      <alignment wrapText="1"/>
    </xf>
    <xf numFmtId="172" fontId="0" fillId="14" borderId="11" xfId="0" applyNumberFormat="1" applyFill="1" applyBorder="1"/>
    <xf numFmtId="171" fontId="0" fillId="14" borderId="11" xfId="0" applyNumberFormat="1" applyFill="1" applyBorder="1"/>
    <xf numFmtId="0" fontId="15" fillId="11" borderId="11" xfId="0" applyFont="1" applyFill="1" applyBorder="1" applyAlignment="1">
      <alignment horizontal="right"/>
    </xf>
    <xf numFmtId="0" fontId="0" fillId="14" borderId="11" xfId="0" applyFill="1" applyBorder="1" applyAlignment="1">
      <alignment horizontal="right"/>
    </xf>
    <xf numFmtId="14" fontId="0" fillId="0" borderId="0" xfId="0" applyNumberFormat="1"/>
    <xf numFmtId="14" fontId="0" fillId="6" borderId="1" xfId="0" applyNumberFormat="1" applyFill="1" applyBorder="1"/>
    <xf numFmtId="0" fontId="2" fillId="6" borderId="1" xfId="0" applyFont="1" applyFill="1" applyBorder="1" applyAlignment="1">
      <alignment horizontal="center" wrapText="1"/>
    </xf>
    <xf numFmtId="0" fontId="21" fillId="5" borderId="0" xfId="0" applyFont="1" applyFill="1" applyAlignment="1">
      <alignment horizontal="center" vertical="center"/>
    </xf>
    <xf numFmtId="0" fontId="0" fillId="0" borderId="1" xfId="0" quotePrefix="1" applyBorder="1"/>
  </cellXfs>
  <cellStyles count="3">
    <cellStyle name="Hipervínculo" xfId="2" builtinId="8"/>
    <cellStyle name="Normal" xfId="0" builtinId="0"/>
    <cellStyle name="Porcentaje" xfId="1" builtinId="5"/>
  </cellStyles>
  <dxfs count="4">
    <dxf>
      <font>
        <color rgb="FF9C5700"/>
      </font>
      <fill>
        <patternFill>
          <bgColor rgb="FFFFEB9C"/>
        </patternFill>
      </fill>
    </dxf>
    <dxf>
      <fill>
        <patternFill patternType="none">
          <bgColor auto="1"/>
        </patternFill>
      </fill>
    </dxf>
    <dxf>
      <fill>
        <patternFill patternType="none">
          <bgColor auto="1"/>
        </patternFill>
      </fill>
    </dxf>
    <dxf>
      <font>
        <b/>
        <color rgb="FFC00000"/>
      </font>
      <fill>
        <patternFill patternType="solid">
          <fgColor rgb="FFFCE4D6"/>
          <bgColor rgb="FFFCE4D6"/>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eetMetadata" Target="metadata.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a:t>Ingresos y egresos vigentes por mes</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'Resumen CFDI'!$C$36</c:f>
              <c:strCache>
                <c:ptCount val="1"/>
                <c:pt idx="0">
                  <c:v>Ingreso vigente</c:v>
                </c:pt>
              </c:strCache>
            </c:strRef>
          </c:tx>
          <c:spPr>
            <a:solidFill>
              <a:schemeClr val="accent1"/>
            </a:solidFill>
            <a:ln>
              <a:noFill/>
            </a:ln>
            <a:effectLst/>
          </c:spPr>
          <c:invertIfNegative val="0"/>
          <c:dLbls>
            <c:numFmt formatCode="&quot;$&quot;#,##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'Resumen CFDI'!$B$37:$B$38</c:f>
              <c:strCache>
                <c:ptCount val="2"/>
                <c:pt idx="0">
                  <c:v>2026-jul</c:v>
                </c:pt>
                <c:pt idx="1">
                  <c:v>2026-ago</c:v>
                </c:pt>
              </c:strCache>
            </c:strRef>
          </c:cat>
          <c:val>
            <c:numRef>
              <c:f>'Resumen CFDI'!$C$37:$C$38</c:f>
              <c:numCache>
                <c:formatCode>"$"#,##0</c:formatCode>
                <c:ptCount val="2"/>
                <c:pt idx="0">
                  <c:v>835657.94</c:v>
                </c:pt>
                <c:pt idx="1">
                  <c:v>101906.32</c:v>
                </c:pt>
              </c:numCache>
            </c:numRef>
          </c:val>
          <c:extLst>
            <c:ext xmlns:c16="http://schemas.microsoft.com/office/drawing/2014/chart" uri="{C3380CC4-5D6E-409C-BE32-E72D297353CC}">
              <c16:uniqueId val="{00000000-EC0E-4A2E-A48E-5AB2E8FF5D05}"/>
            </c:ext>
          </c:extLst>
        </c:ser>
        <c:ser>
          <c:idx val="1"/>
          <c:order val="1"/>
          <c:tx>
            <c:strRef>
              <c:f>'Resumen CFDI'!$D$36</c:f>
              <c:strCache>
                <c:ptCount val="1"/>
                <c:pt idx="0">
                  <c:v>Egreso vigente</c:v>
                </c:pt>
              </c:strCache>
            </c:strRef>
          </c:tx>
          <c:spPr>
            <a:solidFill>
              <a:schemeClr val="accent2"/>
            </a:solidFill>
            <a:ln>
              <a:noFill/>
            </a:ln>
            <a:effectLst/>
          </c:spPr>
          <c:invertIfNegative val="0"/>
          <c:dLbls>
            <c:numFmt formatCode="&quot;$&quot;#,##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'Resumen CFDI'!$B$37:$B$38</c:f>
              <c:strCache>
                <c:ptCount val="2"/>
                <c:pt idx="0">
                  <c:v>2026-jul</c:v>
                </c:pt>
                <c:pt idx="1">
                  <c:v>2026-ago</c:v>
                </c:pt>
              </c:strCache>
            </c:strRef>
          </c:cat>
          <c:val>
            <c:numRef>
              <c:f>'Resumen CFDI'!$D$37:$D$38</c:f>
              <c:numCache>
                <c:formatCode>"$"#,##0</c:formatCode>
                <c:ptCount val="2"/>
                <c:pt idx="0">
                  <c:v>47562.6</c:v>
                </c:pt>
                <c:pt idx="1">
                  <c:v>6058.4100000000008</c:v>
                </c:pt>
              </c:numCache>
            </c:numRef>
          </c:val>
          <c:extLst>
            <c:ext xmlns:c16="http://schemas.microsoft.com/office/drawing/2014/chart" uri="{C3380CC4-5D6E-409C-BE32-E72D297353CC}">
              <c16:uniqueId val="{00000001-EC0E-4A2E-A48E-5AB2E8FF5D05}"/>
            </c:ext>
          </c:extLst>
        </c:ser>
        <c:dLbls>
          <c:showLegendKey val="0"/>
          <c:showVal val="0"/>
          <c:showCatName val="0"/>
          <c:showSerName val="0"/>
          <c:showPercent val="0"/>
          <c:showBubbleSize val="0"/>
        </c:dLbls>
        <c:gapWidth val="219"/>
        <c:overlap val="-27"/>
        <c:axId val="1953673583"/>
        <c:axId val="358648272"/>
      </c:barChart>
      <c:catAx>
        <c:axId val="1953673583"/>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MX"/>
                  <a:t>Mes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358648272"/>
        <c:crosses val="autoZero"/>
        <c:auto val="1"/>
        <c:lblAlgn val="ctr"/>
        <c:lblOffset val="100"/>
        <c:noMultiLvlLbl val="0"/>
      </c:catAx>
      <c:valAx>
        <c:axId val="35864827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MX"/>
                  <a:t>MXN</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MX"/>
            </a:p>
          </c:tx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95367358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rgbClr val="FFFFFF"/>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a:t>Ingresos vigentes por receptor</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bar"/>
        <c:grouping val="clustered"/>
        <c:varyColors val="0"/>
        <c:ser>
          <c:idx val="0"/>
          <c:order val="0"/>
          <c:tx>
            <c:strRef>
              <c:f>'Resumen CFDI'!$J$36</c:f>
              <c:strCache>
                <c:ptCount val="1"/>
                <c:pt idx="0">
                  <c:v>Ingreso vigente</c:v>
                </c:pt>
              </c:strCache>
            </c:strRef>
          </c:tx>
          <c:spPr>
            <a:solidFill>
              <a:schemeClr val="accent1"/>
            </a:solidFill>
            <a:ln>
              <a:noFill/>
            </a:ln>
            <a:effectLst/>
          </c:spPr>
          <c:invertIfNegative val="0"/>
          <c:dLbls>
            <c:numFmt formatCode="&quot;$&quot;#,##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'Resumen CFDI'!$I$37:$I$42</c:f>
              <c:strCache>
                <c:ptCount val="6"/>
                <c:pt idx="0">
                  <c:v>INM1109088R1</c:v>
                </c:pt>
                <c:pt idx="1">
                  <c:v>TEC0506203X2</c:v>
                </c:pt>
                <c:pt idx="2">
                  <c:v>SER980122HA5</c:v>
                </c:pt>
                <c:pt idx="3">
                  <c:v>GME920415AB1</c:v>
                </c:pt>
                <c:pt idx="4">
                  <c:v>XAXX010101000</c:v>
                </c:pt>
                <c:pt idx="5">
                  <c:v>LMO180312KP9</c:v>
                </c:pt>
              </c:strCache>
            </c:strRef>
          </c:cat>
          <c:val>
            <c:numRef>
              <c:f>'Resumen CFDI'!$J$37:$J$42</c:f>
              <c:numCache>
                <c:formatCode>"$"#,##0</c:formatCode>
                <c:ptCount val="6"/>
                <c:pt idx="0">
                  <c:v>346325.77</c:v>
                </c:pt>
                <c:pt idx="1">
                  <c:v>249768.21</c:v>
                </c:pt>
                <c:pt idx="2">
                  <c:v>215697.24</c:v>
                </c:pt>
                <c:pt idx="3">
                  <c:v>50235.959999999992</c:v>
                </c:pt>
                <c:pt idx="4">
                  <c:v>39037.919999999998</c:v>
                </c:pt>
                <c:pt idx="5">
                  <c:v>36499.160000000003</c:v>
                </c:pt>
              </c:numCache>
            </c:numRef>
          </c:val>
          <c:extLst>
            <c:ext xmlns:c16="http://schemas.microsoft.com/office/drawing/2014/chart" uri="{C3380CC4-5D6E-409C-BE32-E72D297353CC}">
              <c16:uniqueId val="{00000000-7AF2-43E9-BB85-889FF0BEFF4C}"/>
            </c:ext>
          </c:extLst>
        </c:ser>
        <c:dLbls>
          <c:showLegendKey val="0"/>
          <c:showVal val="0"/>
          <c:showCatName val="0"/>
          <c:showSerName val="0"/>
          <c:showPercent val="0"/>
          <c:showBubbleSize val="0"/>
        </c:dLbls>
        <c:gapWidth val="182"/>
        <c:axId val="1953632751"/>
        <c:axId val="358731792"/>
      </c:barChart>
      <c:catAx>
        <c:axId val="1953632751"/>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MX"/>
                  <a:t>RFC</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MX"/>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358731792"/>
        <c:crosses val="autoZero"/>
        <c:auto val="1"/>
        <c:lblAlgn val="ctr"/>
        <c:lblOffset val="100"/>
        <c:noMultiLvlLbl val="0"/>
      </c:catAx>
      <c:valAx>
        <c:axId val="358731792"/>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MX"/>
                  <a:t>MXN</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MX"/>
            </a:p>
          </c:tx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953632751"/>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rgbClr val="FFFFFF"/>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1</xdr:col>
      <xdr:colOff>1</xdr:colOff>
      <xdr:row>16</xdr:row>
      <xdr:rowOff>0</xdr:rowOff>
    </xdr:from>
    <xdr:to>
      <xdr:col>6</xdr:col>
      <xdr:colOff>1</xdr:colOff>
      <xdr:row>31</xdr:row>
      <xdr:rowOff>0</xdr:rowOff>
    </xdr:to>
    <xdr:graphicFrame macro="">
      <xdr:nvGraphicFramePr>
        <xdr:cNvPr id="2" name="Ingresos y egresos por mes">
          <a:extLst>
            <a:ext uri="{FF2B5EF4-FFF2-40B4-BE49-F238E27FC236}">
              <a16:creationId xmlns:a16="http://schemas.microsoft.com/office/drawing/2014/main" id="{7AC288A0-B3A8-AD34-8050-5936C2882E9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16</xdr:row>
      <xdr:rowOff>0</xdr:rowOff>
    </xdr:from>
    <xdr:to>
      <xdr:col>11</xdr:col>
      <xdr:colOff>0</xdr:colOff>
      <xdr:row>31</xdr:row>
      <xdr:rowOff>0</xdr:rowOff>
    </xdr:to>
    <xdr:graphicFrame macro="">
      <xdr:nvGraphicFramePr>
        <xdr:cNvPr id="3" name="Ingresos vigentes por receptor">
          <a:extLst>
            <a:ext uri="{FF2B5EF4-FFF2-40B4-BE49-F238E27FC236}">
              <a16:creationId xmlns:a16="http://schemas.microsoft.com/office/drawing/2014/main" id="{193C0608-9073-B6FE-3AC4-E1383BE5C90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2</xdr:row>
          <xdr:rowOff>38100</xdr:rowOff>
        </xdr:from>
        <xdr:to>
          <xdr:col>11</xdr:col>
          <xdr:colOff>321174</xdr:colOff>
          <xdr:row>12</xdr:row>
          <xdr:rowOff>114300</xdr:rowOff>
        </xdr:to>
        <xdr:pic>
          <xdr:nvPicPr>
            <xdr:cNvPr id="2" name="Imagen 1">
              <a:extLst>
                <a:ext uri="{FF2B5EF4-FFF2-40B4-BE49-F238E27FC236}">
                  <a16:creationId xmlns:a16="http://schemas.microsoft.com/office/drawing/2014/main" id="{43780D73-B67F-3907-A9EF-0B0DACAC6A5B}"/>
                </a:ext>
              </a:extLst>
            </xdr:cNvPr>
            <xdr:cNvPicPr>
              <a:picLocks noChangeAspect="1" noChangeArrowheads="1"/>
              <a:extLst>
                <a:ext uri="{84589F7E-364E-4C9E-8A38-B11213B215E9}">
                  <a14:cameraTool cellRange="TABLA!$B$3:$G$8" spid="_x0000_s2067"/>
                </a:ext>
              </a:extLst>
            </xdr:cNvPicPr>
          </xdr:nvPicPr>
          <xdr:blipFill>
            <a:blip xmlns:r="http://schemas.openxmlformats.org/officeDocument/2006/relationships" r:embed="rId1"/>
            <a:srcRect/>
            <a:stretch>
              <a:fillRect/>
            </a:stretch>
          </xdr:blipFill>
          <xdr:spPr bwMode="auto">
            <a:xfrm>
              <a:off x="762000" y="419100"/>
              <a:ext cx="7941174" cy="1981200"/>
            </a:xfrm>
            <a:prstGeom prst="rect">
              <a:avLst/>
            </a:prstGeom>
            <a:solidFill>
              <a:srgbClr val="FFFFFF" mc:Ignorable="a14" a14:legacySpreadsheetColorIndex="9"/>
            </a:solidFill>
            <a:ln w="9525">
              <a:solidFill>
                <a:srgbClr val="000000" mc:Ignorable="a14" a14:legacySpreadsheetColorIndex="64"/>
              </a:solidFill>
              <a:miter lim="800000"/>
              <a:headEnd/>
              <a:tailEnd/>
            </a:ln>
          </xdr:spPr>
        </xdr:pic>
        <xdr:clientData/>
      </xdr:twoCellAnchor>
    </mc:Choice>
    <mc:Fallback/>
  </mc:AlternateContent>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DOCUMENTOS/CUCA,%20CUFIN%20Y%20DIVIDENDOS.xlsx" TargetMode="External"/><Relationship Id="rId2" Type="http://schemas.openxmlformats.org/officeDocument/2006/relationships/externalLinkPath" Target="file:///C:\AMS\DOCUMENTOS\CUCA,%20CUFIN%20Y%20DIVIDENDOS.xlsx" TargetMode="External"/><Relationship Id="rId1" Type="http://schemas.openxmlformats.org/officeDocument/2006/relationships/externalLinkPath" Target="/AMS/DOCUMENTOS/CUCA,%20CUFIN%20Y%20DIVIDEND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PORTADA"/>
      <sheetName val="MENU"/>
      <sheetName val="RFCS"/>
      <sheetName val="UTILIDAD"/>
      <sheetName val="DIVIDENDOS"/>
      <sheetName val="CUFIN"/>
      <sheetName val="CALCULOS"/>
      <sheetName val="NODEDUCE"/>
      <sheetName val="REDUCCIONC"/>
      <sheetName val="CUCA"/>
      <sheetName val="FUNDAMENTO"/>
      <sheetName val="INP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4">
          <cell r="C4" t="str">
            <v>ENERO</v>
          </cell>
          <cell r="D4" t="str">
            <v>FEBRERO</v>
          </cell>
          <cell r="E4" t="str">
            <v>MARZO</v>
          </cell>
          <cell r="F4" t="str">
            <v>ABRIL</v>
          </cell>
          <cell r="G4" t="str">
            <v>MAYO</v>
          </cell>
          <cell r="H4" t="str">
            <v>JUNIO</v>
          </cell>
          <cell r="I4" t="str">
            <v>JULIO</v>
          </cell>
          <cell r="J4" t="str">
            <v>AGOSTO</v>
          </cell>
          <cell r="K4" t="str">
            <v>SEPTIEMBRE</v>
          </cell>
          <cell r="L4" t="str">
            <v>OCTUBRE</v>
          </cell>
          <cell r="M4" t="str">
            <v>NOVIEMBRE</v>
          </cell>
          <cell r="N4" t="str">
            <v>DICIEMBRE</v>
          </cell>
        </row>
        <row r="5">
          <cell r="B5">
            <v>2024</v>
          </cell>
          <cell r="C5">
            <v>133.55500000000001</v>
          </cell>
          <cell r="D5">
            <v>133.68100000000001</v>
          </cell>
          <cell r="E5">
            <v>134.065</v>
          </cell>
          <cell r="F5">
            <v>134.33600000000001</v>
          </cell>
          <cell r="G5">
            <v>134.08699999999999</v>
          </cell>
          <cell r="H5">
            <v>134.59399999999999</v>
          </cell>
        </row>
        <row r="6">
          <cell r="B6">
            <v>2023</v>
          </cell>
          <cell r="C6">
            <v>127.336</v>
          </cell>
          <cell r="D6">
            <v>128.04599999999999</v>
          </cell>
          <cell r="E6">
            <v>128.38900000000001</v>
          </cell>
          <cell r="F6">
            <v>128.363</v>
          </cell>
          <cell r="G6">
            <v>128.084</v>
          </cell>
          <cell r="H6">
            <v>128.214</v>
          </cell>
          <cell r="I6">
            <v>128.83199999999999</v>
          </cell>
          <cell r="J6">
            <v>129.54499999999999</v>
          </cell>
          <cell r="K6">
            <v>130.12</v>
          </cell>
          <cell r="L6">
            <v>130.60900000000001</v>
          </cell>
          <cell r="M6">
            <v>131.44499999999999</v>
          </cell>
          <cell r="N6">
            <v>132.37299999999999</v>
          </cell>
        </row>
        <row r="7">
          <cell r="B7">
            <v>2022</v>
          </cell>
          <cell r="C7">
            <v>118.002</v>
          </cell>
          <cell r="D7">
            <v>118.98099999999999</v>
          </cell>
          <cell r="E7">
            <v>120.15900000000001</v>
          </cell>
          <cell r="F7">
            <v>120.809</v>
          </cell>
          <cell r="G7">
            <v>121.02200000000001</v>
          </cell>
          <cell r="H7">
            <v>122.044</v>
          </cell>
          <cell r="I7">
            <v>122.94799999999999</v>
          </cell>
          <cell r="J7">
            <v>123.803</v>
          </cell>
          <cell r="K7">
            <v>124.571</v>
          </cell>
          <cell r="L7">
            <v>125.276</v>
          </cell>
          <cell r="M7">
            <v>125.997</v>
          </cell>
          <cell r="N7">
            <v>126.47799999999999</v>
          </cell>
        </row>
        <row r="8">
          <cell r="B8">
            <v>2021</v>
          </cell>
          <cell r="C8">
            <v>110.21</v>
          </cell>
          <cell r="D8">
            <v>110.907</v>
          </cell>
          <cell r="E8">
            <v>111.824</v>
          </cell>
          <cell r="F8">
            <v>112.19</v>
          </cell>
          <cell r="G8">
            <v>112.419</v>
          </cell>
          <cell r="H8">
            <v>113.018</v>
          </cell>
          <cell r="I8">
            <v>113.682</v>
          </cell>
          <cell r="J8">
            <v>113.899</v>
          </cell>
          <cell r="K8">
            <v>114.601</v>
          </cell>
          <cell r="L8">
            <v>115.56100000000001</v>
          </cell>
          <cell r="M8">
            <v>116.884</v>
          </cell>
          <cell r="N8">
            <v>117.30800000000001</v>
          </cell>
        </row>
        <row r="9">
          <cell r="B9">
            <v>2020</v>
          </cell>
          <cell r="C9">
            <v>106.447</v>
          </cell>
          <cell r="D9">
            <v>106.889</v>
          </cell>
          <cell r="E9">
            <v>106.83799999999999</v>
          </cell>
          <cell r="F9">
            <v>105.755</v>
          </cell>
          <cell r="G9">
            <v>106.16200000000001</v>
          </cell>
          <cell r="H9">
            <v>106.74299999999999</v>
          </cell>
          <cell r="I9">
            <v>107.444</v>
          </cell>
          <cell r="J9">
            <v>107.867</v>
          </cell>
          <cell r="K9">
            <v>108.114</v>
          </cell>
          <cell r="L9">
            <v>108.774</v>
          </cell>
          <cell r="M9">
            <v>108.85599999999999</v>
          </cell>
          <cell r="N9">
            <v>109.271</v>
          </cell>
        </row>
        <row r="10">
          <cell r="B10">
            <v>2019</v>
          </cell>
          <cell r="C10">
            <v>103.108</v>
          </cell>
          <cell r="D10">
            <v>103.07899999999999</v>
          </cell>
          <cell r="E10">
            <v>103.476</v>
          </cell>
          <cell r="F10">
            <v>103.53100000000001</v>
          </cell>
          <cell r="G10">
            <v>103.233</v>
          </cell>
          <cell r="H10">
            <v>103.29900000000001</v>
          </cell>
          <cell r="I10">
            <v>103.687</v>
          </cell>
          <cell r="J10">
            <v>103.67</v>
          </cell>
          <cell r="K10">
            <v>103.94199999999999</v>
          </cell>
          <cell r="L10">
            <v>104.503</v>
          </cell>
          <cell r="M10">
            <v>105.346</v>
          </cell>
          <cell r="N10">
            <v>105.934</v>
          </cell>
        </row>
        <row r="11">
          <cell r="B11">
            <v>2018</v>
          </cell>
          <cell r="C11">
            <v>98.794999699501005</v>
          </cell>
          <cell r="D11">
            <v>99.171374481640001</v>
          </cell>
          <cell r="E11">
            <v>99.492156980588007</v>
          </cell>
          <cell r="F11">
            <v>99.154847046097004</v>
          </cell>
          <cell r="G11">
            <v>98.994080173086999</v>
          </cell>
          <cell r="H11">
            <v>99.376464931786998</v>
          </cell>
          <cell r="I11">
            <v>99.909099104513999</v>
          </cell>
          <cell r="J11">
            <v>100.492</v>
          </cell>
          <cell r="K11">
            <v>100.917</v>
          </cell>
          <cell r="L11">
            <v>101.44</v>
          </cell>
          <cell r="M11">
            <v>102.303</v>
          </cell>
          <cell r="N11">
            <v>103.02</v>
          </cell>
        </row>
        <row r="12">
          <cell r="B12">
            <v>2017</v>
          </cell>
          <cell r="C12">
            <v>93.603882444858996</v>
          </cell>
          <cell r="D12">
            <v>94.144780335356998</v>
          </cell>
          <cell r="E12">
            <v>94.722489332292</v>
          </cell>
          <cell r="F12">
            <v>94.838932628162993</v>
          </cell>
          <cell r="G12">
            <v>94.725494320571997</v>
          </cell>
          <cell r="H12">
            <v>94.963639641805003</v>
          </cell>
          <cell r="I12">
            <v>95.322735741331002</v>
          </cell>
          <cell r="J12">
            <v>95.793767654305995</v>
          </cell>
          <cell r="K12">
            <v>96.093515235290994</v>
          </cell>
          <cell r="L12">
            <v>96.698269126750006</v>
          </cell>
          <cell r="M12">
            <v>97.695173988822006</v>
          </cell>
          <cell r="N12">
            <v>98.272882985755999</v>
          </cell>
        </row>
        <row r="13">
          <cell r="B13">
            <v>2016</v>
          </cell>
          <cell r="C13">
            <v>89.386381393112998</v>
          </cell>
          <cell r="D13">
            <v>89.777781116653998</v>
          </cell>
          <cell r="E13">
            <v>89.910000600998004</v>
          </cell>
          <cell r="F13">
            <v>89.625277961416003</v>
          </cell>
          <cell r="G13">
            <v>89.225614520102994</v>
          </cell>
          <cell r="H13">
            <v>89.324027886291006</v>
          </cell>
          <cell r="I13">
            <v>89.556914478034003</v>
          </cell>
          <cell r="J13">
            <v>89.809333493598999</v>
          </cell>
          <cell r="K13">
            <v>90.357743854798997</v>
          </cell>
          <cell r="L13">
            <v>90.906154215998995</v>
          </cell>
          <cell r="M13">
            <v>91.616833944348002</v>
          </cell>
          <cell r="N13">
            <v>92.039034797764003</v>
          </cell>
        </row>
        <row r="14">
          <cell r="B14">
            <v>2015</v>
          </cell>
          <cell r="C14">
            <v>87.110102770598999</v>
          </cell>
          <cell r="D14">
            <v>87.275377126028999</v>
          </cell>
          <cell r="E14">
            <v>87.630716990203993</v>
          </cell>
          <cell r="F14">
            <v>87.403840375022995</v>
          </cell>
          <cell r="G14">
            <v>86.967365827272999</v>
          </cell>
          <cell r="H14">
            <v>87.113107758880005</v>
          </cell>
          <cell r="I14">
            <v>87.240819760803006</v>
          </cell>
          <cell r="J14">
            <v>87.424875292986002</v>
          </cell>
          <cell r="K14">
            <v>87.752419015566005</v>
          </cell>
          <cell r="L14">
            <v>88.203918504718004</v>
          </cell>
          <cell r="M14">
            <v>88.685467876675006</v>
          </cell>
          <cell r="N14">
            <v>89.046817717411002</v>
          </cell>
        </row>
        <row r="15">
          <cell r="B15">
            <v>2014</v>
          </cell>
          <cell r="C15">
            <v>84.519051625699007</v>
          </cell>
          <cell r="D15">
            <v>84.733157040687999</v>
          </cell>
          <cell r="E15">
            <v>84.965292385360002</v>
          </cell>
          <cell r="F15">
            <v>84.806779253561004</v>
          </cell>
          <cell r="G15">
            <v>84.535579061242004</v>
          </cell>
          <cell r="H15">
            <v>84.682072239918</v>
          </cell>
          <cell r="I15">
            <v>84.914958831660996</v>
          </cell>
          <cell r="J15">
            <v>85.219965142136004</v>
          </cell>
          <cell r="K15">
            <v>85.596339924274005</v>
          </cell>
          <cell r="L15">
            <v>86.069625578460005</v>
          </cell>
          <cell r="M15">
            <v>86.763777871266001</v>
          </cell>
          <cell r="N15">
            <v>87.188983712964003</v>
          </cell>
        </row>
        <row r="16">
          <cell r="B16">
            <v>2013</v>
          </cell>
          <cell r="C16">
            <v>80.892782018150001</v>
          </cell>
          <cell r="D16">
            <v>81.290942965322003</v>
          </cell>
          <cell r="E16">
            <v>81.887433139010994</v>
          </cell>
          <cell r="F16">
            <v>81.941522928061005</v>
          </cell>
          <cell r="G16">
            <v>81.668820241600997</v>
          </cell>
          <cell r="H16">
            <v>81.619237934972006</v>
          </cell>
          <cell r="I16">
            <v>81.592193040447</v>
          </cell>
          <cell r="J16">
            <v>81.824328385119003</v>
          </cell>
          <cell r="K16">
            <v>82.132339683875003</v>
          </cell>
          <cell r="L16">
            <v>82.522988160346003</v>
          </cell>
          <cell r="M16">
            <v>83.292265160165996</v>
          </cell>
          <cell r="N16">
            <v>83.770058296773001</v>
          </cell>
        </row>
        <row r="17">
          <cell r="B17">
            <v>2012</v>
          </cell>
          <cell r="C17">
            <v>78.343049462107004</v>
          </cell>
          <cell r="D17">
            <v>78.502313840976001</v>
          </cell>
          <cell r="E17">
            <v>78.547388665184002</v>
          </cell>
          <cell r="F17">
            <v>78.300979626179995</v>
          </cell>
          <cell r="G17">
            <v>78.053819340104994</v>
          </cell>
          <cell r="H17">
            <v>78.413666686699997</v>
          </cell>
          <cell r="I17">
            <v>78.853897469800003</v>
          </cell>
          <cell r="J17">
            <v>79.090540296892996</v>
          </cell>
          <cell r="K17">
            <v>79.439118937436007</v>
          </cell>
          <cell r="L17">
            <v>79.841036119959</v>
          </cell>
          <cell r="M17">
            <v>80.383436504597995</v>
          </cell>
          <cell r="N17">
            <v>80.568243283851004</v>
          </cell>
        </row>
        <row r="18">
          <cell r="B18">
            <v>2011</v>
          </cell>
          <cell r="C18">
            <v>75.295991345633993</v>
          </cell>
          <cell r="D18">
            <v>75.578460244005001</v>
          </cell>
          <cell r="E18">
            <v>75.723450928540998</v>
          </cell>
          <cell r="F18">
            <v>75.717440951979995</v>
          </cell>
          <cell r="G18">
            <v>75.159264378868997</v>
          </cell>
          <cell r="H18">
            <v>75.155508143518006</v>
          </cell>
          <cell r="I18">
            <v>75.516106737184003</v>
          </cell>
          <cell r="J18">
            <v>75.635555021334994</v>
          </cell>
          <cell r="K18">
            <v>75.821113047658997</v>
          </cell>
          <cell r="L18">
            <v>76.332712302421996</v>
          </cell>
          <cell r="M18">
            <v>77.158332832501998</v>
          </cell>
          <cell r="N18">
            <v>77.792385359696993</v>
          </cell>
        </row>
        <row r="19">
          <cell r="B19">
            <v>2010</v>
          </cell>
          <cell r="C19">
            <v>72.552045976151007</v>
          </cell>
          <cell r="D19">
            <v>72.971670511062001</v>
          </cell>
          <cell r="E19">
            <v>73.489725492434005</v>
          </cell>
          <cell r="F19">
            <v>73.255564640854004</v>
          </cell>
          <cell r="G19">
            <v>72.793977652452</v>
          </cell>
          <cell r="H19">
            <v>72.771183233271003</v>
          </cell>
          <cell r="I19">
            <v>72.929190002590005</v>
          </cell>
          <cell r="J19">
            <v>73.131749500306</v>
          </cell>
          <cell r="K19">
            <v>73.515110186520999</v>
          </cell>
          <cell r="L19">
            <v>73.968926350203006</v>
          </cell>
          <cell r="M19">
            <v>74.561581248891997</v>
          </cell>
          <cell r="N19">
            <v>74.930954450610002</v>
          </cell>
        </row>
        <row r="20">
          <cell r="B20">
            <v>2009</v>
          </cell>
          <cell r="C20">
            <v>69.456149407474001</v>
          </cell>
          <cell r="D20">
            <v>69.609493681960004</v>
          </cell>
          <cell r="E20">
            <v>70.009950182560999</v>
          </cell>
          <cell r="F20">
            <v>70.254990188749005</v>
          </cell>
          <cell r="G20">
            <v>70.050358471107998</v>
          </cell>
          <cell r="H20">
            <v>70.179354161469007</v>
          </cell>
          <cell r="I20">
            <v>70.370516449595002</v>
          </cell>
          <cell r="J20">
            <v>70.538884318540994</v>
          </cell>
          <cell r="K20">
            <v>70.892715870817995</v>
          </cell>
          <cell r="L20">
            <v>71.107190633106001</v>
          </cell>
          <cell r="M20">
            <v>71.476045779843005</v>
          </cell>
          <cell r="N20">
            <v>71.771855174205001</v>
          </cell>
        </row>
        <row r="21">
          <cell r="B21">
            <v>2008</v>
          </cell>
          <cell r="C21">
            <v>65.350563680104003</v>
          </cell>
          <cell r="D21">
            <v>65.544834298119</v>
          </cell>
          <cell r="E21">
            <v>66.019890716036002</v>
          </cell>
          <cell r="F21">
            <v>66.170126660633997</v>
          </cell>
          <cell r="G21">
            <v>66.098635073205003</v>
          </cell>
          <cell r="H21">
            <v>66.372168103369006</v>
          </cell>
          <cell r="I21">
            <v>66.742059360067998</v>
          </cell>
          <cell r="J21">
            <v>67.127492266209003</v>
          </cell>
          <cell r="K21">
            <v>67.584934814760004</v>
          </cell>
          <cell r="L21">
            <v>68.045485693200007</v>
          </cell>
          <cell r="M21">
            <v>68.818941780386993</v>
          </cell>
          <cell r="N21">
            <v>69.295552363249001</v>
          </cell>
        </row>
        <row r="22">
          <cell r="B22">
            <v>2007</v>
          </cell>
          <cell r="C22">
            <v>63.016207934043997</v>
          </cell>
          <cell r="D22">
            <v>63.192346627710997</v>
          </cell>
          <cell r="E22">
            <v>63.329113142792998</v>
          </cell>
          <cell r="F22">
            <v>63.291295129151997</v>
          </cell>
          <cell r="G22">
            <v>62.982534360255002</v>
          </cell>
          <cell r="H22">
            <v>63.058170387535</v>
          </cell>
          <cell r="I22">
            <v>63.326004812904003</v>
          </cell>
          <cell r="J22">
            <v>63.583996193627002</v>
          </cell>
          <cell r="K22">
            <v>64.077702590875006</v>
          </cell>
          <cell r="L22">
            <v>64.327405091895997</v>
          </cell>
          <cell r="M22">
            <v>64.781221255576995</v>
          </cell>
          <cell r="N22">
            <v>65.049055680945997</v>
          </cell>
        </row>
        <row r="23">
          <cell r="B23">
            <v>2006</v>
          </cell>
          <cell r="C23">
            <v>60.603625885795999</v>
          </cell>
          <cell r="D23">
            <v>60.696357727462001</v>
          </cell>
          <cell r="E23">
            <v>60.772511809722999</v>
          </cell>
          <cell r="F23">
            <v>60.861617266518998</v>
          </cell>
          <cell r="G23">
            <v>60.590674511262002</v>
          </cell>
          <cell r="H23">
            <v>60.642998064380002</v>
          </cell>
          <cell r="I23">
            <v>60.809293713400997</v>
          </cell>
          <cell r="J23">
            <v>61.119608647242003</v>
          </cell>
          <cell r="K23">
            <v>61.736612130056002</v>
          </cell>
          <cell r="L23">
            <v>62.006518775350997</v>
          </cell>
          <cell r="M23">
            <v>62.331857303652001</v>
          </cell>
          <cell r="N23">
            <v>62.692423570686003</v>
          </cell>
        </row>
        <row r="24">
          <cell r="B24">
            <v>2005</v>
          </cell>
          <cell r="C24">
            <v>58.309160373300998</v>
          </cell>
          <cell r="D24">
            <v>58.503430991316002</v>
          </cell>
          <cell r="E24">
            <v>58.767120976834001</v>
          </cell>
          <cell r="F24">
            <v>58.976415189308</v>
          </cell>
          <cell r="G24">
            <v>58.828251464635997</v>
          </cell>
          <cell r="H24">
            <v>58.771783471665998</v>
          </cell>
          <cell r="I24">
            <v>59.001799883395002</v>
          </cell>
          <cell r="J24">
            <v>59.072255360862002</v>
          </cell>
          <cell r="K24">
            <v>59.309006487348</v>
          </cell>
          <cell r="L24">
            <v>59.454579937113998</v>
          </cell>
          <cell r="M24">
            <v>59.882493351727</v>
          </cell>
          <cell r="N24">
            <v>60.250312388501001</v>
          </cell>
        </row>
        <row r="25">
          <cell r="B25">
            <v>2004</v>
          </cell>
          <cell r="C25">
            <v>55.774317349450001</v>
          </cell>
          <cell r="D25">
            <v>56.107944757452998</v>
          </cell>
          <cell r="E25">
            <v>56.298070935616998</v>
          </cell>
          <cell r="F25">
            <v>56.383031952562</v>
          </cell>
          <cell r="G25">
            <v>56.241602942646999</v>
          </cell>
          <cell r="H25">
            <v>56.331744509406001</v>
          </cell>
          <cell r="I25">
            <v>56.479390179097003</v>
          </cell>
          <cell r="J25">
            <v>56.828041181560003</v>
          </cell>
          <cell r="K25">
            <v>57.297917049664001</v>
          </cell>
          <cell r="L25">
            <v>57.694747165395</v>
          </cell>
          <cell r="M25">
            <v>58.186899397696997</v>
          </cell>
          <cell r="N25">
            <v>58.307088153376</v>
          </cell>
        </row>
        <row r="26">
          <cell r="B26">
            <v>2003</v>
          </cell>
          <cell r="C26">
            <v>53.525440675315998</v>
          </cell>
          <cell r="D26">
            <v>53.674122454969996</v>
          </cell>
          <cell r="E26">
            <v>54.012930412785998</v>
          </cell>
          <cell r="F26">
            <v>54.105144199469997</v>
          </cell>
          <cell r="G26">
            <v>53.930559670748998</v>
          </cell>
          <cell r="H26">
            <v>53.975112399147001</v>
          </cell>
          <cell r="I26">
            <v>54.053338701333999</v>
          </cell>
          <cell r="J26">
            <v>54.215489910502001</v>
          </cell>
          <cell r="K26">
            <v>54.538238163896999</v>
          </cell>
          <cell r="L26">
            <v>54.738207386707003</v>
          </cell>
          <cell r="M26">
            <v>55.192541605370003</v>
          </cell>
          <cell r="N26">
            <v>55.429810786837997</v>
          </cell>
        </row>
        <row r="27">
          <cell r="B27">
            <v>2002</v>
          </cell>
          <cell r="C27">
            <v>50.900472009715998</v>
          </cell>
          <cell r="D27">
            <v>50.867749849081001</v>
          </cell>
          <cell r="E27">
            <v>51.127948444495999</v>
          </cell>
          <cell r="F27">
            <v>51.407234972562001</v>
          </cell>
          <cell r="G27">
            <v>51.511429231397997</v>
          </cell>
          <cell r="H27">
            <v>51.762586176958997</v>
          </cell>
          <cell r="I27">
            <v>51.911181353361997</v>
          </cell>
          <cell r="J27">
            <v>52.108560301263999</v>
          </cell>
          <cell r="K27">
            <v>52.421983564994001</v>
          </cell>
          <cell r="L27">
            <v>52.653036086686001</v>
          </cell>
          <cell r="M27">
            <v>53.078877281373998</v>
          </cell>
          <cell r="N27">
            <v>53.309929803065003</v>
          </cell>
        </row>
        <row r="28">
          <cell r="B28">
            <v>2001</v>
          </cell>
          <cell r="C28">
            <v>48.575476247933999</v>
          </cell>
          <cell r="D28">
            <v>48.543328159565</v>
          </cell>
          <cell r="E28">
            <v>48.850887781723998</v>
          </cell>
          <cell r="F28">
            <v>49.097308632382997</v>
          </cell>
          <cell r="G28">
            <v>49.209970463624998</v>
          </cell>
          <cell r="H28">
            <v>49.326363767191999</v>
          </cell>
          <cell r="I28">
            <v>49.198201964029998</v>
          </cell>
          <cell r="J28">
            <v>49.489687547186001</v>
          </cell>
          <cell r="K28">
            <v>49.950381149771999</v>
          </cell>
          <cell r="L28">
            <v>50.176135367754</v>
          </cell>
          <cell r="M28">
            <v>50.365148908872001</v>
          </cell>
          <cell r="N28">
            <v>50.434898785092997</v>
          </cell>
        </row>
        <row r="29">
          <cell r="B29">
            <v>2000</v>
          </cell>
          <cell r="C29">
            <v>44.930830116377997</v>
          </cell>
          <cell r="D29">
            <v>45.329380314521998</v>
          </cell>
          <cell r="E29">
            <v>45.580680782035003</v>
          </cell>
          <cell r="F29">
            <v>45.840018271642002</v>
          </cell>
          <cell r="G29">
            <v>46.011379073729003</v>
          </cell>
          <cell r="H29">
            <v>46.283920241006001</v>
          </cell>
          <cell r="I29">
            <v>46.464466209717997</v>
          </cell>
          <cell r="J29">
            <v>46.719785188278003</v>
          </cell>
          <cell r="K29">
            <v>47.061071604014998</v>
          </cell>
          <cell r="L29">
            <v>47.385135825852998</v>
          </cell>
          <cell r="M29">
            <v>47.790287862832997</v>
          </cell>
          <cell r="N29">
            <v>48.307671180741004</v>
          </cell>
        </row>
        <row r="30">
          <cell r="B30">
            <v>1999</v>
          </cell>
          <cell r="C30">
            <v>40.469770280539997</v>
          </cell>
          <cell r="D30">
            <v>41.013642812363997</v>
          </cell>
          <cell r="E30">
            <v>41.394683783067002</v>
          </cell>
          <cell r="F30">
            <v>41.774576609237002</v>
          </cell>
          <cell r="G30">
            <v>42.02587707675</v>
          </cell>
          <cell r="H30">
            <v>42.302006204759003</v>
          </cell>
          <cell r="I30">
            <v>42.581579771548</v>
          </cell>
          <cell r="J30">
            <v>42.821255256237997</v>
          </cell>
          <cell r="K30">
            <v>43.235018392756999</v>
          </cell>
          <cell r="L30">
            <v>43.508851226518999</v>
          </cell>
          <cell r="M30">
            <v>43.895776447019998</v>
          </cell>
          <cell r="N30">
            <v>44.335516388565999</v>
          </cell>
        </row>
        <row r="31">
          <cell r="B31">
            <v>1998</v>
          </cell>
          <cell r="C31">
            <v>34.003924110859998</v>
          </cell>
          <cell r="D31">
            <v>34.599237843852997</v>
          </cell>
          <cell r="E31">
            <v>35.004533397604</v>
          </cell>
          <cell r="F31">
            <v>35.332042063402</v>
          </cell>
          <cell r="G31">
            <v>35.613481363761998</v>
          </cell>
          <cell r="H31">
            <v>36.034420411382001</v>
          </cell>
          <cell r="I31">
            <v>36.381878110460001</v>
          </cell>
          <cell r="J31">
            <v>36.731632103784001</v>
          </cell>
          <cell r="K31">
            <v>37.327376387091</v>
          </cell>
          <cell r="L31">
            <v>37.862268927258</v>
          </cell>
          <cell r="M31">
            <v>38.532786225594002</v>
          </cell>
          <cell r="N31">
            <v>39.472974324694</v>
          </cell>
        </row>
        <row r="32">
          <cell r="B32">
            <v>1997</v>
          </cell>
          <cell r="C32">
            <v>29.498886028859999</v>
          </cell>
          <cell r="D32">
            <v>29.994598091509001</v>
          </cell>
          <cell r="E32">
            <v>30.367889073663001</v>
          </cell>
          <cell r="F32">
            <v>30.695971811728999</v>
          </cell>
          <cell r="G32">
            <v>30.976119445603</v>
          </cell>
          <cell r="H32">
            <v>31.250956912307998</v>
          </cell>
          <cell r="I32">
            <v>31.523211040861</v>
          </cell>
          <cell r="J32">
            <v>31.803502196688001</v>
          </cell>
          <cell r="K32">
            <v>32.199612588994</v>
          </cell>
          <cell r="L32">
            <v>32.456940823078</v>
          </cell>
          <cell r="M32">
            <v>32.820042010843999</v>
          </cell>
          <cell r="N32">
            <v>33.279874507621003</v>
          </cell>
        </row>
        <row r="33">
          <cell r="B33">
            <v>1996</v>
          </cell>
          <cell r="C33">
            <v>23.329753761294</v>
          </cell>
          <cell r="D33">
            <v>23.874262028762001</v>
          </cell>
          <cell r="E33">
            <v>24.399825880352999</v>
          </cell>
          <cell r="F33">
            <v>25.093449617204001</v>
          </cell>
          <cell r="G33">
            <v>25.550842302962</v>
          </cell>
          <cell r="H33">
            <v>25.966901728547001</v>
          </cell>
          <cell r="I33">
            <v>26.336030688063001</v>
          </cell>
          <cell r="J33">
            <v>26.686071714930002</v>
          </cell>
          <cell r="K33">
            <v>27.112751490396999</v>
          </cell>
          <cell r="L33">
            <v>27.451167539621</v>
          </cell>
          <cell r="M33">
            <v>27.867083448433998</v>
          </cell>
          <cell r="N33">
            <v>28.759336453704002</v>
          </cell>
        </row>
        <row r="34">
          <cell r="B34">
            <v>1995</v>
          </cell>
          <cell r="C34">
            <v>15.376990944299999</v>
          </cell>
          <cell r="D34">
            <v>16.028707348708998</v>
          </cell>
          <cell r="E34">
            <v>16.973617202949999</v>
          </cell>
          <cell r="F34">
            <v>18.326133255310999</v>
          </cell>
          <cell r="G34">
            <v>19.092090190992</v>
          </cell>
          <cell r="H34">
            <v>19.698024268685</v>
          </cell>
          <cell r="I34">
            <v>20.099588355293999</v>
          </cell>
          <cell r="J34">
            <v>20.432981265710001</v>
          </cell>
          <cell r="K34">
            <v>20.855642530130002</v>
          </cell>
          <cell r="L34">
            <v>21.284762116614999</v>
          </cell>
          <cell r="M34">
            <v>21.809608384348</v>
          </cell>
          <cell r="N34">
            <v>22.520167271192001</v>
          </cell>
        </row>
        <row r="35">
          <cell r="B35">
            <v>1994</v>
          </cell>
          <cell r="C35">
            <v>13.950374980567</v>
          </cell>
          <cell r="D35">
            <v>14.022124062044</v>
          </cell>
          <cell r="E35">
            <v>14.094224762979</v>
          </cell>
          <cell r="F35">
            <v>14.163251304932</v>
          </cell>
          <cell r="G35">
            <v>14.231682244252999</v>
          </cell>
          <cell r="H35">
            <v>14.302894568965</v>
          </cell>
          <cell r="I35">
            <v>14.366326769868</v>
          </cell>
          <cell r="J35">
            <v>14.433286645443999</v>
          </cell>
          <cell r="K35">
            <v>14.535936644548</v>
          </cell>
          <cell r="L35">
            <v>14.612245304055</v>
          </cell>
          <cell r="M35">
            <v>14.690360856448001</v>
          </cell>
          <cell r="N35">
            <v>14.819204368158999</v>
          </cell>
        </row>
        <row r="36">
          <cell r="B36">
            <v>1993</v>
          </cell>
          <cell r="C36">
            <v>12.977319763866999</v>
          </cell>
          <cell r="D36">
            <v>13.083345310799</v>
          </cell>
          <cell r="E36">
            <v>13.159593689429</v>
          </cell>
          <cell r="F36">
            <v>13.235480403514</v>
          </cell>
          <cell r="G36">
            <v>13.311137489729999</v>
          </cell>
          <cell r="H36">
            <v>13.385797123244</v>
          </cell>
          <cell r="I36">
            <v>13.450123440421001</v>
          </cell>
          <cell r="J36">
            <v>13.522112194855</v>
          </cell>
          <cell r="K36">
            <v>13.622260672231</v>
          </cell>
          <cell r="L36">
            <v>13.677973025024</v>
          </cell>
          <cell r="M36">
            <v>13.738302356338</v>
          </cell>
          <cell r="N36">
            <v>13.843054897126001</v>
          </cell>
        </row>
        <row r="37">
          <cell r="B37">
            <v>1992</v>
          </cell>
          <cell r="C37">
            <v>11.657778465389001</v>
          </cell>
          <cell r="D37">
            <v>11.795900435066001</v>
          </cell>
          <cell r="E37">
            <v>11.915947720289999</v>
          </cell>
          <cell r="F37">
            <v>12.022171319641</v>
          </cell>
          <cell r="G37">
            <v>12.101437891771999</v>
          </cell>
          <cell r="H37">
            <v>12.183345192186</v>
          </cell>
          <cell r="I37">
            <v>12.260272414519999</v>
          </cell>
          <cell r="J37">
            <v>12.335592231401</v>
          </cell>
          <cell r="K37">
            <v>12.442896524527001</v>
          </cell>
          <cell r="L37">
            <v>12.532493537792</v>
          </cell>
          <cell r="M37">
            <v>12.636620340687999</v>
          </cell>
          <cell r="N37">
            <v>12.816553481441</v>
          </cell>
        </row>
        <row r="38">
          <cell r="B38">
            <v>1991</v>
          </cell>
          <cell r="C38">
            <v>9.8838798948009998</v>
          </cell>
          <cell r="D38">
            <v>10.056424721909</v>
          </cell>
          <cell r="E38">
            <v>10.199839643789</v>
          </cell>
          <cell r="F38">
            <v>10.306687551197999</v>
          </cell>
          <cell r="G38">
            <v>10.407441671111</v>
          </cell>
          <cell r="H38">
            <v>10.516647583476001</v>
          </cell>
          <cell r="I38">
            <v>10.609584269261999</v>
          </cell>
          <cell r="J38">
            <v>10.683422977312</v>
          </cell>
          <cell r="K38">
            <v>10.789850374312</v>
          </cell>
          <cell r="L38">
            <v>10.915342738584</v>
          </cell>
          <cell r="M38">
            <v>11.186374096785</v>
          </cell>
          <cell r="N38">
            <v>11.449679866825999</v>
          </cell>
        </row>
        <row r="39">
          <cell r="B39">
            <v>1990</v>
          </cell>
          <cell r="C39">
            <v>7.7760373017279996</v>
          </cell>
          <cell r="D39">
            <v>7.9521198537759998</v>
          </cell>
          <cell r="E39">
            <v>8.0923099196599999</v>
          </cell>
          <cell r="F39">
            <v>8.2154715493909993</v>
          </cell>
          <cell r="G39">
            <v>8.3588376756719995</v>
          </cell>
          <cell r="H39">
            <v>8.5429385894719996</v>
          </cell>
          <cell r="I39">
            <v>8.6987348337260002</v>
          </cell>
          <cell r="J39">
            <v>8.8469504416049993</v>
          </cell>
          <cell r="K39">
            <v>8.9730613687050003</v>
          </cell>
          <cell r="L39">
            <v>9.102059887647</v>
          </cell>
          <cell r="M39">
            <v>9.3437231026759999</v>
          </cell>
          <cell r="N39">
            <v>9.6382139538609994</v>
          </cell>
        </row>
        <row r="40">
          <cell r="B40">
            <v>1989</v>
          </cell>
          <cell r="C40">
            <v>6.349023792963</v>
          </cell>
          <cell r="D40">
            <v>6.4351835425089998</v>
          </cell>
          <cell r="E40">
            <v>6.5049448988289997</v>
          </cell>
          <cell r="F40">
            <v>6.6022244447040004</v>
          </cell>
          <cell r="G40">
            <v>6.6930987691499997</v>
          </cell>
          <cell r="H40">
            <v>6.7743846367099998</v>
          </cell>
          <cell r="I40">
            <v>6.8421482176049997</v>
          </cell>
          <cell r="J40">
            <v>6.9073327757470002</v>
          </cell>
          <cell r="K40">
            <v>6.9733927950019998</v>
          </cell>
          <cell r="L40">
            <v>7.0765250152229999</v>
          </cell>
          <cell r="M40">
            <v>7.175855437159</v>
          </cell>
          <cell r="N40">
            <v>7.4180295787319999</v>
          </cell>
        </row>
        <row r="41">
          <cell r="B41">
            <v>1988</v>
          </cell>
          <cell r="C41">
            <v>4.7182459356499997</v>
          </cell>
          <cell r="D41">
            <v>5.1117830400719999</v>
          </cell>
          <cell r="E41">
            <v>5.3735474255859996</v>
          </cell>
          <cell r="F41">
            <v>5.538940736801</v>
          </cell>
          <cell r="G41">
            <v>5.6461086882159996</v>
          </cell>
          <cell r="H41">
            <v>5.7612921365389997</v>
          </cell>
          <cell r="I41">
            <v>5.857456543164</v>
          </cell>
          <cell r="J41">
            <v>5.9113433427300004</v>
          </cell>
          <cell r="K41">
            <v>5.9451390220790001</v>
          </cell>
          <cell r="L41">
            <v>5.9904864830819999</v>
          </cell>
          <cell r="M41">
            <v>6.0706543465480003</v>
          </cell>
          <cell r="N41">
            <v>6.1973163857179996</v>
          </cell>
        </row>
        <row r="42">
          <cell r="B42">
            <v>1987</v>
          </cell>
          <cell r="C42">
            <v>1.7044012927959999</v>
          </cell>
          <cell r="D42">
            <v>1.8273863901109999</v>
          </cell>
          <cell r="E42">
            <v>1.948152699385</v>
          </cell>
          <cell r="F42">
            <v>2.1186064597269998</v>
          </cell>
          <cell r="G42">
            <v>2.2783250588419999</v>
          </cell>
          <cell r="H42">
            <v>2.443145732803</v>
          </cell>
          <cell r="I42">
            <v>2.641021526516</v>
          </cell>
          <cell r="J42">
            <v>2.8568715486410001</v>
          </cell>
          <cell r="K42">
            <v>3.0450813948030002</v>
          </cell>
          <cell r="L42">
            <v>3.2988446335320001</v>
          </cell>
          <cell r="M42">
            <v>3.560511422667</v>
          </cell>
          <cell r="N42">
            <v>4.0863924586009999</v>
          </cell>
        </row>
        <row r="43">
          <cell r="B43">
            <v>1986</v>
          </cell>
          <cell r="C43">
            <v>0.83409223138499999</v>
          </cell>
          <cell r="D43">
            <v>0.87117447743800003</v>
          </cell>
          <cell r="E43">
            <v>0.91166671679400002</v>
          </cell>
          <cell r="F43">
            <v>0.95926311145800003</v>
          </cell>
          <cell r="G43">
            <v>1.0125700987090001</v>
          </cell>
          <cell r="H43">
            <v>1.0775666443359999</v>
          </cell>
          <cell r="I43">
            <v>1.131332892509</v>
          </cell>
          <cell r="J43">
            <v>1.221531243274</v>
          </cell>
          <cell r="K43">
            <v>1.2948116693730001</v>
          </cell>
          <cell r="L43">
            <v>1.3688240294530001</v>
          </cell>
          <cell r="M43">
            <v>1.4613043243420001</v>
          </cell>
          <cell r="N43">
            <v>1.576734625864</v>
          </cell>
        </row>
        <row r="44">
          <cell r="B44">
            <v>1985</v>
          </cell>
          <cell r="C44">
            <v>0.50271144651599997</v>
          </cell>
          <cell r="D44">
            <v>0.52359622178499998</v>
          </cell>
          <cell r="E44">
            <v>0.54388539960299997</v>
          </cell>
          <cell r="F44">
            <v>0.56062106216600005</v>
          </cell>
          <cell r="G44">
            <v>0.57390224086300001</v>
          </cell>
          <cell r="H44">
            <v>0.58827559343199998</v>
          </cell>
          <cell r="I44">
            <v>0.60876282367000001</v>
          </cell>
          <cell r="J44">
            <v>0.63537685186600001</v>
          </cell>
          <cell r="K44">
            <v>0.66075231421400005</v>
          </cell>
          <cell r="L44">
            <v>0.685852223117</v>
          </cell>
          <cell r="M44">
            <v>0.71749512498900003</v>
          </cell>
          <cell r="N44">
            <v>0.76634013058899997</v>
          </cell>
        </row>
        <row r="45">
          <cell r="B45">
            <v>1984</v>
          </cell>
          <cell r="C45">
            <v>0.31272771793199999</v>
          </cell>
          <cell r="D45">
            <v>0.32923231761100002</v>
          </cell>
          <cell r="E45">
            <v>0.34330428133399998</v>
          </cell>
          <cell r="F45">
            <v>0.35815554998400001</v>
          </cell>
          <cell r="G45">
            <v>0.370031685863</v>
          </cell>
          <cell r="H45">
            <v>0.38342337604799998</v>
          </cell>
          <cell r="I45">
            <v>0.39599270575599999</v>
          </cell>
          <cell r="J45">
            <v>0.40724883861299999</v>
          </cell>
          <cell r="K45">
            <v>0.419380437765</v>
          </cell>
          <cell r="L45">
            <v>0.434033653997</v>
          </cell>
          <cell r="M45">
            <v>0.44892941320899998</v>
          </cell>
          <cell r="N45">
            <v>0.46799581549399999</v>
          </cell>
        </row>
        <row r="46">
          <cell r="B46">
            <v>1983</v>
          </cell>
          <cell r="C46">
            <v>0.18035508617400001</v>
          </cell>
          <cell r="D46">
            <v>0.190033959196</v>
          </cell>
          <cell r="E46">
            <v>0.19923204611199999</v>
          </cell>
          <cell r="F46">
            <v>0.211845861202</v>
          </cell>
          <cell r="G46">
            <v>0.22103390303199999</v>
          </cell>
          <cell r="H46">
            <v>0.22940388942199999</v>
          </cell>
          <cell r="I46">
            <v>0.240746133379</v>
          </cell>
          <cell r="J46">
            <v>0.25009060709100001</v>
          </cell>
          <cell r="K46">
            <v>0.25778749500499998</v>
          </cell>
          <cell r="L46">
            <v>0.26634117851099998</v>
          </cell>
          <cell r="M46">
            <v>0.28198323736800002</v>
          </cell>
          <cell r="N46">
            <v>0.29404738058000002</v>
          </cell>
        </row>
        <row r="47">
          <cell r="B47">
            <v>1982</v>
          </cell>
          <cell r="C47">
            <v>8.5865535761999998E-2</v>
          </cell>
          <cell r="D47">
            <v>8.9239653757999998E-2</v>
          </cell>
          <cell r="E47">
            <v>9.2498950048999995E-2</v>
          </cell>
          <cell r="F47">
            <v>9.7512043770000001E-2</v>
          </cell>
          <cell r="G47">
            <v>0.10299300848700001</v>
          </cell>
          <cell r="H47">
            <v>0.107954431404</v>
          </cell>
          <cell r="I47">
            <v>0.11351720218399999</v>
          </cell>
          <cell r="J47">
            <v>0.126255878884</v>
          </cell>
          <cell r="K47">
            <v>0.132995499623</v>
          </cell>
          <cell r="L47">
            <v>0.13989011723100001</v>
          </cell>
          <cell r="M47">
            <v>0.14696269708699999</v>
          </cell>
          <cell r="N47">
            <v>0.16265641638700001</v>
          </cell>
        </row>
        <row r="48">
          <cell r="B48">
            <v>1981</v>
          </cell>
          <cell r="C48">
            <v>6.5615113636999997E-2</v>
          </cell>
          <cell r="D48">
            <v>6.7226824128999996E-2</v>
          </cell>
          <cell r="E48">
            <v>6.8664872229000001E-2</v>
          </cell>
          <cell r="F48">
            <v>7.0213436998999998E-2</v>
          </cell>
          <cell r="G48">
            <v>7.1275470431999999E-2</v>
          </cell>
          <cell r="H48">
            <v>7.2271488120999997E-2</v>
          </cell>
          <cell r="I48">
            <v>7.3544494264999996E-2</v>
          </cell>
          <cell r="J48">
            <v>7.5060048571000001E-2</v>
          </cell>
          <cell r="K48">
            <v>7.6456481315000005E-2</v>
          </cell>
          <cell r="L48">
            <v>7.8152867892999994E-2</v>
          </cell>
          <cell r="M48">
            <v>7.9656936920999996E-2</v>
          </cell>
          <cell r="N48">
            <v>8.1801099141000005E-2</v>
          </cell>
        </row>
        <row r="49">
          <cell r="B49">
            <v>1980</v>
          </cell>
          <cell r="C49">
            <v>5.1342222290000003E-2</v>
          </cell>
          <cell r="D49">
            <v>5.2529117335E-2</v>
          </cell>
          <cell r="E49">
            <v>5.3609811108999997E-2</v>
          </cell>
          <cell r="F49">
            <v>5.4546982931999999E-2</v>
          </cell>
          <cell r="G49">
            <v>5.5436799348999997E-2</v>
          </cell>
          <cell r="H49">
            <v>5.6536148283E-2</v>
          </cell>
          <cell r="I49">
            <v>5.8114848311E-2</v>
          </cell>
          <cell r="J49">
            <v>5.9318963503999997E-2</v>
          </cell>
          <cell r="K49">
            <v>5.9977717037999999E-2</v>
          </cell>
          <cell r="L49">
            <v>6.0886183433999999E-2</v>
          </cell>
          <cell r="M49">
            <v>6.1942481999000001E-2</v>
          </cell>
          <cell r="N49">
            <v>6.3567107600999997E-2</v>
          </cell>
        </row>
        <row r="50">
          <cell r="B50">
            <v>1979</v>
          </cell>
          <cell r="C50">
            <v>4.2237421534000001E-2</v>
          </cell>
          <cell r="D50">
            <v>4.2844504263000002E-2</v>
          </cell>
          <cell r="E50">
            <v>4.3425751590999997E-2</v>
          </cell>
          <cell r="F50">
            <v>4.3814686550000002E-2</v>
          </cell>
          <cell r="G50">
            <v>4.4388763996000002E-2</v>
          </cell>
          <cell r="H50">
            <v>4.4881030200999997E-2</v>
          </cell>
          <cell r="I50">
            <v>4.5424962027999997E-2</v>
          </cell>
          <cell r="J50">
            <v>4.6112415807999997E-2</v>
          </cell>
          <cell r="K50">
            <v>4.6677878000999998E-2</v>
          </cell>
          <cell r="L50">
            <v>4.7493063416999999E-2</v>
          </cell>
          <cell r="M50">
            <v>4.8104451184000002E-2</v>
          </cell>
          <cell r="N50">
            <v>4.8955511907000003E-2</v>
          </cell>
        </row>
        <row r="51">
          <cell r="B51">
            <v>1978</v>
          </cell>
          <cell r="C51">
            <v>3.5892480982999998E-2</v>
          </cell>
          <cell r="D51">
            <v>3.6407712565E-2</v>
          </cell>
          <cell r="E51">
            <v>3.6786597256000003E-2</v>
          </cell>
          <cell r="F51">
            <v>3.7195627565999999E-2</v>
          </cell>
          <cell r="G51">
            <v>3.7560162134E-2</v>
          </cell>
          <cell r="H51">
            <v>3.8076828728000001E-2</v>
          </cell>
          <cell r="I51">
            <v>3.8722661971000001E-2</v>
          </cell>
          <cell r="J51">
            <v>3.9108726904000003E-2</v>
          </cell>
          <cell r="K51">
            <v>3.9555067534000003E-2</v>
          </cell>
          <cell r="L51">
            <v>4.0034418628000001E-2</v>
          </cell>
          <cell r="M51">
            <v>4.0446313781999997E-2</v>
          </cell>
          <cell r="N51">
            <v>4.0789323166000001E-2</v>
          </cell>
        </row>
        <row r="52">
          <cell r="B52">
            <v>1977</v>
          </cell>
          <cell r="C52">
            <v>3.0026891524999998E-2</v>
          </cell>
          <cell r="D52">
            <v>3.0689944915999998E-2</v>
          </cell>
          <cell r="E52">
            <v>3.1225266668999999E-2</v>
          </cell>
          <cell r="F52">
            <v>3.1697442701999999E-2</v>
          </cell>
          <cell r="G52">
            <v>3.1975866170999998E-2</v>
          </cell>
          <cell r="H52">
            <v>3.2367671153000002E-2</v>
          </cell>
          <cell r="I52">
            <v>3.2733645913999999E-2</v>
          </cell>
          <cell r="J52">
            <v>3.3405309378E-2</v>
          </cell>
          <cell r="K52">
            <v>3.3998041984999998E-2</v>
          </cell>
          <cell r="L52">
            <v>3.4257810293999998E-2</v>
          </cell>
          <cell r="M52">
            <v>3.4632389947999997E-2</v>
          </cell>
          <cell r="N52">
            <v>3.5111741042000003E-2</v>
          </cell>
        </row>
        <row r="53">
          <cell r="B53">
            <v>1976</v>
          </cell>
          <cell r="C53">
            <v>2.3318846237999999E-2</v>
          </cell>
          <cell r="D53">
            <v>2.3755141782E-2</v>
          </cell>
          <cell r="E53">
            <v>2.3987639676999999E-2</v>
          </cell>
          <cell r="F53">
            <v>2.4155556839E-2</v>
          </cell>
          <cell r="G53">
            <v>2.4324909012E-2</v>
          </cell>
          <cell r="H53">
            <v>2.4422500209000001E-2</v>
          </cell>
          <cell r="I53">
            <v>2.4629167883E-2</v>
          </cell>
          <cell r="J53">
            <v>2.4864535803E-2</v>
          </cell>
          <cell r="K53">
            <v>2.5712731682000001E-2</v>
          </cell>
          <cell r="L53">
            <v>2.7160830048999999E-2</v>
          </cell>
          <cell r="M53">
            <v>2.8387910620000002E-2</v>
          </cell>
          <cell r="N53">
            <v>2.9099759608E-2</v>
          </cell>
        </row>
        <row r="54">
          <cell r="B54">
            <v>1975</v>
          </cell>
          <cell r="C54">
            <v>2.0815889497999999E-2</v>
          </cell>
          <cell r="D54">
            <v>2.0930700843E-2</v>
          </cell>
          <cell r="E54">
            <v>2.1062737517E-2</v>
          </cell>
          <cell r="F54">
            <v>2.1240699762999998E-2</v>
          </cell>
          <cell r="G54">
            <v>2.1524868462999999E-2</v>
          </cell>
          <cell r="H54">
            <v>2.1890838042999999E-2</v>
          </cell>
          <cell r="I54">
            <v>2.2065930264999999E-2</v>
          </cell>
          <cell r="J54">
            <v>2.2256812803999999E-2</v>
          </cell>
          <cell r="K54">
            <v>2.2418984735000001E-2</v>
          </cell>
          <cell r="L54">
            <v>2.2533801260999999E-2</v>
          </cell>
          <cell r="M54">
            <v>2.2691673336000001E-2</v>
          </cell>
          <cell r="N54">
            <v>2.2876810644E-2</v>
          </cell>
        </row>
        <row r="55">
          <cell r="B55">
            <v>1974</v>
          </cell>
          <cell r="C55">
            <v>1.7652744211999999E-2</v>
          </cell>
          <cell r="D55">
            <v>1.8051724256000001E-2</v>
          </cell>
          <cell r="E55">
            <v>1.8190941171000001E-2</v>
          </cell>
          <cell r="F55">
            <v>1.8437789190000001E-2</v>
          </cell>
          <cell r="G55">
            <v>1.8582746154000001E-2</v>
          </cell>
          <cell r="H55">
            <v>1.8766448450000001E-2</v>
          </cell>
          <cell r="I55">
            <v>1.9037696858000001E-2</v>
          </cell>
          <cell r="J55">
            <v>1.9238624482000002E-2</v>
          </cell>
          <cell r="K55">
            <v>1.9456772255000001E-2</v>
          </cell>
          <cell r="L55">
            <v>1.9842832008000001E-2</v>
          </cell>
          <cell r="M55">
            <v>2.0393944077000001E-2</v>
          </cell>
          <cell r="N55">
            <v>2.0553251163999999E-2</v>
          </cell>
        </row>
        <row r="56">
          <cell r="B56">
            <v>1973</v>
          </cell>
          <cell r="C56">
            <v>1.4245620933999999E-2</v>
          </cell>
          <cell r="D56">
            <v>1.4363307483E-2</v>
          </cell>
          <cell r="E56">
            <v>1.4489604107000001E-2</v>
          </cell>
          <cell r="F56">
            <v>1.4719231978E-2</v>
          </cell>
          <cell r="G56">
            <v>1.4875669039999999E-2</v>
          </cell>
          <cell r="H56">
            <v>1.4997655447E-2</v>
          </cell>
          <cell r="I56">
            <v>1.5382285367999999E-2</v>
          </cell>
          <cell r="J56">
            <v>1.5629138567E-2</v>
          </cell>
          <cell r="K56">
            <v>1.6000848195999999E-2</v>
          </cell>
          <cell r="L56">
            <v>1.6206080857E-2</v>
          </cell>
          <cell r="M56">
            <v>1.640557347E-2</v>
          </cell>
          <cell r="N56">
            <v>1.7042791458000001E-2</v>
          </cell>
        </row>
        <row r="57">
          <cell r="B57">
            <v>1972</v>
          </cell>
          <cell r="C57">
            <v>1.3361549746E-2</v>
          </cell>
          <cell r="D57">
            <v>1.3403170284E-2</v>
          </cell>
          <cell r="E57">
            <v>1.3476366272000001E-2</v>
          </cell>
          <cell r="F57">
            <v>1.3561042358E-2</v>
          </cell>
          <cell r="G57">
            <v>1.3588307592E-2</v>
          </cell>
          <cell r="H57">
            <v>1.3688768814E-2</v>
          </cell>
          <cell r="I57">
            <v>1.3740439618E-2</v>
          </cell>
          <cell r="J57">
            <v>1.3830855754000001E-2</v>
          </cell>
          <cell r="K57">
            <v>1.3894001475000001E-2</v>
          </cell>
          <cell r="L57">
            <v>1.3904046562E-2</v>
          </cell>
          <cell r="M57">
            <v>1.3994462698000001E-2</v>
          </cell>
          <cell r="N57">
            <v>1.4041828465E-2</v>
          </cell>
        </row>
        <row r="58">
          <cell r="B58">
            <v>1971</v>
          </cell>
          <cell r="C58">
            <v>1.2798957579E-2</v>
          </cell>
          <cell r="D58">
            <v>1.2852058214E-2</v>
          </cell>
          <cell r="E58">
            <v>1.2900853812999999E-2</v>
          </cell>
          <cell r="F58">
            <v>1.2966874739E-2</v>
          </cell>
          <cell r="G58">
            <v>1.2994145154000001E-2</v>
          </cell>
          <cell r="H58">
            <v>1.3052985838000001E-2</v>
          </cell>
          <cell r="I58">
            <v>1.3042940752E-2</v>
          </cell>
          <cell r="J58">
            <v>1.3162057134E-2</v>
          </cell>
          <cell r="K58">
            <v>1.3205112683E-2</v>
          </cell>
          <cell r="L58">
            <v>1.3218032974E-2</v>
          </cell>
          <cell r="M58">
            <v>1.3239558158999999E-2</v>
          </cell>
          <cell r="N58">
            <v>1.3302709062E-2</v>
          </cell>
        </row>
        <row r="59">
          <cell r="B59">
            <v>1970</v>
          </cell>
          <cell r="C59">
            <v>1.2197614896999999E-2</v>
          </cell>
          <cell r="D59">
            <v>1.2196179885E-2</v>
          </cell>
          <cell r="E59">
            <v>1.2232060373E-2</v>
          </cell>
          <cell r="F59">
            <v>1.2247845508E-2</v>
          </cell>
          <cell r="G59">
            <v>1.2273680909999999E-2</v>
          </cell>
          <cell r="H59">
            <v>1.2348311911E-2</v>
          </cell>
          <cell r="I59">
            <v>1.2408587608E-2</v>
          </cell>
          <cell r="J59">
            <v>1.2465993280999999E-2</v>
          </cell>
          <cell r="K59">
            <v>1.249613372E-2</v>
          </cell>
          <cell r="L59">
            <v>1.2500438756E-2</v>
          </cell>
          <cell r="M59">
            <v>1.2567894695E-2</v>
          </cell>
          <cell r="N59">
            <v>1.2674095967000001E-2</v>
          </cell>
        </row>
        <row r="60">
          <cell r="B60">
            <v>1969</v>
          </cell>
          <cell r="C60">
            <v>1.1594842385E-2</v>
          </cell>
          <cell r="D60">
            <v>1.1636457742000001E-2</v>
          </cell>
          <cell r="E60">
            <v>1.1647943020999999E-2</v>
          </cell>
          <cell r="F60">
            <v>1.1679513290999999E-2</v>
          </cell>
          <cell r="G60">
            <v>1.1679513290999999E-2</v>
          </cell>
          <cell r="H60">
            <v>1.1721133829E-2</v>
          </cell>
          <cell r="I60">
            <v>1.176562439E-2</v>
          </cell>
          <cell r="J60">
            <v>1.1778544681E-2</v>
          </cell>
          <cell r="K60">
            <v>1.1889050989E-2</v>
          </cell>
          <cell r="L60">
            <v>1.2013912601E-2</v>
          </cell>
          <cell r="M60">
            <v>1.2015347613000001E-2</v>
          </cell>
          <cell r="N60">
            <v>1.2105763748999999E-2</v>
          </cell>
        </row>
      </sheetData>
    </sheetDataSet>
  </externalBook>
</externalLink>
</file>

<file path=xl/persons/person.xml><?xml version="1.0" encoding="utf-8"?>
<personList xmlns="http://schemas.microsoft.com/office/spreadsheetml/2018/threadedcomments" xmlns:x="http://schemas.openxmlformats.org/spreadsheetml/2006/main"/>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Usuario" refreshedDate="46240.707126967594" createdVersion="8" refreshedVersion="8" minRefreshableVersion="3" recordCount="30" xr:uid="{E635BEB5-88F3-4798-8C43-8C65C722AEA0}">
  <cacheSource type="worksheet">
    <worksheetSource ref="B4:O34" sheet="CFDI"/>
  </cacheSource>
  <cacheFields count="14">
    <cacheField name="UUID / Folio Fiscal" numFmtId="0">
      <sharedItems/>
    </cacheField>
    <cacheField name="Año - mes" numFmtId="0">
      <sharedItems count="2">
        <s v="2026-jul"/>
        <s v="2026-ago"/>
      </sharedItems>
    </cacheField>
    <cacheField name="Fecha Emisión" numFmtId="168">
      <sharedItems containsSemiMixedTypes="0" containsNonDate="0" containsDate="1" containsString="0" minDate="2026-07-02T13:48:00" maxDate="2026-08-06T16:00:00" count="30">
        <d v="2026-07-02T13:48:00"/>
        <d v="2026-07-03T18:36:00"/>
        <d v="2026-07-05T01:24:00"/>
        <d v="2026-07-06T03:12:00"/>
        <d v="2026-07-07T10:00:00"/>
        <d v="2026-07-08T17:48:00"/>
        <d v="2026-07-09T21:36:00"/>
        <d v="2026-07-10T23:24:00"/>
        <d v="2026-07-12T06:12:00"/>
        <d v="2026-07-13T13:00:00"/>
        <d v="2026-07-14T21:48:00"/>
        <d v="2026-07-15T20:36:00"/>
        <d v="2026-07-17T04:24:00"/>
        <d v="2026-07-18T06:12:00"/>
        <d v="2026-07-19T10:00:00"/>
        <d v="2026-07-20T18:48:00"/>
        <d v="2026-07-22T01:36:00"/>
        <d v="2026-07-23T04:24:00"/>
        <d v="2026-07-24T07:12:00"/>
        <d v="2026-07-25T13:00:00"/>
        <d v="2026-07-26T20:48:00"/>
        <d v="2026-07-27T18:36:00"/>
        <d v="2026-07-29T06:24:00"/>
        <d v="2026-07-30T08:12:00"/>
        <d v="2026-07-31T11:00:00"/>
        <d v="2026-08-01T20:48:00"/>
        <d v="2026-08-03T02:36:00"/>
        <d v="2026-08-04T05:24:00"/>
        <d v="2026-08-05T08:12:00"/>
        <d v="2026-08-06T16:00:00"/>
      </sharedItems>
    </cacheField>
    <cacheField name="Serie-Folio" numFmtId="0">
      <sharedItems/>
    </cacheField>
    <cacheField name="RFC Receptor" numFmtId="0">
      <sharedItems count="6">
        <s v="GME920415AB1"/>
        <s v="SER980122HA5"/>
        <s v="XAXX010101000"/>
        <s v="TEC0506203X2"/>
        <s v="LMO180312KP9"/>
        <s v="INM1109088R1"/>
      </sharedItems>
    </cacheField>
    <cacheField name="Nombre / Razón Social Receptor" numFmtId="0">
      <sharedItems/>
    </cacheField>
    <cacheField name="Tipo CFDI" numFmtId="0">
      <sharedItems count="3">
        <s v="Ingreso"/>
        <s v="Egreso"/>
        <s v="Pago"/>
      </sharedItems>
    </cacheField>
    <cacheField name="Uso CFDI" numFmtId="0">
      <sharedItems/>
    </cacheField>
    <cacheField name="Método Pago" numFmtId="0">
      <sharedItems/>
    </cacheField>
    <cacheField name="Subtotal" numFmtId="169">
      <sharedItems containsSemiMixedTypes="0" containsString="0" containsNumber="1" minValue="0" maxValue="114047.05"/>
    </cacheField>
    <cacheField name="IVA (16%)" numFmtId="169">
      <sharedItems containsSemiMixedTypes="0" containsString="0" containsNumber="1" minValue="0" maxValue="18247.53"/>
    </cacheField>
    <cacheField name="Retenciones" numFmtId="169">
      <sharedItems containsSemiMixedTypes="0" containsString="0" containsNumber="1" minValue="0" maxValue="6723.54"/>
    </cacheField>
    <cacheField name="Total" numFmtId="169">
      <sharedItems containsSemiMixedTypes="0" containsString="0" containsNumber="1" minValue="0" maxValue="132294.58000000002"/>
    </cacheField>
    <cacheField name="Estatus"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0">
  <r>
    <s v="550E8400-E29B-41D4-A716-000000000001"/>
    <x v="0"/>
    <x v="0"/>
    <s v="FA-1001"/>
    <x v="0"/>
    <s v="GRUPO COMMERCIAL MEXICANO S.A. DE C.V."/>
    <x v="0"/>
    <s v="G03 - Gastos en general"/>
    <s v="PUE - Pago en una sola exhibición"/>
    <n v="32999.599999999999"/>
    <n v="5279.94"/>
    <n v="1979.98"/>
    <n v="36299.56"/>
    <s v="Cancelado"/>
  </r>
  <r>
    <s v="550E8400-E29B-41D4-A716-000000000002"/>
    <x v="0"/>
    <x v="1"/>
    <s v="FA-1002"/>
    <x v="1"/>
    <s v="SERVICIOS INTEGRALES DE COMPUTO S.A."/>
    <x v="1"/>
    <s v="G02 - Devoluciones, descuentos o bonificaciones"/>
    <s v="PUE - Pago en una sola exhibición"/>
    <n v="2387.36"/>
    <n v="381.98"/>
    <n v="0"/>
    <n v="2769.34"/>
    <s v="Vigente"/>
  </r>
  <r>
    <s v="550E8400-E29B-41D4-A716-000000000003"/>
    <x v="0"/>
    <x v="2"/>
    <s v="FA-1003"/>
    <x v="1"/>
    <s v="SERVICIOS INTEGRALES DE COMPUTO S.A."/>
    <x v="2"/>
    <s v="CP01 - Pagos"/>
    <s v="N/A"/>
    <n v="0"/>
    <n v="0"/>
    <n v="0"/>
    <n v="0"/>
    <s v="Vigente"/>
  </r>
  <r>
    <s v="550E8400-E29B-41D4-A716-000000000004"/>
    <x v="0"/>
    <x v="3"/>
    <s v="FA-1004"/>
    <x v="1"/>
    <s v="SERVICIOS INTEGRALES DE COMPUTO S.A."/>
    <x v="0"/>
    <s v="G01 - Adquisición de mercancías"/>
    <s v="PPD - Pago en parcialidades o diferido"/>
    <n v="32689.35"/>
    <n v="5230.3"/>
    <n v="0"/>
    <n v="37919.65"/>
    <s v="Vigente"/>
  </r>
  <r>
    <s v="550E8400-E29B-41D4-A716-000000000005"/>
    <x v="0"/>
    <x v="4"/>
    <s v="FA-1005"/>
    <x v="2"/>
    <s v="PUBLICO EN GENERAL"/>
    <x v="1"/>
    <s v="G02 - Devoluciones, descuentos o bonificaciones"/>
    <s v="PPD - Pago en parcialidades o diferido"/>
    <n v="5612.33"/>
    <n v="897.97"/>
    <n v="0"/>
    <n v="6510.3"/>
    <s v="Vigente"/>
  </r>
  <r>
    <s v="550E8400-E29B-41D4-A716-000000000006"/>
    <x v="0"/>
    <x v="5"/>
    <s v="FA-1006"/>
    <x v="0"/>
    <s v="GRUPO COMMERCIAL MEXICANO S.A. DE C.V."/>
    <x v="0"/>
    <s v="G03 - Gastos en general"/>
    <s v="PPD - Pago en parcialidades o diferido"/>
    <n v="18832.23"/>
    <n v="3013.16"/>
    <n v="1129.93"/>
    <n v="20715.46"/>
    <s v="Cancelado"/>
  </r>
  <r>
    <s v="550E8400-E29B-41D4-A716-000000000007"/>
    <x v="0"/>
    <x v="6"/>
    <s v="FA-1007"/>
    <x v="0"/>
    <s v="GRUPO COMMERCIAL MEXICANO S.A. DE C.V."/>
    <x v="1"/>
    <s v="G02 - Devoluciones, descuentos o bonificaciones"/>
    <s v="PUE - Pago en una sola exhibición"/>
    <n v="14650.5"/>
    <n v="2344.08"/>
    <n v="0"/>
    <n v="16994.580000000002"/>
    <s v="Vigente"/>
  </r>
  <r>
    <s v="550E8400-E29B-41D4-A716-000000000008"/>
    <x v="0"/>
    <x v="7"/>
    <s v="FA-1008"/>
    <x v="1"/>
    <s v="SERVICIOS INTEGRALES DE COMPUTO S.A."/>
    <x v="0"/>
    <s v="G01 - Adquisición de mercancías"/>
    <s v="PPD - Pago en parcialidades o diferido"/>
    <n v="72663.44"/>
    <n v="11626.15"/>
    <n v="4359.8100000000004"/>
    <n v="79929.78"/>
    <s v="Vigente"/>
  </r>
  <r>
    <s v="550E8400-E29B-41D4-A716-000000000009"/>
    <x v="0"/>
    <x v="8"/>
    <s v="FA-1009"/>
    <x v="3"/>
    <s v="TECNOLOGIA EMPRESARIAL Y CONSULTORIA S.C."/>
    <x v="0"/>
    <s v="G03 - Gastos en general"/>
    <s v="PUE - Pago en una sola exhibición"/>
    <n v="105046.17"/>
    <n v="16807.39"/>
    <n v="0"/>
    <n v="121853.56"/>
    <s v="Vigente"/>
  </r>
  <r>
    <s v="550E8400-E29B-41D4-A716-000000000010"/>
    <x v="0"/>
    <x v="9"/>
    <s v="FA-1010"/>
    <x v="4"/>
    <s v="LOGISTICA Y MONTAJES DEL NORTE S. DE R.L."/>
    <x v="0"/>
    <s v="I08 - Maquinaria y equipo"/>
    <s v="PPD - Pago en parcialidades o diferido"/>
    <n v="31464.79"/>
    <n v="5034.37"/>
    <n v="0"/>
    <n v="36499.160000000003"/>
    <s v="Vigente"/>
  </r>
  <r>
    <s v="550E8400-E29B-41D4-A716-000000000011"/>
    <x v="0"/>
    <x v="10"/>
    <s v="FA-1011"/>
    <x v="2"/>
    <s v="PUBLICO EN GENERAL"/>
    <x v="0"/>
    <s v="S01 - Sin efectos fiscales"/>
    <s v="PUE - Pago en una sola exhibición"/>
    <n v="26301.08"/>
    <n v="4208.17"/>
    <n v="0"/>
    <n v="30509.25"/>
    <s v="Cancelado"/>
  </r>
  <r>
    <s v="550E8400-E29B-41D4-A716-000000000012"/>
    <x v="0"/>
    <x v="11"/>
    <s v="FA-1012"/>
    <x v="2"/>
    <s v="PUBLICO EN GENERAL"/>
    <x v="0"/>
    <s v="S01 - Sin efectos fiscales"/>
    <s v="PUE - Pago en una sola exhibición"/>
    <n v="33653.379999999997"/>
    <n v="5384.54"/>
    <n v="0"/>
    <n v="39037.919999999998"/>
    <s v="Vigente"/>
  </r>
  <r>
    <s v="550E8400-E29B-41D4-A716-000000000013"/>
    <x v="0"/>
    <x v="12"/>
    <s v="FA-1013"/>
    <x v="3"/>
    <s v="TECNOLOGIA EMPRESARIAL Y CONSULTORIA S.C."/>
    <x v="0"/>
    <s v="G03 - Gastos en general"/>
    <s v="PUE - Pago en una sola exhibición"/>
    <n v="110271.25"/>
    <n v="17643.400000000001"/>
    <n v="0"/>
    <n v="127914.65"/>
    <s v="Vigente"/>
  </r>
  <r>
    <s v="550E8400-E29B-41D4-A716-000000000014"/>
    <x v="0"/>
    <x v="13"/>
    <s v="FA-1014"/>
    <x v="2"/>
    <s v="PUBLICO EN GENERAL"/>
    <x v="1"/>
    <s v="G02 - Devoluciones, descuentos o bonificaciones"/>
    <s v="PPD - Pago en parcialidades o diferido"/>
    <n v="13500.88"/>
    <n v="2160.14"/>
    <n v="0"/>
    <n v="15661.019999999999"/>
    <s v="Vigente"/>
  </r>
  <r>
    <s v="550E8400-E29B-41D4-A716-000000000015"/>
    <x v="0"/>
    <x v="14"/>
    <s v="FA-1015"/>
    <x v="3"/>
    <s v="TECNOLOGIA EMPRESARIAL Y CONSULTORIA S.C."/>
    <x v="0"/>
    <s v="G03 - Gastos en general"/>
    <s v="PUE - Pago en una sola exhibición"/>
    <n v="91438.77"/>
    <n v="14630.2"/>
    <n v="0"/>
    <n v="106068.97"/>
    <s v="Cancelado"/>
  </r>
  <r>
    <s v="550E8400-E29B-41D4-A716-000000000016"/>
    <x v="0"/>
    <x v="15"/>
    <s v="FA-1016"/>
    <x v="1"/>
    <s v="SERVICIOS INTEGRALES DE COMPUTO S.A."/>
    <x v="1"/>
    <s v="G02 - Devoluciones, descuentos o bonificaciones"/>
    <s v="PPD - Pago en parcialidades o diferido"/>
    <n v="4851.17"/>
    <n v="776.19"/>
    <n v="0"/>
    <n v="5627.3600000000006"/>
    <s v="Vigente"/>
  </r>
  <r>
    <s v="550E8400-E29B-41D4-A716-000000000017"/>
    <x v="0"/>
    <x v="16"/>
    <s v="FA-1017"/>
    <x v="5"/>
    <s v="INMOBILIARIA Y DESARROLLOS INDUSTRIALES"/>
    <x v="0"/>
    <s v="P01 - Por definir"/>
    <s v="PUE - Pago en una sola exhibición"/>
    <n v="104443.53"/>
    <n v="16710.96"/>
    <n v="0"/>
    <n v="121154.48999999999"/>
    <s v="Vigente"/>
  </r>
  <r>
    <s v="550E8400-E29B-41D4-A716-000000000018"/>
    <x v="0"/>
    <x v="17"/>
    <s v="FA-1018"/>
    <x v="1"/>
    <s v="SERVICIOS INTEGRALES DE COMPUTO S.A."/>
    <x v="0"/>
    <s v="G01 - Adquisición de mercancías"/>
    <s v="PPD - Pago en parcialidades o diferido"/>
    <n v="50741.36"/>
    <n v="8118.62"/>
    <n v="3044.48"/>
    <n v="55815.5"/>
    <s v="Cancelado"/>
  </r>
  <r>
    <s v="550E8400-E29B-41D4-A716-000000000019"/>
    <x v="0"/>
    <x v="18"/>
    <s v="FA-1019"/>
    <x v="1"/>
    <s v="SERVICIOS INTEGRALES DE COMPUTO S.A."/>
    <x v="0"/>
    <s v="G01 - Adquisición de mercancías"/>
    <s v="PUE - Pago en una sola exhibición"/>
    <n v="84351.56"/>
    <n v="13496.25"/>
    <n v="0"/>
    <n v="97847.81"/>
    <s v="Vigente"/>
  </r>
  <r>
    <s v="550E8400-E29B-41D4-A716-000000000020"/>
    <x v="0"/>
    <x v="19"/>
    <s v="FA-1020"/>
    <x v="0"/>
    <s v="GRUPO COMMERCIAL MEXICANO S.A. DE C.V."/>
    <x v="0"/>
    <s v="G03 - Gastos en general"/>
    <s v="PPD - Pago en parcialidades o diferido"/>
    <n v="25713.67"/>
    <n v="4114.1899999999996"/>
    <n v="0"/>
    <n v="29827.859999999997"/>
    <s v="Vigente"/>
  </r>
  <r>
    <s v="550E8400-E29B-41D4-A716-000000000021"/>
    <x v="0"/>
    <x v="20"/>
    <s v="FA-1021"/>
    <x v="4"/>
    <s v="LOGISTICA Y MONTAJES DEL NORTE S. DE R.L."/>
    <x v="2"/>
    <s v="CP01 - Pagos"/>
    <s v="N/A"/>
    <n v="0"/>
    <n v="0"/>
    <n v="0"/>
    <n v="0"/>
    <s v="Vigente"/>
  </r>
  <r>
    <s v="550E8400-E29B-41D4-A716-000000000022"/>
    <x v="0"/>
    <x v="21"/>
    <s v="FA-1022"/>
    <x v="2"/>
    <s v="PUBLICO EN GENERAL"/>
    <x v="0"/>
    <s v="S01 - Sin efectos fiscales"/>
    <s v="PUE - Pago en una sola exhibición"/>
    <n v="25118"/>
    <n v="4018.88"/>
    <n v="1507.08"/>
    <n v="27629.800000000003"/>
    <s v="Cancelado"/>
  </r>
  <r>
    <s v="550E8400-E29B-41D4-A716-000000000023"/>
    <x v="0"/>
    <x v="22"/>
    <s v="FA-1023"/>
    <x v="0"/>
    <s v="GRUPO COMMERCIAL MEXICANO S.A. DE C.V."/>
    <x v="2"/>
    <s v="CP01 - Pagos"/>
    <s v="N/A"/>
    <n v="0"/>
    <n v="0"/>
    <n v="0"/>
    <n v="0"/>
    <s v="Vigente"/>
  </r>
  <r>
    <s v="550E8400-E29B-41D4-A716-000000000024"/>
    <x v="0"/>
    <x v="23"/>
    <s v="FA-1024"/>
    <x v="5"/>
    <s v="INMOBILIARIA Y DESARROLLOS INDUSTRIALES"/>
    <x v="0"/>
    <s v="P01 - Por definir"/>
    <s v="PUE - Pago en una sola exhibición"/>
    <n v="112059.05"/>
    <n v="17929.45"/>
    <n v="6723.54"/>
    <n v="123264.96000000001"/>
    <s v="Vigente"/>
  </r>
  <r>
    <s v="550E8400-E29B-41D4-A716-000000000025"/>
    <x v="0"/>
    <x v="24"/>
    <s v="FA-1025"/>
    <x v="0"/>
    <s v="GRUPO COMMERCIAL MEXICANO S.A. DE C.V."/>
    <x v="0"/>
    <s v="G03 - Gastos en general"/>
    <s v="PUE - Pago en una sola exhibición"/>
    <n v="17593.189999999999"/>
    <n v="2814.91"/>
    <n v="0"/>
    <n v="20408.099999999999"/>
    <s v="Vigente"/>
  </r>
  <r>
    <s v="550E8400-E29B-41D4-A716-000000000026"/>
    <x v="1"/>
    <x v="25"/>
    <s v="FA-1026"/>
    <x v="4"/>
    <s v="LOGISTICA Y MONTAJES DEL NORTE S. DE R.L."/>
    <x v="0"/>
    <s v="I08 - Maquinaria y equipo"/>
    <s v="PPD - Pago en parcialidades o diferido"/>
    <n v="114047.05"/>
    <n v="18247.53"/>
    <n v="0"/>
    <n v="132294.58000000002"/>
    <s v="Cancelado"/>
  </r>
  <r>
    <s v="550E8400-E29B-41D4-A716-000000000027"/>
    <x v="1"/>
    <x v="26"/>
    <s v="FA-1027"/>
    <x v="5"/>
    <s v="INMOBILIARIA Y DESARROLLOS INDUSTRIALES"/>
    <x v="0"/>
    <s v="P01 - Por definir"/>
    <s v="PUE - Pago en una sola exhibición"/>
    <n v="87850.28"/>
    <n v="14056.04"/>
    <n v="0"/>
    <n v="101906.32"/>
    <s v="Vigente"/>
  </r>
  <r>
    <s v="550E8400-E29B-41D4-A716-000000000028"/>
    <x v="1"/>
    <x v="27"/>
    <s v="FA-1028"/>
    <x v="1"/>
    <s v="SERVICIOS INTEGRALES DE COMPUTO S.A."/>
    <x v="1"/>
    <s v="G02 - Devoluciones, descuentos o bonificaciones"/>
    <s v="PUE - Pago en una sola exhibición"/>
    <n v="5222.7700000000004"/>
    <n v="835.64"/>
    <n v="0"/>
    <n v="6058.4100000000008"/>
    <s v="Vigente"/>
  </r>
  <r>
    <s v="550E8400-E29B-41D4-A716-000000000029"/>
    <x v="1"/>
    <x v="28"/>
    <s v="FA-1029"/>
    <x v="0"/>
    <s v="GRUPO COMMERCIAL MEXICANO S.A. DE C.V."/>
    <x v="2"/>
    <s v="CP01 - Pagos"/>
    <s v="N/A"/>
    <n v="0"/>
    <n v="0"/>
    <n v="0"/>
    <n v="0"/>
    <s v="Vigente"/>
  </r>
  <r>
    <s v="550E8400-E29B-41D4-A716-000000000030"/>
    <x v="1"/>
    <x v="29"/>
    <s v="FA-1030"/>
    <x v="4"/>
    <s v="LOGISTICA Y MONTAJES DEL NORTE S. DE R.L."/>
    <x v="2"/>
    <s v="CP01 - Pagos"/>
    <s v="N/A"/>
    <n v="0"/>
    <n v="0"/>
    <n v="0"/>
    <n v="0"/>
    <s v="Vigente"/>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8F31306-D5A8-4F19-B85A-5FC324207702}" name="TablaDinámica1" cacheId="11" applyNumberFormats="0" applyBorderFormats="0" applyFontFormats="0" applyPatternFormats="0" applyAlignmentFormats="0" applyWidthHeightFormats="1" dataCaption="Valores" updatedVersion="8" minRefreshableVersion="3" useAutoFormatting="1" itemPrintTitles="1" createdVersion="8" indent="0" compact="0" outline="1" outlineData="1" compactData="0" multipleFieldFilters="0">
  <location ref="A4:E11" firstHeaderRow="0" firstDataRow="1" firstDataCol="1" rowPageCount="2" colPageCount="1"/>
  <pivotFields count="14">
    <pivotField compact="0" showAll="0">
      <extLst>
        <ext xmlns:x14="http://schemas.microsoft.com/office/spreadsheetml/2009/9/main" uri="{2946ED86-A175-432a-8AC1-64E0C546D7DE}">
          <x14:pivotField fillDownLabels="1"/>
        </ext>
      </extLst>
    </pivotField>
    <pivotField axis="axisPage" compact="0" multipleItemSelectionAllowed="1" showAll="0">
      <items count="3">
        <item x="1"/>
        <item x="0"/>
        <item t="default"/>
      </items>
      <extLst>
        <ext xmlns:x14="http://schemas.microsoft.com/office/spreadsheetml/2009/9/main" uri="{2946ED86-A175-432a-8AC1-64E0C546D7DE}">
          <x14:pivotField fillDownLabels="1"/>
        </ext>
      </extLst>
    </pivotField>
    <pivotField compact="0" numFmtId="168" showAll="0">
      <items count="31">
        <item x="0"/>
        <item x="1"/>
        <item x="2"/>
        <item x="3"/>
        <item x="4"/>
        <item x="5"/>
        <item x="6"/>
        <item x="7"/>
        <item x="8"/>
        <item x="9"/>
        <item x="10"/>
        <item x="11"/>
        <item x="12"/>
        <item x="13"/>
        <item x="14"/>
        <item x="15"/>
        <item x="16"/>
        <item x="17"/>
        <item x="18"/>
        <item x="19"/>
        <item x="20"/>
        <item x="21"/>
        <item x="22"/>
        <item x="23"/>
        <item x="24"/>
        <item x="25"/>
        <item x="26"/>
        <item x="27"/>
        <item x="28"/>
        <item x="29"/>
        <item t="default"/>
      </items>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axis="axisRow" compact="0" showAll="0">
      <items count="7">
        <item x="0"/>
        <item x="5"/>
        <item x="4"/>
        <item x="1"/>
        <item x="3"/>
        <item x="2"/>
        <item t="default"/>
      </items>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axis="axisPage" compact="0" multipleItemSelectionAllowed="1" showAll="0">
      <items count="4">
        <item h="1" x="1"/>
        <item x="0"/>
        <item h="1" x="2"/>
        <item t="default"/>
      </items>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 dataField="1" compact="0" numFmtId="169" showAll="0">
      <extLst>
        <ext xmlns:x14="http://schemas.microsoft.com/office/spreadsheetml/2009/9/main" uri="{2946ED86-A175-432a-8AC1-64E0C546D7DE}">
          <x14:pivotField fillDownLabels="1"/>
        </ext>
      </extLst>
    </pivotField>
    <pivotField dataField="1" compact="0" numFmtId="169" showAll="0">
      <extLst>
        <ext xmlns:x14="http://schemas.microsoft.com/office/spreadsheetml/2009/9/main" uri="{2946ED86-A175-432a-8AC1-64E0C546D7DE}">
          <x14:pivotField fillDownLabels="1"/>
        </ext>
      </extLst>
    </pivotField>
    <pivotField dataField="1" compact="0" numFmtId="169" showAll="0">
      <extLst>
        <ext xmlns:x14="http://schemas.microsoft.com/office/spreadsheetml/2009/9/main" uri="{2946ED86-A175-432a-8AC1-64E0C546D7DE}">
          <x14:pivotField fillDownLabels="1"/>
        </ext>
      </extLst>
    </pivotField>
    <pivotField dataField="1" compact="0" numFmtId="169" showAll="0">
      <extLst>
        <ext xmlns:x14="http://schemas.microsoft.com/office/spreadsheetml/2009/9/main" uri="{2946ED86-A175-432a-8AC1-64E0C546D7DE}">
          <x14:pivotField fillDownLabels="1"/>
        </ext>
      </extLst>
    </pivotField>
    <pivotField compact="0" showAll="0">
      <extLst>
        <ext xmlns:x14="http://schemas.microsoft.com/office/spreadsheetml/2009/9/main" uri="{2946ED86-A175-432a-8AC1-64E0C546D7DE}">
          <x14:pivotField fillDownLabels="1"/>
        </ext>
      </extLst>
    </pivotField>
  </pivotFields>
  <rowFields count="1">
    <field x="4"/>
  </rowFields>
  <rowItems count="7">
    <i>
      <x/>
    </i>
    <i>
      <x v="1"/>
    </i>
    <i>
      <x v="2"/>
    </i>
    <i>
      <x v="3"/>
    </i>
    <i>
      <x v="4"/>
    </i>
    <i>
      <x v="5"/>
    </i>
    <i t="grand">
      <x/>
    </i>
  </rowItems>
  <colFields count="1">
    <field x="-2"/>
  </colFields>
  <colItems count="4">
    <i>
      <x/>
    </i>
    <i i="1">
      <x v="1"/>
    </i>
    <i i="2">
      <x v="2"/>
    </i>
    <i i="3">
      <x v="3"/>
    </i>
  </colItems>
  <pageFields count="2">
    <pageField fld="1" hier="-1"/>
    <pageField fld="6" hier="-1"/>
  </pageFields>
  <dataFields count="4">
    <dataField name="Suma de Subtotal" fld="9" baseField="0" baseItem="0" numFmtId="169"/>
    <dataField name="Suma de IVA (16%)" fld="10" baseField="0" baseItem="0" numFmtId="169"/>
    <dataField name="Suma de Retenciones" fld="11" baseField="0" baseItem="0" numFmtId="169"/>
    <dataField name="Suma de Total" fld="12" baseField="0" baseItem="0" numFmtId="169"/>
  </dataFields>
  <pivotTableStyleInfo name="PivotStyleLight18"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EF9E5-CA88-4247-9996-D879B51D3DFC}">
  <dimension ref="B3:K49"/>
  <sheetViews>
    <sheetView showGridLines="0" workbookViewId="0">
      <selection activeCell="B3" sqref="B3:K3"/>
    </sheetView>
  </sheetViews>
  <sheetFormatPr baseColWidth="10" defaultRowHeight="15" x14ac:dyDescent="0.25"/>
  <cols>
    <col min="2" max="7" width="13.28515625" customWidth="1"/>
    <col min="8" max="8" width="26.7109375" customWidth="1"/>
    <col min="9" max="9" width="17.140625" customWidth="1"/>
    <col min="10" max="11" width="13.28515625" customWidth="1"/>
  </cols>
  <sheetData>
    <row r="3" spans="2:11" ht="24" x14ac:dyDescent="0.4">
      <c r="B3" s="80" t="s">
        <v>193</v>
      </c>
      <c r="C3" s="80"/>
      <c r="D3" s="80"/>
      <c r="E3" s="80"/>
      <c r="F3" s="80"/>
      <c r="G3" s="80"/>
      <c r="H3" s="80"/>
      <c r="I3" s="80"/>
      <c r="J3" s="80"/>
      <c r="K3" s="80"/>
    </row>
    <row r="4" spans="2:11" x14ac:dyDescent="0.25">
      <c r="B4" s="81" t="s">
        <v>194</v>
      </c>
      <c r="C4" s="81"/>
      <c r="D4" s="81"/>
      <c r="E4" s="81"/>
      <c r="F4" s="81"/>
      <c r="G4" s="81"/>
      <c r="H4" s="81"/>
      <c r="I4" s="81"/>
      <c r="J4" s="81"/>
      <c r="K4" s="81"/>
    </row>
    <row r="6" spans="2:11" ht="26.25" x14ac:dyDescent="0.25">
      <c r="B6" s="85">
        <f>COUNTA(CFDI!$B$5:$B$34)</f>
        <v>30</v>
      </c>
      <c r="C6" s="85"/>
      <c r="D6" s="85">
        <f>COUNTIF(CFDI!$O$5:$O$34,"Vigente")</f>
        <v>23</v>
      </c>
      <c r="E6" s="85"/>
      <c r="F6" s="86">
        <f>COUNTIF(CFDI!$O$5:$O$34,"Cancelado")/COUNTA(CFDI!$B$5:$B$34)</f>
        <v>0.23333333333333334</v>
      </c>
      <c r="G6" s="86"/>
      <c r="H6" s="87">
        <f>SUMIFS(CFDI!$N$5:$N$34,CFDI!$H$5:$H$34,"Ingreso",CFDI!$O$5:$O$34,"Vigente")</f>
        <v>937564.26</v>
      </c>
      <c r="I6" s="87"/>
      <c r="J6" s="87">
        <f>SUMIFS(CFDI!$N$5:$N$34,CFDI!$H$5:$H$34,"Egreso",CFDI!$O$5:$O$34,"Vigente")</f>
        <v>53621.01</v>
      </c>
      <c r="K6" s="87"/>
    </row>
    <row r="7" spans="2:11" x14ac:dyDescent="0.25">
      <c r="B7" s="88" t="s">
        <v>195</v>
      </c>
      <c r="C7" s="88"/>
      <c r="D7" s="88" t="s">
        <v>196</v>
      </c>
      <c r="E7" s="88"/>
      <c r="F7" s="89" t="s">
        <v>197</v>
      </c>
      <c r="G7" s="89"/>
      <c r="H7" s="88" t="s">
        <v>198</v>
      </c>
      <c r="I7" s="88"/>
      <c r="J7" s="88" t="s">
        <v>199</v>
      </c>
      <c r="K7" s="88"/>
    </row>
    <row r="8" spans="2:11" x14ac:dyDescent="0.25">
      <c r="B8" s="90"/>
      <c r="C8" s="90"/>
      <c r="D8" s="90"/>
      <c r="E8" s="90"/>
      <c r="F8" s="90"/>
      <c r="G8" s="90"/>
      <c r="H8" s="90"/>
      <c r="I8" s="90"/>
      <c r="J8" s="90"/>
      <c r="K8" s="90"/>
    </row>
    <row r="9" spans="2:11" ht="26.25" x14ac:dyDescent="0.25">
      <c r="B9" s="91">
        <f>H6-J6</f>
        <v>883943.25</v>
      </c>
      <c r="C9" s="91"/>
      <c r="D9" s="87">
        <f>SUMIFS(CFDI!$L$5:$L$34,CFDI!$H$5:$H$34,"Ingreso",CFDI!$O$5:$O$34,"Vigente")</f>
        <v>130847.95000000001</v>
      </c>
      <c r="E9" s="87"/>
      <c r="F9" s="87">
        <f>SUMIFS(CFDI!$M$5:$M$34,CFDI!$H$5:$H$34,"Ingreso",CFDI!$O$5:$O$34,"Vigente")</f>
        <v>11083.35</v>
      </c>
      <c r="G9" s="87"/>
      <c r="H9" s="92">
        <f>SUMIFS(CFDI!$N$5:$N$34,CFDI!$H$5:$H$34,"Ingreso",CFDI!$O$5:$O$34,"Vigente",CFDI!$J$5:$J$34,"PPD*")</f>
        <v>184176.44999999998</v>
      </c>
      <c r="I9" s="92"/>
      <c r="J9" s="87">
        <f>IFERROR(H6/COUNTIFS(CFDI!$H$5:$H$34,"Ingreso",CFDI!$O$5:$O$34,"Vigente"),0)</f>
        <v>78130.354999999996</v>
      </c>
      <c r="K9" s="87"/>
    </row>
    <row r="10" spans="2:11" x14ac:dyDescent="0.25">
      <c r="B10" s="93" t="s">
        <v>200</v>
      </c>
      <c r="C10" s="93"/>
      <c r="D10" s="88" t="s">
        <v>201</v>
      </c>
      <c r="E10" s="88"/>
      <c r="F10" s="88" t="s">
        <v>202</v>
      </c>
      <c r="G10" s="88"/>
      <c r="H10" s="89" t="s">
        <v>203</v>
      </c>
      <c r="I10" s="89"/>
      <c r="J10" s="88" t="s">
        <v>204</v>
      </c>
      <c r="K10" s="88"/>
    </row>
    <row r="12" spans="2:11" x14ac:dyDescent="0.25">
      <c r="B12" s="94" t="s">
        <v>205</v>
      </c>
      <c r="C12" s="94"/>
      <c r="D12" s="94"/>
      <c r="E12" s="94"/>
      <c r="F12" s="94"/>
      <c r="G12" s="94"/>
      <c r="H12" s="94"/>
      <c r="I12" s="94"/>
      <c r="J12" s="94"/>
      <c r="K12" s="94"/>
    </row>
    <row r="13" spans="2:11" x14ac:dyDescent="0.25">
      <c r="B13" s="95" t="str">
        <f>"Se analizaron "&amp;TEXT(B6,"0")&amp;" CFDI: "&amp;TEXT(D6,"0")&amp;" vigentes y "&amp;TEXT(B6-D6,"0")&amp;" cancelados ("&amp;TEXT(F6,"0.0%")&amp;"). Los ingresos vigentes suman "&amp;TEXT(H6,"$#,##0")&amp;" y los egresos vigentes "&amp;TEXT(J6,"$#,##0")&amp;", generando un neto documental de "&amp;TEXT(B9,"$#,##0")&amp;". El IVA de ingresos vigentes asciende a "&amp;TEXT(D9,"$#,##0")&amp;" y las retenciones a "&amp;TEXT(F9,"$#,##0")&amp;". El principal receptor es "&amp;H37&amp;", con "&amp;TEXT(K37,"0.0%")&amp;" de los ingresos vigentes; los comprobantes PPD vigentes representan "&amp;TEXT(H9/H6,"0.0%")&amp;" del ingreso vigente."</f>
        <v>Se analizaron 30 CFDI: 23 vigentes y 7 cancelados (23.3%). Los ingresos vigentes suman $937,564 y los egresos vigentes $53,621, generando un neto documental de $883,943. El IVA de ingresos vigentes asciende a $130,848 y las retenciones a $11,083. El principal receptor es INMOBILIARIA Y DESARROLLOS INDUSTRIALES, con 36.9% de los ingresos vigentes; los comprobantes PPD vigentes representan 19.6% del ingreso vigente.</v>
      </c>
      <c r="C13" s="95"/>
      <c r="D13" s="95"/>
      <c r="E13" s="95"/>
      <c r="F13" s="95"/>
      <c r="G13" s="95"/>
      <c r="H13" s="95"/>
      <c r="I13" s="95"/>
      <c r="J13" s="95"/>
      <c r="K13" s="95"/>
    </row>
    <row r="14" spans="2:11" x14ac:dyDescent="0.25">
      <c r="B14" s="95"/>
      <c r="C14" s="95"/>
      <c r="D14" s="95"/>
      <c r="E14" s="95"/>
      <c r="F14" s="95"/>
      <c r="G14" s="95"/>
      <c r="H14" s="95"/>
      <c r="I14" s="95"/>
      <c r="J14" s="95"/>
      <c r="K14" s="95"/>
    </row>
    <row r="15" spans="2:11" x14ac:dyDescent="0.25">
      <c r="B15" s="95"/>
      <c r="C15" s="95"/>
      <c r="D15" s="95"/>
      <c r="E15" s="95"/>
      <c r="F15" s="95"/>
      <c r="G15" s="95"/>
      <c r="H15" s="95"/>
      <c r="I15" s="95"/>
      <c r="J15" s="95"/>
      <c r="K15" s="95"/>
    </row>
    <row r="34" spans="2:11" x14ac:dyDescent="0.25">
      <c r="B34" s="82" t="s">
        <v>206</v>
      </c>
      <c r="C34" s="82"/>
      <c r="D34" s="82"/>
      <c r="E34" s="82"/>
      <c r="H34" s="82" t="s">
        <v>212</v>
      </c>
      <c r="I34" s="82"/>
      <c r="J34" s="82"/>
      <c r="K34" s="82"/>
    </row>
    <row r="36" spans="2:11" x14ac:dyDescent="0.25">
      <c r="B36" s="96" t="s">
        <v>207</v>
      </c>
      <c r="C36" s="96" t="s">
        <v>208</v>
      </c>
      <c r="D36" s="96" t="s">
        <v>209</v>
      </c>
      <c r="E36" s="96" t="s">
        <v>210</v>
      </c>
      <c r="H36" s="96" t="s">
        <v>213</v>
      </c>
      <c r="I36" s="96" t="s">
        <v>214</v>
      </c>
      <c r="J36" s="96" t="s">
        <v>208</v>
      </c>
      <c r="K36" s="96" t="s">
        <v>215</v>
      </c>
    </row>
    <row r="37" spans="2:11" ht="30" x14ac:dyDescent="0.25">
      <c r="B37" s="97" t="s">
        <v>138</v>
      </c>
      <c r="C37" s="98">
        <f>SUMIFS(CFDI!$N$5:$N$34,CFDI!$C$5:$C$34,$B37,CFDI!$H$5:$H$34,"Ingreso",CFDI!$O$5:$O$34,"Vigente")</f>
        <v>835657.94</v>
      </c>
      <c r="D37" s="98">
        <f>SUMIFS(CFDI!$N$5:$N$34,CFDI!$C$5:$C$34,$B37,CFDI!$H$5:$H$34,"Egreso",CFDI!$O$5:$O$34,"Vigente")</f>
        <v>47562.6</v>
      </c>
      <c r="E37" s="98">
        <f>C37-D37</f>
        <v>788095.34</v>
      </c>
      <c r="H37" s="99" t="s">
        <v>103</v>
      </c>
      <c r="I37" s="97" t="str">
        <f>INDEX(CFDI!$F$5:$F$34,MATCH(H37,CFDI!$G$5:$G$34,0))</f>
        <v>INM1109088R1</v>
      </c>
      <c r="J37" s="100">
        <f>SUMIFS(CFDI!$N$5:$N$34,CFDI!$G$5:$G$34,$H37,CFDI!$H$5:$H$34,"Ingreso",CFDI!$O$5:$O$34,"Vigente")</f>
        <v>346325.77</v>
      </c>
      <c r="K37" s="101">
        <f>IFERROR(J37/$H$6,0)</f>
        <v>0.36938883527834138</v>
      </c>
    </row>
    <row r="38" spans="2:11" ht="30" x14ac:dyDescent="0.25">
      <c r="B38" s="97" t="s">
        <v>211</v>
      </c>
      <c r="C38" s="98">
        <f>SUMIFS(CFDI!$N$5:$N$34,CFDI!$C$5:$C$34,$B38,CFDI!$H$5:$H$34,"Ingreso",CFDI!$O$5:$O$34,"Vigente")</f>
        <v>101906.32</v>
      </c>
      <c r="D38" s="98">
        <f>SUMIFS(CFDI!$N$5:$N$34,CFDI!$C$5:$C$34,$B38,CFDI!$H$5:$H$34,"Egreso",CFDI!$O$5:$O$34,"Vigente")</f>
        <v>6058.4100000000008</v>
      </c>
      <c r="E38" s="98">
        <f>C38-D38</f>
        <v>95847.91</v>
      </c>
      <c r="H38" s="99" t="s">
        <v>81</v>
      </c>
      <c r="I38" s="97" t="str">
        <f>INDEX(CFDI!$F$5:$F$34,MATCH(H38,CFDI!$G$5:$G$34,0))</f>
        <v>TEC0506203X2</v>
      </c>
      <c r="J38" s="100">
        <f>SUMIFS(CFDI!$N$5:$N$34,CFDI!$G$5:$G$34,$H38,CFDI!$H$5:$H$34,"Ingreso",CFDI!$O$5:$O$34,"Vigente")</f>
        <v>249768.21</v>
      </c>
      <c r="K38" s="101">
        <f>IFERROR(J38/$H$6,0)</f>
        <v>0.26640116379862855</v>
      </c>
    </row>
    <row r="39" spans="2:11" ht="30" x14ac:dyDescent="0.25">
      <c r="C39" s="83"/>
      <c r="D39" s="83"/>
      <c r="E39" s="83"/>
      <c r="H39" s="99" t="s">
        <v>55</v>
      </c>
      <c r="I39" s="97" t="str">
        <f>INDEX(CFDI!$F$5:$F$34,MATCH(H39,CFDI!$G$5:$G$34,0))</f>
        <v>SER980122HA5</v>
      </c>
      <c r="J39" s="100">
        <f>SUMIFS(CFDI!$N$5:$N$34,CFDI!$G$5:$G$34,$H39,CFDI!$H$5:$H$34,"Ingreso",CFDI!$O$5:$O$34,"Vigente")</f>
        <v>215697.24</v>
      </c>
      <c r="K39" s="101">
        <f>IFERROR(J39/$H$6,0)</f>
        <v>0.23006128667916584</v>
      </c>
    </row>
    <row r="40" spans="2:11" ht="30" x14ac:dyDescent="0.25">
      <c r="C40" s="83"/>
      <c r="D40" s="83"/>
      <c r="E40" s="83"/>
      <c r="H40" s="99" t="s">
        <v>47</v>
      </c>
      <c r="I40" s="97" t="str">
        <f>INDEX(CFDI!$F$5:$F$34,MATCH(H40,CFDI!$G$5:$G$34,0))</f>
        <v>GME920415AB1</v>
      </c>
      <c r="J40" s="100">
        <f>SUMIFS(CFDI!$N$5:$N$34,CFDI!$G$5:$G$34,$H40,CFDI!$H$5:$H$34,"Ingreso",CFDI!$O$5:$O$34,"Vigente")</f>
        <v>50235.959999999992</v>
      </c>
      <c r="K40" s="101">
        <f>IFERROR(J40/$H$6,0)</f>
        <v>5.3581351319855121E-2</v>
      </c>
    </row>
    <row r="41" spans="2:11" x14ac:dyDescent="0.25">
      <c r="B41" s="82" t="s">
        <v>216</v>
      </c>
      <c r="C41" s="84"/>
      <c r="D41" s="84"/>
      <c r="E41" s="84"/>
      <c r="H41" s="99" t="s">
        <v>71</v>
      </c>
      <c r="I41" s="97" t="str">
        <f>INDEX(CFDI!$F$5:$F$34,MATCH(H41,CFDI!$G$5:$G$34,0))</f>
        <v>XAXX010101000</v>
      </c>
      <c r="J41" s="100">
        <f>SUMIFS(CFDI!$N$5:$N$34,CFDI!$G$5:$G$34,$H41,CFDI!$H$5:$H$34,"Ingreso",CFDI!$O$5:$O$34,"Vigente")</f>
        <v>39037.919999999998</v>
      </c>
      <c r="K41" s="101">
        <f>IFERROR(J41/$H$6,0)</f>
        <v>4.1637593992757356E-2</v>
      </c>
    </row>
    <row r="42" spans="2:11" ht="30" x14ac:dyDescent="0.25">
      <c r="C42" s="83"/>
      <c r="D42" s="83"/>
      <c r="E42" s="83"/>
      <c r="H42" s="99" t="s">
        <v>85</v>
      </c>
      <c r="I42" s="97" t="str">
        <f>INDEX(CFDI!$F$5:$F$34,MATCH(H42,CFDI!$G$5:$G$34,0))</f>
        <v>LMO180312KP9</v>
      </c>
      <c r="J42" s="100">
        <f>SUMIFS(CFDI!$N$5:$N$34,CFDI!$G$5:$G$34,$H42,CFDI!$H$5:$H$34,"Ingreso",CFDI!$O$5:$O$34,"Vigente")</f>
        <v>36499.160000000003</v>
      </c>
      <c r="K42" s="101">
        <f>IFERROR(J42/$H$6,0)</f>
        <v>3.8929768931251711E-2</v>
      </c>
    </row>
    <row r="43" spans="2:11" x14ac:dyDescent="0.25">
      <c r="B43" s="96" t="s">
        <v>217</v>
      </c>
      <c r="C43" s="102" t="s">
        <v>218</v>
      </c>
      <c r="D43" s="102" t="s">
        <v>219</v>
      </c>
      <c r="E43" s="102" t="s">
        <v>220</v>
      </c>
    </row>
    <row r="44" spans="2:11" x14ac:dyDescent="0.25">
      <c r="B44" s="97" t="s">
        <v>48</v>
      </c>
      <c r="C44" s="103">
        <f>COUNTIF(CFDI!$H$5:$H$34,B44)</f>
        <v>19</v>
      </c>
      <c r="D44" s="103">
        <f>COUNTIFS(CFDI!$H$5:$H$34,B44,CFDI!$O$5:$O$34,"Vigente")</f>
        <v>12</v>
      </c>
      <c r="E44" s="98">
        <f>SUMIFS(CFDI!$N$5:$N$34,CFDI!$H$5:$H$34,B44,CFDI!$O$5:$O$34,"Vigente")</f>
        <v>937564.26</v>
      </c>
    </row>
    <row r="45" spans="2:11" x14ac:dyDescent="0.25">
      <c r="B45" s="97" t="s">
        <v>56</v>
      </c>
      <c r="C45" s="103">
        <f>COUNTIF(CFDI!$H$5:$H$34,B45)</f>
        <v>6</v>
      </c>
      <c r="D45" s="103">
        <f>COUNTIFS(CFDI!$H$5:$H$34,B45,CFDI!$O$5:$O$34,"Vigente")</f>
        <v>6</v>
      </c>
      <c r="E45" s="98">
        <f>SUMIFS(CFDI!$N$5:$N$34,CFDI!$H$5:$H$34,B45,CFDI!$O$5:$O$34,"Vigente")</f>
        <v>53621.01</v>
      </c>
      <c r="H45" s="82" t="s">
        <v>221</v>
      </c>
      <c r="I45" s="82"/>
      <c r="J45" s="82"/>
      <c r="K45" s="82"/>
    </row>
    <row r="46" spans="2:11" x14ac:dyDescent="0.25">
      <c r="B46" s="97" t="s">
        <v>61</v>
      </c>
      <c r="C46" s="103">
        <f>COUNTIF(CFDI!$H$5:$H$34,B46)</f>
        <v>5</v>
      </c>
      <c r="D46" s="103">
        <f>COUNTIFS(CFDI!$H$5:$H$34,B46,CFDI!$O$5:$O$34,"Vigente")</f>
        <v>5</v>
      </c>
      <c r="E46" s="98">
        <f>SUMIFS(CFDI!$N$5:$N$34,CFDI!$H$5:$H$34,B46,CFDI!$O$5:$O$34,"Vigente")</f>
        <v>0</v>
      </c>
    </row>
    <row r="47" spans="2:11" x14ac:dyDescent="0.25">
      <c r="C47" s="83"/>
      <c r="D47" s="83"/>
      <c r="E47" s="83"/>
      <c r="H47" s="96" t="s">
        <v>222</v>
      </c>
      <c r="I47" s="96" t="s">
        <v>218</v>
      </c>
      <c r="J47" s="96" t="s">
        <v>3</v>
      </c>
      <c r="K47" s="96" t="s">
        <v>215</v>
      </c>
    </row>
    <row r="48" spans="2:11" x14ac:dyDescent="0.25">
      <c r="C48" s="83"/>
      <c r="D48" s="83"/>
      <c r="E48" s="83"/>
      <c r="H48" s="97" t="s">
        <v>223</v>
      </c>
      <c r="I48" s="97">
        <f>COUNTIFS(CFDI!$H$5:$H$34,"Ingreso",CFDI!$O$5:$O$34,"Vigente",CFDI!$J$5:$J$34,H48&amp;"*")</f>
        <v>8</v>
      </c>
      <c r="J48" s="100">
        <f>SUMIFS(CFDI!$N$5:$N$34,CFDI!$H$5:$H$34,"Ingreso",CFDI!$O$5:$O$34,"Vigente",CFDI!$J$5:$J$34,H48&amp;"*")</f>
        <v>753387.81</v>
      </c>
      <c r="K48" s="101">
        <f>IFERROR(J48/$H$6,0)</f>
        <v>0.80355858488035803</v>
      </c>
    </row>
    <row r="49" spans="3:11" x14ac:dyDescent="0.25">
      <c r="C49" s="83"/>
      <c r="D49" s="83"/>
      <c r="E49" s="83"/>
      <c r="H49" s="97" t="s">
        <v>224</v>
      </c>
      <c r="I49" s="97">
        <f>COUNTIFS(CFDI!$H$5:$H$34,"Ingreso",CFDI!$O$5:$O$34,"Vigente",CFDI!$J$5:$J$34,H49&amp;"*")</f>
        <v>4</v>
      </c>
      <c r="J49" s="100">
        <f>SUMIFS(CFDI!$N$5:$N$34,CFDI!$H$5:$H$34,"Ingreso",CFDI!$O$5:$O$34,"Vigente",CFDI!$J$5:$J$34,H49&amp;"*")</f>
        <v>184176.44999999998</v>
      </c>
      <c r="K49" s="101">
        <f>IFERROR(J49/$H$6,0)</f>
        <v>0.19644141511964203</v>
      </c>
    </row>
  </sheetData>
  <mergeCells count="28">
    <mergeCell ref="B41:E41"/>
    <mergeCell ref="H45:K45"/>
    <mergeCell ref="J9:K9"/>
    <mergeCell ref="J10:K10"/>
    <mergeCell ref="B12:K12"/>
    <mergeCell ref="B13:K15"/>
    <mergeCell ref="B34:E34"/>
    <mergeCell ref="H34:K34"/>
    <mergeCell ref="J6:K6"/>
    <mergeCell ref="J7:K7"/>
    <mergeCell ref="B9:C9"/>
    <mergeCell ref="B10:C10"/>
    <mergeCell ref="D9:E9"/>
    <mergeCell ref="D10:E10"/>
    <mergeCell ref="F9:G9"/>
    <mergeCell ref="F10:G10"/>
    <mergeCell ref="H9:I9"/>
    <mergeCell ref="H10:I10"/>
    <mergeCell ref="B3:K3"/>
    <mergeCell ref="B4:K4"/>
    <mergeCell ref="B6:C6"/>
    <mergeCell ref="B7:C7"/>
    <mergeCell ref="D6:E6"/>
    <mergeCell ref="D7:E7"/>
    <mergeCell ref="F6:G6"/>
    <mergeCell ref="F7:G7"/>
    <mergeCell ref="H6:I6"/>
    <mergeCell ref="H7:I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CFEE2-A9E7-4C85-94FF-BA50F71AC0A3}">
  <dimension ref="B3:I14"/>
  <sheetViews>
    <sheetView zoomScale="140" zoomScaleNormal="140" workbookViewId="0">
      <selection activeCell="B12" sqref="B12"/>
    </sheetView>
  </sheetViews>
  <sheetFormatPr baseColWidth="10" defaultRowHeight="15" x14ac:dyDescent="0.25"/>
  <cols>
    <col min="1" max="1" width="6.28515625" customWidth="1"/>
    <col min="3" max="3" width="12" customWidth="1"/>
  </cols>
  <sheetData>
    <row r="3" spans="2:9" x14ac:dyDescent="0.25">
      <c r="B3" s="13" t="s">
        <v>0</v>
      </c>
      <c r="C3" s="14" t="s">
        <v>1</v>
      </c>
      <c r="D3" s="14" t="s">
        <v>2</v>
      </c>
      <c r="E3" s="14" t="s">
        <v>3</v>
      </c>
      <c r="F3" s="14" t="s">
        <v>4</v>
      </c>
      <c r="G3" s="15" t="s">
        <v>5</v>
      </c>
    </row>
    <row r="4" spans="2:9" x14ac:dyDescent="0.25">
      <c r="B4" s="16">
        <v>46204</v>
      </c>
      <c r="C4" s="17">
        <v>100</v>
      </c>
      <c r="D4" s="17" t="s">
        <v>6</v>
      </c>
      <c r="E4" s="18">
        <v>150000</v>
      </c>
      <c r="F4" s="18">
        <f>E4*0.16</f>
        <v>24000</v>
      </c>
      <c r="G4" s="19">
        <f>SUM(E4:F4)</f>
        <v>174000</v>
      </c>
    </row>
    <row r="5" spans="2:9" x14ac:dyDescent="0.25">
      <c r="B5" s="20">
        <v>46205</v>
      </c>
      <c r="C5" s="21">
        <v>101</v>
      </c>
      <c r="D5" s="21" t="s">
        <v>7</v>
      </c>
      <c r="E5" s="22">
        <v>18000</v>
      </c>
      <c r="F5" s="22">
        <f t="shared" ref="F5:F6" si="0">E5*0.16</f>
        <v>2880</v>
      </c>
      <c r="G5" s="23">
        <f t="shared" ref="G5:G6" si="1">SUM(E5:F5)</f>
        <v>20880</v>
      </c>
    </row>
    <row r="6" spans="2:9" x14ac:dyDescent="0.25">
      <c r="B6" s="16">
        <v>46205</v>
      </c>
      <c r="C6" s="17">
        <v>102</v>
      </c>
      <c r="D6" s="17" t="s">
        <v>6</v>
      </c>
      <c r="E6" s="18">
        <v>25000</v>
      </c>
      <c r="F6" s="18">
        <f t="shared" si="0"/>
        <v>4000</v>
      </c>
      <c r="G6" s="19">
        <f t="shared" si="1"/>
        <v>29000</v>
      </c>
    </row>
    <row r="7" spans="2:9" x14ac:dyDescent="0.25">
      <c r="B7" s="20">
        <v>46206</v>
      </c>
      <c r="C7" s="21">
        <v>104</v>
      </c>
      <c r="D7" s="21" t="s">
        <v>8</v>
      </c>
      <c r="E7" s="22">
        <v>98000</v>
      </c>
      <c r="F7" s="22">
        <f>E7*0.16</f>
        <v>15680</v>
      </c>
      <c r="G7" s="23">
        <f>SUM(E7:F7)</f>
        <v>113680</v>
      </c>
    </row>
    <row r="8" spans="2:9" x14ac:dyDescent="0.25">
      <c r="B8" s="16">
        <v>46207</v>
      </c>
      <c r="C8" s="17">
        <v>105</v>
      </c>
      <c r="D8" s="17" t="s">
        <v>6</v>
      </c>
      <c r="E8" s="18">
        <v>18000</v>
      </c>
      <c r="F8" s="18">
        <f>E8*0.16</f>
        <v>2880</v>
      </c>
      <c r="G8" s="19">
        <f>SUM(E8:F8)</f>
        <v>20880</v>
      </c>
    </row>
    <row r="11" spans="2:9" x14ac:dyDescent="0.25">
      <c r="B11" s="13" t="s">
        <v>0</v>
      </c>
      <c r="C11" s="14" t="s">
        <v>1</v>
      </c>
      <c r="D11" s="14" t="s">
        <v>2</v>
      </c>
      <c r="E11" s="14" t="s">
        <v>3</v>
      </c>
      <c r="F11" s="14" t="s">
        <v>4</v>
      </c>
      <c r="G11" s="15" t="s">
        <v>5</v>
      </c>
    </row>
    <row r="12" spans="2:9" x14ac:dyDescent="0.25">
      <c r="B12" s="20" cm="1">
        <f t="array" ref="B12:G14">_xlfn._xlws.FILTER(B3:G8,D3:D8="A")</f>
        <v>46204</v>
      </c>
      <c r="C12">
        <v>100</v>
      </c>
      <c r="D12" t="str">
        <v>A</v>
      </c>
      <c r="E12" s="1">
        <v>150000</v>
      </c>
      <c r="F12" s="1">
        <v>24000</v>
      </c>
      <c r="G12" s="1">
        <v>174000</v>
      </c>
      <c r="I12" s="7" t="s">
        <v>29</v>
      </c>
    </row>
    <row r="13" spans="2:9" x14ac:dyDescent="0.25">
      <c r="B13" s="20">
        <v>46205</v>
      </c>
      <c r="C13">
        <v>102</v>
      </c>
      <c r="D13" t="str">
        <v>A</v>
      </c>
      <c r="E13" s="1">
        <v>25000</v>
      </c>
      <c r="F13" s="1">
        <v>4000</v>
      </c>
      <c r="G13" s="1">
        <v>29000</v>
      </c>
    </row>
    <row r="14" spans="2:9" x14ac:dyDescent="0.25">
      <c r="B14" s="20">
        <v>46207</v>
      </c>
      <c r="C14">
        <v>105</v>
      </c>
      <c r="D14" t="str">
        <v>A</v>
      </c>
      <c r="E14" s="1">
        <v>18000</v>
      </c>
      <c r="F14" s="1">
        <v>2880</v>
      </c>
      <c r="G14" s="1">
        <v>20880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AB8795-B98B-4501-BD75-E85248B40D9C}">
  <dimension ref="A1"/>
  <sheetViews>
    <sheetView workbookViewId="0">
      <selection activeCell="J21" sqref="J21"/>
    </sheetView>
  </sheetViews>
  <sheetFormatPr baseColWidth="10" defaultRowHeight="15" x14ac:dyDescent="0.25"/>
  <sheetData/>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0F837-541D-4021-8345-CE215418B1C2}">
  <dimension ref="A4:J23"/>
  <sheetViews>
    <sheetView tabSelected="1" topLeftCell="A11" zoomScale="130" zoomScaleNormal="130" workbookViewId="0">
      <selection activeCell="E18" sqref="E18"/>
    </sheetView>
  </sheetViews>
  <sheetFormatPr baseColWidth="10" defaultRowHeight="15" x14ac:dyDescent="0.25"/>
  <cols>
    <col min="1" max="1" width="5.7109375" customWidth="1"/>
    <col min="2" max="2" width="26.28515625" customWidth="1"/>
    <col min="3" max="3" width="27.7109375" bestFit="1" customWidth="1"/>
    <col min="4" max="5" width="17.85546875" customWidth="1"/>
    <col min="7" max="7" width="21.42578125" customWidth="1"/>
  </cols>
  <sheetData>
    <row r="4" spans="1:10" x14ac:dyDescent="0.25">
      <c r="B4" t="s">
        <v>9</v>
      </c>
      <c r="C4" s="4">
        <v>6760</v>
      </c>
    </row>
    <row r="6" spans="1:10" x14ac:dyDescent="0.25">
      <c r="B6" t="s">
        <v>10</v>
      </c>
      <c r="C6" s="5">
        <v>125478963</v>
      </c>
    </row>
    <row r="8" spans="1:10" x14ac:dyDescent="0.25">
      <c r="B8" t="s">
        <v>11</v>
      </c>
      <c r="C8" s="6">
        <f ca="1">TODAY()</f>
        <v>46240</v>
      </c>
      <c r="D8" s="7" t="s">
        <v>12</v>
      </c>
    </row>
    <row r="10" spans="1:10" x14ac:dyDescent="0.25">
      <c r="B10" t="s">
        <v>13</v>
      </c>
      <c r="C10" s="8">
        <v>18</v>
      </c>
      <c r="D10" s="7" t="s">
        <v>14</v>
      </c>
    </row>
    <row r="12" spans="1:10" x14ac:dyDescent="0.25">
      <c r="A12" s="9"/>
      <c r="B12" s="9"/>
      <c r="C12" s="9"/>
      <c r="D12" s="9"/>
      <c r="E12" s="9"/>
      <c r="F12" s="9"/>
      <c r="G12" s="9"/>
      <c r="H12" s="9"/>
      <c r="I12" s="9"/>
      <c r="J12" s="9"/>
    </row>
    <row r="14" spans="1:10" ht="77.25" customHeight="1" x14ac:dyDescent="0.25">
      <c r="B14" s="26" t="s">
        <v>15</v>
      </c>
      <c r="C14" s="27"/>
      <c r="D14" s="27"/>
      <c r="E14" s="27"/>
      <c r="F14" s="27"/>
    </row>
    <row r="16" spans="1:10" ht="30" x14ac:dyDescent="0.25">
      <c r="C16" s="10" t="s">
        <v>23</v>
      </c>
      <c r="D16" s="106" t="s">
        <v>243</v>
      </c>
      <c r="E16" s="107" t="s">
        <v>24</v>
      </c>
    </row>
    <row r="17" spans="2:9" x14ac:dyDescent="0.25">
      <c r="B17" s="2" t="s">
        <v>16</v>
      </c>
      <c r="C17" s="2">
        <v>5</v>
      </c>
      <c r="D17" s="2">
        <f>IF(COUNT($C$17:C17)&lt;=4,IF(C17&gt;=4,4,C17),0)</f>
        <v>4</v>
      </c>
      <c r="E17" s="108">
        <f>IF(C17&gt;0,IF(COUNTIF($C$17:C17,"&gt;0")&lt;=4,MAX(0,MIN(C17,4,9-SUM($D$16:D16))),0),0)</f>
        <v>4</v>
      </c>
      <c r="F17">
        <f>COUNT($C$17:C17)</f>
        <v>1</v>
      </c>
      <c r="G17" s="7"/>
      <c r="H17">
        <f>IF(C17&gt;=4,4,C17)</f>
        <v>4</v>
      </c>
      <c r="I17" s="7"/>
    </row>
    <row r="18" spans="2:9" x14ac:dyDescent="0.25">
      <c r="B18" s="2" t="s">
        <v>17</v>
      </c>
      <c r="C18" s="2">
        <v>1</v>
      </c>
      <c r="D18" s="2">
        <f>IF(COUNT($C$17:C18)&lt;=4,IF(C18&gt;=4,4,C18),0)</f>
        <v>1</v>
      </c>
      <c r="E18" s="108">
        <f>IF(C18&gt;0,IF(COUNTIF($C$17:C18,"&gt;0")&lt;=4,MAX(0,MIN(C18,4,9-SUM($D$16:D17))),0),0)</f>
        <v>1</v>
      </c>
      <c r="F18">
        <f>COUNT($C$17:C18)</f>
        <v>2</v>
      </c>
      <c r="G18" s="7" t="s">
        <v>242</v>
      </c>
      <c r="H18">
        <f t="shared" ref="H18:H23" si="0">IF(C18&gt;=4,4,C18)</f>
        <v>1</v>
      </c>
    </row>
    <row r="19" spans="2:9" x14ac:dyDescent="0.25">
      <c r="B19" s="2" t="s">
        <v>18</v>
      </c>
      <c r="C19" s="2"/>
      <c r="D19" s="2">
        <f>IF(COUNT($C$17:C19)&lt;=4,IF(C19&gt;=4,4,C19),0)</f>
        <v>0</v>
      </c>
      <c r="E19" s="108">
        <f>IF(C19&gt;0,IF(COUNTIF($C$17:C19,"&gt;0")&lt;=4,MAX(0,MIN(C19,4,9-SUM($D$16:D18))),0),0)</f>
        <v>0</v>
      </c>
      <c r="F19">
        <f>COUNT($C$17:C19)</f>
        <v>2</v>
      </c>
      <c r="H19">
        <f t="shared" si="0"/>
        <v>0</v>
      </c>
    </row>
    <row r="20" spans="2:9" x14ac:dyDescent="0.25">
      <c r="B20" s="2" t="s">
        <v>19</v>
      </c>
      <c r="C20" s="2">
        <v>2</v>
      </c>
      <c r="D20" s="2">
        <f>IF(COUNT($C$17:C20)&lt;=4,IF(C20&gt;=4,4,C20),0)</f>
        <v>2</v>
      </c>
      <c r="E20" s="108">
        <f>IF(C20&gt;0,IF(COUNTIF($C$17:C20,"&gt;0")&lt;=4,MAX(0,MIN(C20,4,9-SUM($D$16:D19))),0),0)</f>
        <v>2</v>
      </c>
      <c r="F20">
        <f>COUNT($C$17:C20)</f>
        <v>3</v>
      </c>
      <c r="H20">
        <f t="shared" si="0"/>
        <v>2</v>
      </c>
    </row>
    <row r="21" spans="2:9" x14ac:dyDescent="0.25">
      <c r="B21" s="2" t="s">
        <v>20</v>
      </c>
      <c r="C21" s="2">
        <v>6</v>
      </c>
      <c r="D21" s="2">
        <f>IF(COUNT($C$17:C21)&lt;=4,IF(C21&gt;=4,4,C21),0)</f>
        <v>4</v>
      </c>
      <c r="E21" s="108">
        <f>IF(C21&gt;0,IF(COUNTIF($C$17:C21,"&gt;0")&lt;=4,MAX(0,MIN(C21,4,9-SUM($D$16:D20))),0),0)</f>
        <v>2</v>
      </c>
      <c r="F21">
        <f>COUNT($C$17:C21)</f>
        <v>4</v>
      </c>
      <c r="H21">
        <f t="shared" si="0"/>
        <v>4</v>
      </c>
    </row>
    <row r="22" spans="2:9" x14ac:dyDescent="0.25">
      <c r="B22" s="2" t="s">
        <v>21</v>
      </c>
      <c r="C22" s="2"/>
      <c r="D22" s="2">
        <f>IF(COUNT($C$17:C22)&lt;=4,IF(C22&gt;=4,4,C22),0)</f>
        <v>0</v>
      </c>
      <c r="E22" s="108">
        <f>IF(C22&gt;0,IF(COUNTIF($C$17:C22,"&gt;0")&lt;=4,MAX(0,MIN(C22,4,9-SUM($D$16:D21))),0),0)</f>
        <v>0</v>
      </c>
      <c r="F22">
        <f>COUNT($C$17:C22)</f>
        <v>4</v>
      </c>
      <c r="H22">
        <f t="shared" si="0"/>
        <v>0</v>
      </c>
    </row>
    <row r="23" spans="2:9" x14ac:dyDescent="0.25">
      <c r="B23" s="2" t="s">
        <v>22</v>
      </c>
      <c r="C23" s="2"/>
      <c r="D23" s="2">
        <f>IF(COUNT($C$17:C23)&lt;=4,IF(C23&gt;=4,4,C23),0)</f>
        <v>0</v>
      </c>
      <c r="E23" s="108">
        <f>IF(C23&gt;0,IF(COUNTIF($C$17:C23,"&gt;0")&lt;=4,MAX(0,MIN(C23,4,9-SUM($D$16:D22))),0),0)</f>
        <v>0</v>
      </c>
      <c r="F23">
        <f>COUNT($C$17:C23)</f>
        <v>4</v>
      </c>
      <c r="H23">
        <f t="shared" si="0"/>
        <v>0</v>
      </c>
    </row>
  </sheetData>
  <mergeCells count="1">
    <mergeCell ref="B14:F14"/>
  </mergeCells>
  <phoneticPr fontId="3"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82B04-B36E-43D0-AB54-69861874625F}">
  <dimension ref="A3:J61"/>
  <sheetViews>
    <sheetView topLeftCell="A49" zoomScale="130" zoomScaleNormal="130" workbookViewId="0">
      <selection activeCell="B61" sqref="B61"/>
    </sheetView>
  </sheetViews>
  <sheetFormatPr baseColWidth="10" defaultRowHeight="15" x14ac:dyDescent="0.25"/>
  <cols>
    <col min="2" max="2" width="17" customWidth="1"/>
    <col min="3" max="3" width="17.5703125" customWidth="1"/>
    <col min="4" max="4" width="20" customWidth="1"/>
  </cols>
  <sheetData>
    <row r="3" spans="2:7" x14ac:dyDescent="0.25">
      <c r="B3" s="11" t="s">
        <v>26</v>
      </c>
    </row>
    <row r="4" spans="2:7" x14ac:dyDescent="0.25">
      <c r="B4" t="s">
        <v>25</v>
      </c>
      <c r="C4" s="3">
        <v>105</v>
      </c>
    </row>
    <row r="5" spans="2:7" x14ac:dyDescent="0.25">
      <c r="B5" t="s">
        <v>0</v>
      </c>
      <c r="C5" s="24">
        <f>IFERROR(_xlfn.XLOOKUP(C4,TABLA!$C$4:$C$8,TABLA!$B$4:$B$8),"")</f>
        <v>46207</v>
      </c>
      <c r="D5" s="7" t="s">
        <v>28</v>
      </c>
    </row>
    <row r="6" spans="2:7" x14ac:dyDescent="0.25">
      <c r="B6" t="s">
        <v>3</v>
      </c>
      <c r="C6" s="12">
        <f>IFERROR(VLOOKUP($C$4,TABLA!$C$4:$G$8,3,FALSE),"")</f>
        <v>18000</v>
      </c>
      <c r="D6" s="7" t="s">
        <v>27</v>
      </c>
    </row>
    <row r="7" spans="2:7" x14ac:dyDescent="0.25">
      <c r="B7" t="s">
        <v>4</v>
      </c>
      <c r="C7" s="12">
        <f>IFERROR(VLOOKUP($C$4,TABLA!$C$4:$G$8,4,FALSE),"")</f>
        <v>2880</v>
      </c>
    </row>
    <row r="8" spans="2:7" x14ac:dyDescent="0.25">
      <c r="B8" t="s">
        <v>5</v>
      </c>
      <c r="C8" s="12">
        <f>IFERROR(VLOOKUP($C$4,TABLA!$C$4:$G$8,5,FALSE),"")</f>
        <v>20880</v>
      </c>
    </row>
    <row r="11" spans="2:7" x14ac:dyDescent="0.25">
      <c r="B11" cm="1">
        <f t="array" ref="B11:B20">_xlfn.SEQUENCE(10,1,1)</f>
        <v>1</v>
      </c>
      <c r="C11" s="7" t="s">
        <v>30</v>
      </c>
      <c r="E11" cm="1">
        <f t="array" ref="E11:F20">_xlfn.SEQUENCE(10,2,1,2)</f>
        <v>1</v>
      </c>
      <c r="F11">
        <v>3</v>
      </c>
      <c r="G11" s="7" t="s">
        <v>31</v>
      </c>
    </row>
    <row r="12" spans="2:7" x14ac:dyDescent="0.25">
      <c r="B12">
        <v>2</v>
      </c>
      <c r="E12">
        <v>5</v>
      </c>
      <c r="F12">
        <v>7</v>
      </c>
    </row>
    <row r="13" spans="2:7" x14ac:dyDescent="0.25">
      <c r="B13">
        <v>3</v>
      </c>
      <c r="E13">
        <v>9</v>
      </c>
      <c r="F13">
        <v>11</v>
      </c>
    </row>
    <row r="14" spans="2:7" x14ac:dyDescent="0.25">
      <c r="B14">
        <v>4</v>
      </c>
      <c r="E14">
        <v>13</v>
      </c>
      <c r="F14">
        <v>15</v>
      </c>
    </row>
    <row r="15" spans="2:7" x14ac:dyDescent="0.25">
      <c r="B15">
        <v>5</v>
      </c>
      <c r="E15">
        <v>17</v>
      </c>
      <c r="F15">
        <v>19</v>
      </c>
    </row>
    <row r="16" spans="2:7" x14ac:dyDescent="0.25">
      <c r="B16">
        <v>6</v>
      </c>
      <c r="E16">
        <v>21</v>
      </c>
      <c r="F16">
        <v>23</v>
      </c>
    </row>
    <row r="17" spans="1:9" x14ac:dyDescent="0.25">
      <c r="B17">
        <v>7</v>
      </c>
      <c r="E17">
        <v>25</v>
      </c>
      <c r="F17">
        <v>27</v>
      </c>
    </row>
    <row r="18" spans="1:9" x14ac:dyDescent="0.25">
      <c r="B18">
        <v>8</v>
      </c>
      <c r="E18">
        <v>29</v>
      </c>
      <c r="F18">
        <v>31</v>
      </c>
    </row>
    <row r="19" spans="1:9" x14ac:dyDescent="0.25">
      <c r="B19">
        <v>9</v>
      </c>
      <c r="E19">
        <v>33</v>
      </c>
      <c r="F19">
        <v>35</v>
      </c>
    </row>
    <row r="20" spans="1:9" x14ac:dyDescent="0.25">
      <c r="B20">
        <v>10</v>
      </c>
      <c r="E20">
        <v>37</v>
      </c>
      <c r="F20">
        <v>39</v>
      </c>
    </row>
    <row r="22" spans="1:9" x14ac:dyDescent="0.25">
      <c r="A22" s="9"/>
      <c r="B22" s="9"/>
      <c r="C22" s="9"/>
      <c r="D22" s="9"/>
      <c r="E22" s="9"/>
      <c r="F22" s="9"/>
      <c r="G22" s="9"/>
      <c r="H22" s="9"/>
      <c r="I22" s="9"/>
    </row>
    <row r="24" spans="1:9" x14ac:dyDescent="0.25">
      <c r="B24" t="s">
        <v>139</v>
      </c>
      <c r="C24" s="48">
        <v>46204</v>
      </c>
    </row>
    <row r="25" spans="1:9" x14ac:dyDescent="0.25">
      <c r="B25" t="s">
        <v>140</v>
      </c>
      <c r="C25" s="48">
        <v>46234</v>
      </c>
    </row>
    <row r="26" spans="1:9" x14ac:dyDescent="0.25">
      <c r="B26" t="s">
        <v>37</v>
      </c>
      <c r="C26" s="3" t="s">
        <v>48</v>
      </c>
    </row>
    <row r="28" spans="1:9" x14ac:dyDescent="0.25">
      <c r="B28" t="s">
        <v>40</v>
      </c>
      <c r="C28" s="1">
        <f>IFERROR(SUMIFS(CFDI!$K:$K,CFDI!$D:$D,"&gt;="&amp;$C$24,CFDI!$D:$D,"&lt;="&amp;$C$25,CFDI!$H:$H,$C$26),"")</f>
        <v>957787.2300000001</v>
      </c>
      <c r="D28" s="7" t="s">
        <v>141</v>
      </c>
    </row>
    <row r="29" spans="1:9" x14ac:dyDescent="0.25">
      <c r="B29" t="s">
        <v>41</v>
      </c>
      <c r="C29" s="1">
        <f>IFERROR(SUMIFS(CFDI!$L:$L,CFDI!$D:$D,"&gt;="&amp;$C$24,CFDI!$D:$D,"&lt;="&amp;$C$25,CFDI!$H:$H,$C$26),"")</f>
        <v>153245.97000000003</v>
      </c>
    </row>
    <row r="30" spans="1:9" x14ac:dyDescent="0.25">
      <c r="B30" t="s">
        <v>42</v>
      </c>
      <c r="C30" s="1">
        <f>IFERROR(SUMIFS(CFDI!$M:$M,CFDI!$D:$D,"&gt;="&amp;$C$24,CFDI!$D:$D,"&lt;="&amp;$C$25,CFDI!$H:$H,$C$26),"")</f>
        <v>18744.82</v>
      </c>
    </row>
    <row r="31" spans="1:9" x14ac:dyDescent="0.25">
      <c r="B31" t="s">
        <v>5</v>
      </c>
      <c r="C31" s="1">
        <f>IFERROR(SUMIFS(CFDI!$N:$N,CFDI!$D:$D,"&gt;="&amp;$C$24,CFDI!$D:$D,"&lt;="&amp;$C$25,CFDI!$H:$H,$C$26),"")</f>
        <v>1092288.3800000001</v>
      </c>
    </row>
    <row r="33" spans="1:10" x14ac:dyDescent="0.25">
      <c r="A33" s="9"/>
      <c r="B33" s="9"/>
      <c r="C33" s="9"/>
      <c r="D33" s="9"/>
      <c r="E33" s="9"/>
      <c r="F33" s="9"/>
      <c r="G33" s="9"/>
      <c r="H33" s="9"/>
      <c r="I33" s="9"/>
      <c r="J33" s="9"/>
    </row>
    <row r="35" spans="1:10" x14ac:dyDescent="0.25">
      <c r="B35" s="7" t="s">
        <v>142</v>
      </c>
      <c r="C35">
        <f>VALUE(B35)</f>
        <v>1256</v>
      </c>
      <c r="D35" s="7" t="s">
        <v>143</v>
      </c>
    </row>
    <row r="36" spans="1:10" x14ac:dyDescent="0.25">
      <c r="B36" t="s">
        <v>144</v>
      </c>
      <c r="C36" t="str">
        <f>TRIM(B36)</f>
        <v>INGRESO CFDI</v>
      </c>
      <c r="D36" s="7" t="s">
        <v>145</v>
      </c>
    </row>
    <row r="39" spans="1:10" x14ac:dyDescent="0.25">
      <c r="A39" s="9"/>
      <c r="B39" s="9"/>
      <c r="C39" s="9"/>
      <c r="D39" s="9"/>
      <c r="E39" s="9"/>
      <c r="F39" s="9"/>
      <c r="G39" s="9"/>
      <c r="H39" s="9"/>
      <c r="I39" s="9"/>
      <c r="J39" s="9"/>
    </row>
    <row r="41" spans="1:10" x14ac:dyDescent="0.25">
      <c r="B41" t="s">
        <v>225</v>
      </c>
      <c r="C41" s="48">
        <v>43987</v>
      </c>
    </row>
    <row r="42" spans="1:10" x14ac:dyDescent="0.25">
      <c r="B42" t="s">
        <v>226</v>
      </c>
      <c r="C42" s="48">
        <v>46240</v>
      </c>
    </row>
    <row r="44" spans="1:10" x14ac:dyDescent="0.25">
      <c r="B44" t="s">
        <v>227</v>
      </c>
      <c r="C44">
        <f>DATEDIF(C41,C42,"Y")</f>
        <v>6</v>
      </c>
      <c r="D44" s="7" t="s">
        <v>230</v>
      </c>
    </row>
    <row r="45" spans="1:10" x14ac:dyDescent="0.25">
      <c r="B45" t="s">
        <v>228</v>
      </c>
      <c r="C45">
        <f>DATEDIF(C41,C42,"YM")</f>
        <v>2</v>
      </c>
      <c r="D45" s="7" t="s">
        <v>231</v>
      </c>
    </row>
    <row r="46" spans="1:10" x14ac:dyDescent="0.25">
      <c r="B46" t="s">
        <v>229</v>
      </c>
      <c r="C46">
        <f>DATEDIF(C41,C42,"MD")</f>
        <v>1</v>
      </c>
      <c r="D46" s="7" t="s">
        <v>232</v>
      </c>
    </row>
    <row r="48" spans="1:10" x14ac:dyDescent="0.25">
      <c r="B48" s="104">
        <f>DATE(YEAR(C42),C45,C46)</f>
        <v>46054</v>
      </c>
      <c r="C48" s="7" t="s">
        <v>233</v>
      </c>
    </row>
    <row r="50" spans="1:9" x14ac:dyDescent="0.25">
      <c r="B50" t="s">
        <v>140</v>
      </c>
      <c r="C50" s="104">
        <f>EOMONTH(C42,0)</f>
        <v>46265</v>
      </c>
      <c r="D50" s="7" t="s">
        <v>234</v>
      </c>
    </row>
    <row r="51" spans="1:9" x14ac:dyDescent="0.25">
      <c r="B51" t="s">
        <v>235</v>
      </c>
      <c r="C51">
        <f>YEAR(C42)</f>
        <v>2026</v>
      </c>
      <c r="D51" s="7" t="s">
        <v>236</v>
      </c>
    </row>
    <row r="52" spans="1:9" x14ac:dyDescent="0.25">
      <c r="B52" t="s">
        <v>207</v>
      </c>
      <c r="C52">
        <f>MONTH(C42)</f>
        <v>8</v>
      </c>
      <c r="D52" s="7" t="s">
        <v>237</v>
      </c>
    </row>
    <row r="53" spans="1:9" x14ac:dyDescent="0.25">
      <c r="B53" t="s">
        <v>238</v>
      </c>
      <c r="C53">
        <f>DAY(C42)</f>
        <v>6</v>
      </c>
      <c r="D53" s="7" t="s">
        <v>239</v>
      </c>
    </row>
    <row r="55" spans="1:9" x14ac:dyDescent="0.25">
      <c r="B55">
        <f>WEEKNUM(C42)</f>
        <v>32</v>
      </c>
      <c r="C55" s="7" t="s">
        <v>240</v>
      </c>
    </row>
    <row r="57" spans="1:9" x14ac:dyDescent="0.25">
      <c r="A57" s="9"/>
      <c r="B57" s="9"/>
      <c r="C57" s="9"/>
      <c r="D57" s="9"/>
      <c r="E57" s="9"/>
      <c r="F57" s="9"/>
      <c r="G57" s="9"/>
      <c r="H57" s="9"/>
      <c r="I57" s="9"/>
    </row>
    <row r="59" spans="1:9" x14ac:dyDescent="0.25">
      <c r="B59" s="11" t="s">
        <v>0</v>
      </c>
      <c r="C59" s="105">
        <v>46240</v>
      </c>
      <c r="D59" s="7" t="s">
        <v>241</v>
      </c>
    </row>
    <row r="61" spans="1:9" x14ac:dyDescent="0.25">
      <c r="B61" s="11" t="s">
        <v>0</v>
      </c>
      <c r="C61" s="24">
        <v>46240</v>
      </c>
    </row>
  </sheetData>
  <conditionalFormatting sqref="C59">
    <cfRule type="expression" dxfId="2" priority="2">
      <formula>IF($C$59&lt;&gt;"",1,0)</formula>
    </cfRule>
  </conditionalFormatting>
  <conditionalFormatting sqref="C61">
    <cfRule type="cellIs" dxfId="0" priority="1" operator="equal">
      <formula>$C$59</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802B9-691B-4515-933E-D93CC0CFEC5F}">
  <dimension ref="A1:E11"/>
  <sheetViews>
    <sheetView workbookViewId="0">
      <selection activeCell="C7" sqref="C7"/>
    </sheetView>
  </sheetViews>
  <sheetFormatPr baseColWidth="10" defaultRowHeight="15" x14ac:dyDescent="0.25"/>
  <cols>
    <col min="1" max="1" width="15.7109375" bestFit="1" customWidth="1"/>
    <col min="2" max="2" width="16.85546875" bestFit="1" customWidth="1"/>
    <col min="3" max="3" width="17.5703125" bestFit="1" customWidth="1"/>
    <col min="4" max="4" width="20.7109375" bestFit="1" customWidth="1"/>
    <col min="5" max="5" width="13.5703125" bestFit="1" customWidth="1"/>
  </cols>
  <sheetData>
    <row r="1" spans="1:5" x14ac:dyDescent="0.25">
      <c r="A1" s="28" t="s">
        <v>137</v>
      </c>
      <c r="B1" t="s">
        <v>136</v>
      </c>
    </row>
    <row r="2" spans="1:5" x14ac:dyDescent="0.25">
      <c r="A2" s="28" t="s">
        <v>37</v>
      </c>
      <c r="B2" t="s">
        <v>48</v>
      </c>
    </row>
    <row r="4" spans="1:5" x14ac:dyDescent="0.25">
      <c r="A4" s="28" t="s">
        <v>35</v>
      </c>
      <c r="B4" t="s">
        <v>132</v>
      </c>
      <c r="C4" t="s">
        <v>133</v>
      </c>
      <c r="D4" t="s">
        <v>134</v>
      </c>
      <c r="E4" t="s">
        <v>135</v>
      </c>
    </row>
    <row r="5" spans="1:5" x14ac:dyDescent="0.25">
      <c r="A5" t="s">
        <v>46</v>
      </c>
      <c r="B5" s="29">
        <v>95138.689999999988</v>
      </c>
      <c r="C5" s="29">
        <v>15222.199999999997</v>
      </c>
      <c r="D5" s="29">
        <v>3109.91</v>
      </c>
      <c r="E5" s="29">
        <v>107250.98</v>
      </c>
    </row>
    <row r="6" spans="1:5" x14ac:dyDescent="0.25">
      <c r="A6" t="s">
        <v>102</v>
      </c>
      <c r="B6" s="29">
        <v>304352.86</v>
      </c>
      <c r="C6" s="29">
        <v>48696.45</v>
      </c>
      <c r="D6" s="29">
        <v>6723.54</v>
      </c>
      <c r="E6" s="29">
        <v>346325.77</v>
      </c>
    </row>
    <row r="7" spans="1:5" x14ac:dyDescent="0.25">
      <c r="A7" t="s">
        <v>84</v>
      </c>
      <c r="B7" s="29">
        <v>145511.84</v>
      </c>
      <c r="C7" s="29">
        <v>23281.899999999998</v>
      </c>
      <c r="D7" s="29">
        <v>0</v>
      </c>
      <c r="E7" s="29">
        <v>168793.74000000002</v>
      </c>
    </row>
    <row r="8" spans="1:5" x14ac:dyDescent="0.25">
      <c r="A8" t="s">
        <v>54</v>
      </c>
      <c r="B8" s="29">
        <v>240445.71000000002</v>
      </c>
      <c r="C8" s="29">
        <v>38471.32</v>
      </c>
      <c r="D8" s="29">
        <v>7404.2900000000009</v>
      </c>
      <c r="E8" s="29">
        <v>271512.74</v>
      </c>
    </row>
    <row r="9" spans="1:5" x14ac:dyDescent="0.25">
      <c r="A9" t="s">
        <v>80</v>
      </c>
      <c r="B9" s="29">
        <v>306756.19</v>
      </c>
      <c r="C9" s="29">
        <v>49080.990000000005</v>
      </c>
      <c r="D9" s="29">
        <v>0</v>
      </c>
      <c r="E9" s="29">
        <v>355837.18</v>
      </c>
    </row>
    <row r="10" spans="1:5" x14ac:dyDescent="0.25">
      <c r="A10" t="s">
        <v>70</v>
      </c>
      <c r="B10" s="29">
        <v>85072.459999999992</v>
      </c>
      <c r="C10" s="29">
        <v>13611.59</v>
      </c>
      <c r="D10" s="29">
        <v>1507.08</v>
      </c>
      <c r="E10" s="29">
        <v>97176.97</v>
      </c>
    </row>
    <row r="11" spans="1:5" x14ac:dyDescent="0.25">
      <c r="A11" t="s">
        <v>131</v>
      </c>
      <c r="B11" s="29">
        <v>1177277.75</v>
      </c>
      <c r="C11" s="29">
        <v>188364.44999999998</v>
      </c>
      <c r="D11" s="29">
        <v>18744.82</v>
      </c>
      <c r="E11" s="29">
        <v>1346897.38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9D04A-6CB0-40E9-AD4E-6C30647FF0BF}">
  <dimension ref="B4:O34"/>
  <sheetViews>
    <sheetView topLeftCell="D1" zoomScale="120" zoomScaleNormal="120" workbookViewId="0">
      <selection activeCell="K4" sqref="K4:N4"/>
    </sheetView>
  </sheetViews>
  <sheetFormatPr baseColWidth="10" defaultRowHeight="15" x14ac:dyDescent="0.25"/>
  <cols>
    <col min="2" max="2" width="37" bestFit="1" customWidth="1"/>
    <col min="3" max="3" width="17.7109375" customWidth="1"/>
    <col min="4" max="4" width="19" customWidth="1"/>
    <col min="5" max="5" width="13.5703125" customWidth="1"/>
    <col min="7" max="7" width="43.140625" bestFit="1" customWidth="1"/>
    <col min="13" max="13" width="15.85546875" bestFit="1" customWidth="1"/>
  </cols>
  <sheetData>
    <row r="4" spans="2:15" ht="33" x14ac:dyDescent="0.25">
      <c r="B4" s="30" t="s">
        <v>32</v>
      </c>
      <c r="C4" s="30" t="s">
        <v>137</v>
      </c>
      <c r="D4" s="30" t="s">
        <v>33</v>
      </c>
      <c r="E4" s="30" t="s">
        <v>34</v>
      </c>
      <c r="F4" s="30" t="s">
        <v>35</v>
      </c>
      <c r="G4" s="30" t="s">
        <v>36</v>
      </c>
      <c r="H4" s="30" t="s">
        <v>37</v>
      </c>
      <c r="I4" s="30" t="s">
        <v>38</v>
      </c>
      <c r="J4" s="30" t="s">
        <v>39</v>
      </c>
      <c r="K4" s="30" t="s">
        <v>40</v>
      </c>
      <c r="L4" s="30" t="s">
        <v>41</v>
      </c>
      <c r="M4" s="30" t="s">
        <v>42</v>
      </c>
      <c r="N4" s="30" t="s">
        <v>5</v>
      </c>
      <c r="O4" s="30" t="s">
        <v>43</v>
      </c>
    </row>
    <row r="5" spans="2:15" x14ac:dyDescent="0.25">
      <c r="B5" s="31" t="s">
        <v>44</v>
      </c>
      <c r="C5" s="31" t="str">
        <f>TEXT(D5,"AAAA-MMM")</f>
        <v>2026-jul</v>
      </c>
      <c r="D5" s="32">
        <v>46205.574999999997</v>
      </c>
      <c r="E5" s="33" t="s">
        <v>45</v>
      </c>
      <c r="F5" s="33" t="s">
        <v>46</v>
      </c>
      <c r="G5" s="34" t="s">
        <v>47</v>
      </c>
      <c r="H5" s="33" t="s">
        <v>48</v>
      </c>
      <c r="I5" s="34" t="s">
        <v>49</v>
      </c>
      <c r="J5" s="34" t="s">
        <v>50</v>
      </c>
      <c r="K5" s="35">
        <v>32999.599999999999</v>
      </c>
      <c r="L5" s="35">
        <v>5279.94</v>
      </c>
      <c r="M5" s="35">
        <v>1979.98</v>
      </c>
      <c r="N5" s="35">
        <f t="shared" ref="N5:N34" si="0">K5+L5-M5</f>
        <v>36299.56</v>
      </c>
      <c r="O5" s="36" t="s">
        <v>51</v>
      </c>
    </row>
    <row r="6" spans="2:15" x14ac:dyDescent="0.25">
      <c r="B6" s="37" t="s">
        <v>52</v>
      </c>
      <c r="C6" s="31" t="str">
        <f t="shared" ref="C6:C34" si="1">TEXT(D6,"AAAA-MMM")</f>
        <v>2026-jul</v>
      </c>
      <c r="D6" s="38">
        <v>46206.775000000001</v>
      </c>
      <c r="E6" s="39" t="s">
        <v>53</v>
      </c>
      <c r="F6" s="39" t="s">
        <v>54</v>
      </c>
      <c r="G6" s="40" t="s">
        <v>55</v>
      </c>
      <c r="H6" s="39" t="s">
        <v>56</v>
      </c>
      <c r="I6" s="40" t="s">
        <v>57</v>
      </c>
      <c r="J6" s="40" t="s">
        <v>50</v>
      </c>
      <c r="K6" s="41">
        <v>2387.36</v>
      </c>
      <c r="L6" s="41">
        <v>381.98</v>
      </c>
      <c r="M6" s="41">
        <v>0</v>
      </c>
      <c r="N6" s="41">
        <f t="shared" si="0"/>
        <v>2769.34</v>
      </c>
      <c r="O6" s="42" t="s">
        <v>58</v>
      </c>
    </row>
    <row r="7" spans="2:15" x14ac:dyDescent="0.25">
      <c r="B7" s="31" t="s">
        <v>59</v>
      </c>
      <c r="C7" s="31" t="str">
        <f t="shared" si="1"/>
        <v>2026-jul</v>
      </c>
      <c r="D7" s="32">
        <v>46208.058333333327</v>
      </c>
      <c r="E7" s="33" t="s">
        <v>60</v>
      </c>
      <c r="F7" s="33" t="s">
        <v>54</v>
      </c>
      <c r="G7" s="34" t="s">
        <v>55</v>
      </c>
      <c r="H7" s="33" t="s">
        <v>61</v>
      </c>
      <c r="I7" s="34" t="s">
        <v>62</v>
      </c>
      <c r="J7" s="34" t="s">
        <v>63</v>
      </c>
      <c r="K7" s="35">
        <v>0</v>
      </c>
      <c r="L7" s="35">
        <v>0</v>
      </c>
      <c r="M7" s="35">
        <v>0</v>
      </c>
      <c r="N7" s="35">
        <f t="shared" si="0"/>
        <v>0</v>
      </c>
      <c r="O7" s="36" t="s">
        <v>58</v>
      </c>
    </row>
    <row r="8" spans="2:15" x14ac:dyDescent="0.25">
      <c r="B8" s="37" t="s">
        <v>64</v>
      </c>
      <c r="C8" s="31" t="str">
        <f t="shared" si="1"/>
        <v>2026-jul</v>
      </c>
      <c r="D8" s="38">
        <v>46209.133333333331</v>
      </c>
      <c r="E8" s="39" t="s">
        <v>65</v>
      </c>
      <c r="F8" s="39" t="s">
        <v>54</v>
      </c>
      <c r="G8" s="40" t="s">
        <v>55</v>
      </c>
      <c r="H8" s="39" t="s">
        <v>48</v>
      </c>
      <c r="I8" s="40" t="s">
        <v>66</v>
      </c>
      <c r="J8" s="40" t="s">
        <v>67</v>
      </c>
      <c r="K8" s="41">
        <v>32689.35</v>
      </c>
      <c r="L8" s="41">
        <v>5230.3</v>
      </c>
      <c r="M8" s="41">
        <v>0</v>
      </c>
      <c r="N8" s="41">
        <f t="shared" si="0"/>
        <v>37919.65</v>
      </c>
      <c r="O8" s="42" t="s">
        <v>58</v>
      </c>
    </row>
    <row r="9" spans="2:15" x14ac:dyDescent="0.25">
      <c r="B9" s="31" t="s">
        <v>68</v>
      </c>
      <c r="C9" s="31" t="str">
        <f t="shared" si="1"/>
        <v>2026-jul</v>
      </c>
      <c r="D9" s="32">
        <v>46210.416666666657</v>
      </c>
      <c r="E9" s="33" t="s">
        <v>69</v>
      </c>
      <c r="F9" s="33" t="s">
        <v>70</v>
      </c>
      <c r="G9" s="34" t="s">
        <v>71</v>
      </c>
      <c r="H9" s="33" t="s">
        <v>56</v>
      </c>
      <c r="I9" s="34" t="s">
        <v>57</v>
      </c>
      <c r="J9" s="34" t="s">
        <v>67</v>
      </c>
      <c r="K9" s="35">
        <v>5612.33</v>
      </c>
      <c r="L9" s="35">
        <v>897.97</v>
      </c>
      <c r="M9" s="35">
        <v>0</v>
      </c>
      <c r="N9" s="35">
        <f t="shared" si="0"/>
        <v>6510.3</v>
      </c>
      <c r="O9" s="36" t="s">
        <v>58</v>
      </c>
    </row>
    <row r="10" spans="2:15" x14ac:dyDescent="0.25">
      <c r="B10" s="37" t="s">
        <v>72</v>
      </c>
      <c r="C10" s="31" t="str">
        <f t="shared" si="1"/>
        <v>2026-jul</v>
      </c>
      <c r="D10" s="38">
        <v>46211.741666666669</v>
      </c>
      <c r="E10" s="39" t="s">
        <v>73</v>
      </c>
      <c r="F10" s="39" t="s">
        <v>46</v>
      </c>
      <c r="G10" s="40" t="s">
        <v>47</v>
      </c>
      <c r="H10" s="39" t="s">
        <v>48</v>
      </c>
      <c r="I10" s="40" t="s">
        <v>49</v>
      </c>
      <c r="J10" s="40" t="s">
        <v>67</v>
      </c>
      <c r="K10" s="41">
        <v>18832.23</v>
      </c>
      <c r="L10" s="41">
        <v>3013.16</v>
      </c>
      <c r="M10" s="41">
        <v>1129.93</v>
      </c>
      <c r="N10" s="41">
        <f t="shared" si="0"/>
        <v>20715.46</v>
      </c>
      <c r="O10" s="42" t="s">
        <v>51</v>
      </c>
    </row>
    <row r="11" spans="2:15" x14ac:dyDescent="0.25">
      <c r="B11" s="31" t="s">
        <v>74</v>
      </c>
      <c r="C11" s="31" t="str">
        <f t="shared" si="1"/>
        <v>2026-jul</v>
      </c>
      <c r="D11" s="32">
        <v>46212.9</v>
      </c>
      <c r="E11" s="33" t="s">
        <v>75</v>
      </c>
      <c r="F11" s="33" t="s">
        <v>46</v>
      </c>
      <c r="G11" s="34" t="s">
        <v>47</v>
      </c>
      <c r="H11" s="33" t="s">
        <v>56</v>
      </c>
      <c r="I11" s="34" t="s">
        <v>57</v>
      </c>
      <c r="J11" s="34" t="s">
        <v>50</v>
      </c>
      <c r="K11" s="35">
        <v>14650.5</v>
      </c>
      <c r="L11" s="35">
        <v>2344.08</v>
      </c>
      <c r="M11" s="35">
        <v>0</v>
      </c>
      <c r="N11" s="35">
        <f t="shared" si="0"/>
        <v>16994.580000000002</v>
      </c>
      <c r="O11" s="36" t="s">
        <v>58</v>
      </c>
    </row>
    <row r="12" spans="2:15" x14ac:dyDescent="0.25">
      <c r="B12" s="37" t="s">
        <v>76</v>
      </c>
      <c r="C12" s="31" t="str">
        <f t="shared" si="1"/>
        <v>2026-jul</v>
      </c>
      <c r="D12" s="38">
        <v>46213.974999999999</v>
      </c>
      <c r="E12" s="39" t="s">
        <v>77</v>
      </c>
      <c r="F12" s="39" t="s">
        <v>54</v>
      </c>
      <c r="G12" s="40" t="s">
        <v>55</v>
      </c>
      <c r="H12" s="39" t="s">
        <v>48</v>
      </c>
      <c r="I12" s="40" t="s">
        <v>66</v>
      </c>
      <c r="J12" s="40" t="s">
        <v>67</v>
      </c>
      <c r="K12" s="41">
        <v>72663.44</v>
      </c>
      <c r="L12" s="41">
        <v>11626.15</v>
      </c>
      <c r="M12" s="41">
        <v>4359.8100000000004</v>
      </c>
      <c r="N12" s="41">
        <f t="shared" si="0"/>
        <v>79929.78</v>
      </c>
      <c r="O12" s="42" t="s">
        <v>58</v>
      </c>
    </row>
    <row r="13" spans="2:15" x14ac:dyDescent="0.25">
      <c r="B13" s="31" t="s">
        <v>78</v>
      </c>
      <c r="C13" s="31" t="str">
        <f t="shared" si="1"/>
        <v>2026-jul</v>
      </c>
      <c r="D13" s="32">
        <v>46215.258333333331</v>
      </c>
      <c r="E13" s="33" t="s">
        <v>79</v>
      </c>
      <c r="F13" s="33" t="s">
        <v>80</v>
      </c>
      <c r="G13" s="34" t="s">
        <v>81</v>
      </c>
      <c r="H13" s="33" t="s">
        <v>48</v>
      </c>
      <c r="I13" s="34" t="s">
        <v>49</v>
      </c>
      <c r="J13" s="34" t="s">
        <v>50</v>
      </c>
      <c r="K13" s="35">
        <v>105046.17</v>
      </c>
      <c r="L13" s="35">
        <v>16807.39</v>
      </c>
      <c r="M13" s="35">
        <v>0</v>
      </c>
      <c r="N13" s="35">
        <f t="shared" si="0"/>
        <v>121853.56</v>
      </c>
      <c r="O13" s="36" t="s">
        <v>58</v>
      </c>
    </row>
    <row r="14" spans="2:15" x14ac:dyDescent="0.25">
      <c r="B14" s="37" t="s">
        <v>82</v>
      </c>
      <c r="C14" s="31" t="str">
        <f t="shared" si="1"/>
        <v>2026-jul</v>
      </c>
      <c r="D14" s="38">
        <v>46216.541666666657</v>
      </c>
      <c r="E14" s="39" t="s">
        <v>83</v>
      </c>
      <c r="F14" s="39" t="s">
        <v>84</v>
      </c>
      <c r="G14" s="40" t="s">
        <v>85</v>
      </c>
      <c r="H14" s="39" t="s">
        <v>48</v>
      </c>
      <c r="I14" s="40" t="s">
        <v>86</v>
      </c>
      <c r="J14" s="40" t="s">
        <v>67</v>
      </c>
      <c r="K14" s="41">
        <v>31464.79</v>
      </c>
      <c r="L14" s="41">
        <v>5034.37</v>
      </c>
      <c r="M14" s="41">
        <v>0</v>
      </c>
      <c r="N14" s="41">
        <f t="shared" si="0"/>
        <v>36499.160000000003</v>
      </c>
      <c r="O14" s="42" t="s">
        <v>58</v>
      </c>
    </row>
    <row r="15" spans="2:15" x14ac:dyDescent="0.25">
      <c r="B15" s="31" t="s">
        <v>87</v>
      </c>
      <c r="C15" s="31" t="str">
        <f t="shared" si="1"/>
        <v>2026-jul</v>
      </c>
      <c r="D15" s="32">
        <v>46217.908333333333</v>
      </c>
      <c r="E15" s="33" t="s">
        <v>88</v>
      </c>
      <c r="F15" s="33" t="s">
        <v>70</v>
      </c>
      <c r="G15" s="34" t="s">
        <v>71</v>
      </c>
      <c r="H15" s="33" t="s">
        <v>48</v>
      </c>
      <c r="I15" s="34" t="s">
        <v>89</v>
      </c>
      <c r="J15" s="34" t="s">
        <v>50</v>
      </c>
      <c r="K15" s="35">
        <v>26301.08</v>
      </c>
      <c r="L15" s="35">
        <v>4208.17</v>
      </c>
      <c r="M15" s="35">
        <v>0</v>
      </c>
      <c r="N15" s="35">
        <f t="shared" si="0"/>
        <v>30509.25</v>
      </c>
      <c r="O15" s="36" t="s">
        <v>51</v>
      </c>
    </row>
    <row r="16" spans="2:15" x14ac:dyDescent="0.25">
      <c r="B16" s="37" t="s">
        <v>90</v>
      </c>
      <c r="C16" s="31" t="str">
        <f t="shared" si="1"/>
        <v>2026-jul</v>
      </c>
      <c r="D16" s="38">
        <v>46218.85833333333</v>
      </c>
      <c r="E16" s="39" t="s">
        <v>91</v>
      </c>
      <c r="F16" s="39" t="s">
        <v>70</v>
      </c>
      <c r="G16" s="40" t="s">
        <v>71</v>
      </c>
      <c r="H16" s="39" t="s">
        <v>48</v>
      </c>
      <c r="I16" s="40" t="s">
        <v>89</v>
      </c>
      <c r="J16" s="40" t="s">
        <v>50</v>
      </c>
      <c r="K16" s="41">
        <v>33653.379999999997</v>
      </c>
      <c r="L16" s="41">
        <v>5384.54</v>
      </c>
      <c r="M16" s="41">
        <v>0</v>
      </c>
      <c r="N16" s="41">
        <f t="shared" si="0"/>
        <v>39037.919999999998</v>
      </c>
      <c r="O16" s="42" t="s">
        <v>58</v>
      </c>
    </row>
    <row r="17" spans="2:15" x14ac:dyDescent="0.25">
      <c r="B17" s="31" t="s">
        <v>92</v>
      </c>
      <c r="C17" s="31" t="str">
        <f t="shared" si="1"/>
        <v>2026-jul</v>
      </c>
      <c r="D17" s="32">
        <v>46220.183333333327</v>
      </c>
      <c r="E17" s="33" t="s">
        <v>93</v>
      </c>
      <c r="F17" s="33" t="s">
        <v>80</v>
      </c>
      <c r="G17" s="34" t="s">
        <v>81</v>
      </c>
      <c r="H17" s="33" t="s">
        <v>48</v>
      </c>
      <c r="I17" s="34" t="s">
        <v>49</v>
      </c>
      <c r="J17" s="34" t="s">
        <v>50</v>
      </c>
      <c r="K17" s="35">
        <v>110271.25</v>
      </c>
      <c r="L17" s="35">
        <v>17643.400000000001</v>
      </c>
      <c r="M17" s="35">
        <v>0</v>
      </c>
      <c r="N17" s="35">
        <f t="shared" si="0"/>
        <v>127914.65</v>
      </c>
      <c r="O17" s="36" t="s">
        <v>58</v>
      </c>
    </row>
    <row r="18" spans="2:15" x14ac:dyDescent="0.25">
      <c r="B18" s="37" t="s">
        <v>94</v>
      </c>
      <c r="C18" s="31" t="str">
        <f t="shared" si="1"/>
        <v>2026-jul</v>
      </c>
      <c r="D18" s="38">
        <v>46221.258333333331</v>
      </c>
      <c r="E18" s="39" t="s">
        <v>95</v>
      </c>
      <c r="F18" s="39" t="s">
        <v>70</v>
      </c>
      <c r="G18" s="40" t="s">
        <v>71</v>
      </c>
      <c r="H18" s="39" t="s">
        <v>56</v>
      </c>
      <c r="I18" s="40" t="s">
        <v>57</v>
      </c>
      <c r="J18" s="40" t="s">
        <v>67</v>
      </c>
      <c r="K18" s="41">
        <v>13500.88</v>
      </c>
      <c r="L18" s="41">
        <v>2160.14</v>
      </c>
      <c r="M18" s="41">
        <v>0</v>
      </c>
      <c r="N18" s="41">
        <f t="shared" si="0"/>
        <v>15661.019999999999</v>
      </c>
      <c r="O18" s="42" t="s">
        <v>58</v>
      </c>
    </row>
    <row r="19" spans="2:15" x14ac:dyDescent="0.25">
      <c r="B19" s="31" t="s">
        <v>96</v>
      </c>
      <c r="C19" s="31" t="str">
        <f t="shared" si="1"/>
        <v>2026-jul</v>
      </c>
      <c r="D19" s="32">
        <v>46222.416666666657</v>
      </c>
      <c r="E19" s="33" t="s">
        <v>97</v>
      </c>
      <c r="F19" s="33" t="s">
        <v>80</v>
      </c>
      <c r="G19" s="34" t="s">
        <v>81</v>
      </c>
      <c r="H19" s="33" t="s">
        <v>48</v>
      </c>
      <c r="I19" s="34" t="s">
        <v>49</v>
      </c>
      <c r="J19" s="34" t="s">
        <v>50</v>
      </c>
      <c r="K19" s="35">
        <v>91438.77</v>
      </c>
      <c r="L19" s="35">
        <v>14630.2</v>
      </c>
      <c r="M19" s="35">
        <v>0</v>
      </c>
      <c r="N19" s="35">
        <f t="shared" si="0"/>
        <v>106068.97</v>
      </c>
      <c r="O19" s="36" t="s">
        <v>51</v>
      </c>
    </row>
    <row r="20" spans="2:15" x14ac:dyDescent="0.25">
      <c r="B20" s="37" t="s">
        <v>98</v>
      </c>
      <c r="C20" s="31" t="str">
        <f t="shared" si="1"/>
        <v>2026-jul</v>
      </c>
      <c r="D20" s="38">
        <v>46223.783333333333</v>
      </c>
      <c r="E20" s="39" t="s">
        <v>99</v>
      </c>
      <c r="F20" s="39" t="s">
        <v>54</v>
      </c>
      <c r="G20" s="40" t="s">
        <v>55</v>
      </c>
      <c r="H20" s="39" t="s">
        <v>56</v>
      </c>
      <c r="I20" s="40" t="s">
        <v>57</v>
      </c>
      <c r="J20" s="40" t="s">
        <v>67</v>
      </c>
      <c r="K20" s="41">
        <v>4851.17</v>
      </c>
      <c r="L20" s="41">
        <v>776.19</v>
      </c>
      <c r="M20" s="41">
        <v>0</v>
      </c>
      <c r="N20" s="41">
        <f t="shared" si="0"/>
        <v>5627.3600000000006</v>
      </c>
      <c r="O20" s="42" t="s">
        <v>58</v>
      </c>
    </row>
    <row r="21" spans="2:15" x14ac:dyDescent="0.25">
      <c r="B21" s="31" t="s">
        <v>100</v>
      </c>
      <c r="C21" s="31" t="str">
        <f t="shared" si="1"/>
        <v>2026-jul</v>
      </c>
      <c r="D21" s="32">
        <v>46225.066666666673</v>
      </c>
      <c r="E21" s="33" t="s">
        <v>101</v>
      </c>
      <c r="F21" s="33" t="s">
        <v>102</v>
      </c>
      <c r="G21" s="34" t="s">
        <v>103</v>
      </c>
      <c r="H21" s="33" t="s">
        <v>48</v>
      </c>
      <c r="I21" s="34" t="s">
        <v>104</v>
      </c>
      <c r="J21" s="34" t="s">
        <v>50</v>
      </c>
      <c r="K21" s="35">
        <v>104443.53</v>
      </c>
      <c r="L21" s="35">
        <v>16710.96</v>
      </c>
      <c r="M21" s="35">
        <v>0</v>
      </c>
      <c r="N21" s="35">
        <f t="shared" si="0"/>
        <v>121154.48999999999</v>
      </c>
      <c r="O21" s="36" t="s">
        <v>58</v>
      </c>
    </row>
    <row r="22" spans="2:15" x14ac:dyDescent="0.25">
      <c r="B22" s="37" t="s">
        <v>105</v>
      </c>
      <c r="C22" s="31" t="str">
        <f t="shared" si="1"/>
        <v>2026-jul</v>
      </c>
      <c r="D22" s="38">
        <v>46226.183333333327</v>
      </c>
      <c r="E22" s="39" t="s">
        <v>106</v>
      </c>
      <c r="F22" s="39" t="s">
        <v>54</v>
      </c>
      <c r="G22" s="40" t="s">
        <v>55</v>
      </c>
      <c r="H22" s="39" t="s">
        <v>48</v>
      </c>
      <c r="I22" s="40" t="s">
        <v>66</v>
      </c>
      <c r="J22" s="40" t="s">
        <v>67</v>
      </c>
      <c r="K22" s="41">
        <v>50741.36</v>
      </c>
      <c r="L22" s="41">
        <v>8118.62</v>
      </c>
      <c r="M22" s="41">
        <v>3044.48</v>
      </c>
      <c r="N22" s="41">
        <f t="shared" si="0"/>
        <v>55815.5</v>
      </c>
      <c r="O22" s="42" t="s">
        <v>51</v>
      </c>
    </row>
    <row r="23" spans="2:15" x14ac:dyDescent="0.25">
      <c r="B23" s="31" t="s">
        <v>107</v>
      </c>
      <c r="C23" s="31" t="str">
        <f t="shared" si="1"/>
        <v>2026-jul</v>
      </c>
      <c r="D23" s="32">
        <v>46227.3</v>
      </c>
      <c r="E23" s="33" t="s">
        <v>108</v>
      </c>
      <c r="F23" s="33" t="s">
        <v>54</v>
      </c>
      <c r="G23" s="34" t="s">
        <v>55</v>
      </c>
      <c r="H23" s="33" t="s">
        <v>48</v>
      </c>
      <c r="I23" s="34" t="s">
        <v>66</v>
      </c>
      <c r="J23" s="34" t="s">
        <v>50</v>
      </c>
      <c r="K23" s="35">
        <v>84351.56</v>
      </c>
      <c r="L23" s="35">
        <v>13496.25</v>
      </c>
      <c r="M23" s="35">
        <v>0</v>
      </c>
      <c r="N23" s="35">
        <f t="shared" si="0"/>
        <v>97847.81</v>
      </c>
      <c r="O23" s="36" t="s">
        <v>58</v>
      </c>
    </row>
    <row r="24" spans="2:15" x14ac:dyDescent="0.25">
      <c r="B24" s="37" t="s">
        <v>109</v>
      </c>
      <c r="C24" s="31" t="str">
        <f t="shared" si="1"/>
        <v>2026-jul</v>
      </c>
      <c r="D24" s="38">
        <v>46228.541666666657</v>
      </c>
      <c r="E24" s="39" t="s">
        <v>110</v>
      </c>
      <c r="F24" s="39" t="s">
        <v>46</v>
      </c>
      <c r="G24" s="40" t="s">
        <v>47</v>
      </c>
      <c r="H24" s="39" t="s">
        <v>48</v>
      </c>
      <c r="I24" s="40" t="s">
        <v>49</v>
      </c>
      <c r="J24" s="40" t="s">
        <v>67</v>
      </c>
      <c r="K24" s="41">
        <v>25713.67</v>
      </c>
      <c r="L24" s="41">
        <v>4114.1899999999996</v>
      </c>
      <c r="M24" s="41">
        <v>0</v>
      </c>
      <c r="N24" s="41">
        <f t="shared" si="0"/>
        <v>29827.859999999997</v>
      </c>
      <c r="O24" s="42" t="s">
        <v>58</v>
      </c>
    </row>
    <row r="25" spans="2:15" x14ac:dyDescent="0.25">
      <c r="B25" s="31" t="s">
        <v>111</v>
      </c>
      <c r="C25" s="31" t="str">
        <f t="shared" si="1"/>
        <v>2026-jul</v>
      </c>
      <c r="D25" s="32">
        <v>46229.866666666669</v>
      </c>
      <c r="E25" s="33" t="s">
        <v>112</v>
      </c>
      <c r="F25" s="33" t="s">
        <v>84</v>
      </c>
      <c r="G25" s="34" t="s">
        <v>85</v>
      </c>
      <c r="H25" s="33" t="s">
        <v>61</v>
      </c>
      <c r="I25" s="34" t="s">
        <v>62</v>
      </c>
      <c r="J25" s="34" t="s">
        <v>63</v>
      </c>
      <c r="K25" s="35">
        <v>0</v>
      </c>
      <c r="L25" s="35">
        <v>0</v>
      </c>
      <c r="M25" s="35">
        <v>0</v>
      </c>
      <c r="N25" s="35">
        <f t="shared" si="0"/>
        <v>0</v>
      </c>
      <c r="O25" s="36" t="s">
        <v>58</v>
      </c>
    </row>
    <row r="26" spans="2:15" x14ac:dyDescent="0.25">
      <c r="B26" s="37" t="s">
        <v>113</v>
      </c>
      <c r="C26" s="31" t="str">
        <f t="shared" si="1"/>
        <v>2026-jul</v>
      </c>
      <c r="D26" s="38">
        <v>46230.775000000001</v>
      </c>
      <c r="E26" s="39" t="s">
        <v>114</v>
      </c>
      <c r="F26" s="39" t="s">
        <v>70</v>
      </c>
      <c r="G26" s="40" t="s">
        <v>71</v>
      </c>
      <c r="H26" s="39" t="s">
        <v>48</v>
      </c>
      <c r="I26" s="40" t="s">
        <v>89</v>
      </c>
      <c r="J26" s="40" t="s">
        <v>50</v>
      </c>
      <c r="K26" s="41">
        <v>25118</v>
      </c>
      <c r="L26" s="41">
        <v>4018.88</v>
      </c>
      <c r="M26" s="41">
        <v>1507.08</v>
      </c>
      <c r="N26" s="41">
        <f t="shared" si="0"/>
        <v>27629.800000000003</v>
      </c>
      <c r="O26" s="42" t="s">
        <v>51</v>
      </c>
    </row>
    <row r="27" spans="2:15" x14ac:dyDescent="0.25">
      <c r="B27" s="31" t="s">
        <v>115</v>
      </c>
      <c r="C27" s="31" t="str">
        <f t="shared" si="1"/>
        <v>2026-jul</v>
      </c>
      <c r="D27" s="32">
        <v>46232.26666666667</v>
      </c>
      <c r="E27" s="33" t="s">
        <v>116</v>
      </c>
      <c r="F27" s="33" t="s">
        <v>46</v>
      </c>
      <c r="G27" s="34" t="s">
        <v>47</v>
      </c>
      <c r="H27" s="33" t="s">
        <v>61</v>
      </c>
      <c r="I27" s="34" t="s">
        <v>62</v>
      </c>
      <c r="J27" s="34" t="s">
        <v>63</v>
      </c>
      <c r="K27" s="35">
        <v>0</v>
      </c>
      <c r="L27" s="35">
        <v>0</v>
      </c>
      <c r="M27" s="35">
        <v>0</v>
      </c>
      <c r="N27" s="35">
        <f t="shared" si="0"/>
        <v>0</v>
      </c>
      <c r="O27" s="36" t="s">
        <v>58</v>
      </c>
    </row>
    <row r="28" spans="2:15" x14ac:dyDescent="0.25">
      <c r="B28" s="37" t="s">
        <v>117</v>
      </c>
      <c r="C28" s="31" t="str">
        <f t="shared" si="1"/>
        <v>2026-jul</v>
      </c>
      <c r="D28" s="38">
        <v>46233.341666666667</v>
      </c>
      <c r="E28" s="39" t="s">
        <v>118</v>
      </c>
      <c r="F28" s="39" t="s">
        <v>102</v>
      </c>
      <c r="G28" s="40" t="s">
        <v>103</v>
      </c>
      <c r="H28" s="39" t="s">
        <v>48</v>
      </c>
      <c r="I28" s="40" t="s">
        <v>104</v>
      </c>
      <c r="J28" s="40" t="s">
        <v>50</v>
      </c>
      <c r="K28" s="41">
        <v>112059.05</v>
      </c>
      <c r="L28" s="41">
        <v>17929.45</v>
      </c>
      <c r="M28" s="41">
        <v>6723.54</v>
      </c>
      <c r="N28" s="41">
        <f t="shared" si="0"/>
        <v>123264.96000000001</v>
      </c>
      <c r="O28" s="42" t="s">
        <v>58</v>
      </c>
    </row>
    <row r="29" spans="2:15" x14ac:dyDescent="0.25">
      <c r="B29" s="31" t="s">
        <v>119</v>
      </c>
      <c r="C29" s="31" t="str">
        <f t="shared" si="1"/>
        <v>2026-jul</v>
      </c>
      <c r="D29" s="32">
        <v>46234.458333333343</v>
      </c>
      <c r="E29" s="33" t="s">
        <v>120</v>
      </c>
      <c r="F29" s="33" t="s">
        <v>46</v>
      </c>
      <c r="G29" s="34" t="s">
        <v>47</v>
      </c>
      <c r="H29" s="33" t="s">
        <v>48</v>
      </c>
      <c r="I29" s="34" t="s">
        <v>49</v>
      </c>
      <c r="J29" s="34" t="s">
        <v>50</v>
      </c>
      <c r="K29" s="35">
        <v>17593.189999999999</v>
      </c>
      <c r="L29" s="35">
        <v>2814.91</v>
      </c>
      <c r="M29" s="35">
        <v>0</v>
      </c>
      <c r="N29" s="35">
        <f t="shared" si="0"/>
        <v>20408.099999999999</v>
      </c>
      <c r="O29" s="36" t="s">
        <v>58</v>
      </c>
    </row>
    <row r="30" spans="2:15" x14ac:dyDescent="0.25">
      <c r="B30" s="37" t="s">
        <v>121</v>
      </c>
      <c r="C30" s="31" t="str">
        <f t="shared" si="1"/>
        <v>2026-ago</v>
      </c>
      <c r="D30" s="38">
        <v>46235.866666666669</v>
      </c>
      <c r="E30" s="39" t="s">
        <v>122</v>
      </c>
      <c r="F30" s="39" t="s">
        <v>84</v>
      </c>
      <c r="G30" s="40" t="s">
        <v>85</v>
      </c>
      <c r="H30" s="39" t="s">
        <v>48</v>
      </c>
      <c r="I30" s="40" t="s">
        <v>86</v>
      </c>
      <c r="J30" s="40" t="s">
        <v>67</v>
      </c>
      <c r="K30" s="41">
        <v>114047.05</v>
      </c>
      <c r="L30" s="41">
        <v>18247.53</v>
      </c>
      <c r="M30" s="41">
        <v>0</v>
      </c>
      <c r="N30" s="41">
        <f t="shared" si="0"/>
        <v>132294.58000000002</v>
      </c>
      <c r="O30" s="42" t="s">
        <v>51</v>
      </c>
    </row>
    <row r="31" spans="2:15" x14ac:dyDescent="0.25">
      <c r="B31" s="31" t="s">
        <v>123</v>
      </c>
      <c r="C31" s="31" t="str">
        <f t="shared" si="1"/>
        <v>2026-ago</v>
      </c>
      <c r="D31" s="32">
        <v>46237.10833333333</v>
      </c>
      <c r="E31" s="33" t="s">
        <v>124</v>
      </c>
      <c r="F31" s="33" t="s">
        <v>102</v>
      </c>
      <c r="G31" s="34" t="s">
        <v>103</v>
      </c>
      <c r="H31" s="33" t="s">
        <v>48</v>
      </c>
      <c r="I31" s="34" t="s">
        <v>104</v>
      </c>
      <c r="J31" s="34" t="s">
        <v>50</v>
      </c>
      <c r="K31" s="35">
        <v>87850.28</v>
      </c>
      <c r="L31" s="35">
        <v>14056.04</v>
      </c>
      <c r="M31" s="35">
        <v>0</v>
      </c>
      <c r="N31" s="35">
        <f t="shared" si="0"/>
        <v>101906.32</v>
      </c>
      <c r="O31" s="36" t="s">
        <v>58</v>
      </c>
    </row>
    <row r="32" spans="2:15" x14ac:dyDescent="0.25">
      <c r="B32" s="37" t="s">
        <v>125</v>
      </c>
      <c r="C32" s="31" t="str">
        <f t="shared" si="1"/>
        <v>2026-ago</v>
      </c>
      <c r="D32" s="38">
        <v>46238.224999999999</v>
      </c>
      <c r="E32" s="39" t="s">
        <v>126</v>
      </c>
      <c r="F32" s="39" t="s">
        <v>54</v>
      </c>
      <c r="G32" s="40" t="s">
        <v>55</v>
      </c>
      <c r="H32" s="39" t="s">
        <v>56</v>
      </c>
      <c r="I32" s="40" t="s">
        <v>57</v>
      </c>
      <c r="J32" s="40" t="s">
        <v>50</v>
      </c>
      <c r="K32" s="41">
        <v>5222.7700000000004</v>
      </c>
      <c r="L32" s="41">
        <v>835.64</v>
      </c>
      <c r="M32" s="41">
        <v>0</v>
      </c>
      <c r="N32" s="41">
        <f t="shared" si="0"/>
        <v>6058.4100000000008</v>
      </c>
      <c r="O32" s="42" t="s">
        <v>58</v>
      </c>
    </row>
    <row r="33" spans="2:15" x14ac:dyDescent="0.25">
      <c r="B33" s="31" t="s">
        <v>127</v>
      </c>
      <c r="C33" s="31" t="str">
        <f t="shared" si="1"/>
        <v>2026-ago</v>
      </c>
      <c r="D33" s="32">
        <v>46239.341666666667</v>
      </c>
      <c r="E33" s="33" t="s">
        <v>128</v>
      </c>
      <c r="F33" s="33" t="s">
        <v>46</v>
      </c>
      <c r="G33" s="34" t="s">
        <v>47</v>
      </c>
      <c r="H33" s="33" t="s">
        <v>61</v>
      </c>
      <c r="I33" s="34" t="s">
        <v>62</v>
      </c>
      <c r="J33" s="34" t="s">
        <v>63</v>
      </c>
      <c r="K33" s="35">
        <v>0</v>
      </c>
      <c r="L33" s="35">
        <v>0</v>
      </c>
      <c r="M33" s="35">
        <v>0</v>
      </c>
      <c r="N33" s="35">
        <f t="shared" si="0"/>
        <v>0</v>
      </c>
      <c r="O33" s="36" t="s">
        <v>58</v>
      </c>
    </row>
    <row r="34" spans="2:15" x14ac:dyDescent="0.25">
      <c r="B34" s="43" t="s">
        <v>129</v>
      </c>
      <c r="C34" s="31" t="str">
        <f t="shared" si="1"/>
        <v>2026-ago</v>
      </c>
      <c r="D34" s="44">
        <v>46240.666666666657</v>
      </c>
      <c r="E34" s="45" t="s">
        <v>130</v>
      </c>
      <c r="F34" s="45" t="s">
        <v>84</v>
      </c>
      <c r="G34" s="46" t="s">
        <v>85</v>
      </c>
      <c r="H34" s="45" t="s">
        <v>61</v>
      </c>
      <c r="I34" s="46" t="s">
        <v>62</v>
      </c>
      <c r="J34" s="46" t="s">
        <v>63</v>
      </c>
      <c r="K34" s="47">
        <v>0</v>
      </c>
      <c r="L34" s="47">
        <v>0</v>
      </c>
      <c r="M34" s="47">
        <v>0</v>
      </c>
      <c r="N34" s="47">
        <f t="shared" si="0"/>
        <v>0</v>
      </c>
      <c r="O34" s="25" t="s">
        <v>58</v>
      </c>
    </row>
  </sheetData>
  <conditionalFormatting sqref="O5:O34">
    <cfRule type="cellIs" dxfId="3" priority="1" operator="equal">
      <formula>"Cancelado"</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1EDCCF-67E7-4EBF-8262-CFD763D77DC4}">
  <dimension ref="A1:J77"/>
  <sheetViews>
    <sheetView showGridLines="0" topLeftCell="A57" zoomScale="110" zoomScaleNormal="110" workbookViewId="0">
      <selection activeCell="B5" sqref="B5:J5"/>
    </sheetView>
  </sheetViews>
  <sheetFormatPr baseColWidth="10" defaultRowHeight="15" x14ac:dyDescent="0.25"/>
  <cols>
    <col min="2" max="2" width="55.7109375" customWidth="1"/>
    <col min="3" max="3" width="13.7109375" customWidth="1"/>
    <col min="5" max="5" width="35.5703125" customWidth="1"/>
    <col min="6" max="6" width="13" bestFit="1" customWidth="1"/>
    <col min="7" max="7" width="3.85546875" customWidth="1"/>
  </cols>
  <sheetData>
    <row r="1" spans="1:10" ht="35.25" customHeight="1" x14ac:dyDescent="0.25"/>
    <row r="3" spans="1:10" ht="186" customHeight="1" x14ac:dyDescent="0.25">
      <c r="B3" s="49" t="s">
        <v>146</v>
      </c>
      <c r="C3" s="50"/>
      <c r="D3" s="50"/>
      <c r="E3" s="50"/>
      <c r="F3" s="50"/>
      <c r="G3" s="50"/>
      <c r="H3" s="50"/>
      <c r="I3" s="50"/>
      <c r="J3" s="50"/>
    </row>
    <row r="5" spans="1:10" ht="139.5" customHeight="1" x14ac:dyDescent="0.25">
      <c r="B5" s="57" t="s">
        <v>183</v>
      </c>
      <c r="C5" s="58"/>
      <c r="D5" s="58"/>
      <c r="E5" s="58"/>
      <c r="F5" s="58"/>
      <c r="G5" s="58"/>
      <c r="H5" s="58"/>
      <c r="I5" s="58"/>
      <c r="J5" s="58"/>
    </row>
    <row r="6" spans="1:10" x14ac:dyDescent="0.25">
      <c r="B6" s="59"/>
      <c r="C6" s="59"/>
      <c r="D6" s="59"/>
      <c r="E6" s="59"/>
      <c r="F6" s="59"/>
      <c r="G6" s="59"/>
      <c r="H6" s="59"/>
      <c r="I6" s="59"/>
      <c r="J6" s="59"/>
    </row>
    <row r="7" spans="1:10" x14ac:dyDescent="0.25">
      <c r="B7" s="59"/>
      <c r="C7" s="59"/>
      <c r="D7" s="59"/>
      <c r="E7" s="59"/>
      <c r="F7" s="59"/>
      <c r="G7" s="59"/>
      <c r="H7" s="59"/>
      <c r="I7" s="59"/>
      <c r="J7" s="59"/>
    </row>
    <row r="8" spans="1:10" ht="15.75" x14ac:dyDescent="0.25">
      <c r="B8" s="52" t="s">
        <v>147</v>
      </c>
      <c r="C8" s="51">
        <v>256000</v>
      </c>
      <c r="D8" s="59"/>
      <c r="E8" s="60" t="s">
        <v>148</v>
      </c>
      <c r="F8" s="51">
        <v>890562</v>
      </c>
      <c r="G8" s="61" t="s">
        <v>149</v>
      </c>
      <c r="H8" s="59"/>
      <c r="I8" s="59"/>
      <c r="J8" s="59"/>
    </row>
    <row r="9" spans="1:10" ht="15.75" x14ac:dyDescent="0.25">
      <c r="B9" s="52" t="s">
        <v>150</v>
      </c>
      <c r="C9" s="51">
        <v>10000</v>
      </c>
      <c r="D9" s="59"/>
      <c r="E9" s="52" t="s">
        <v>151</v>
      </c>
      <c r="F9" s="51">
        <v>60000</v>
      </c>
      <c r="G9" s="52"/>
      <c r="H9" s="59"/>
      <c r="I9" s="59"/>
      <c r="J9" s="59"/>
    </row>
    <row r="10" spans="1:10" ht="15.75" x14ac:dyDescent="0.25">
      <c r="B10" s="54" t="s">
        <v>152</v>
      </c>
      <c r="C10" s="75">
        <f>IFERROR(C8/C9,0)</f>
        <v>25.6</v>
      </c>
      <c r="D10" s="11"/>
      <c r="E10" s="54" t="s">
        <v>153</v>
      </c>
      <c r="F10" s="75">
        <f>IFERROR(F8/F9,0)</f>
        <v>14.842700000000001</v>
      </c>
      <c r="G10" s="61" t="s">
        <v>154</v>
      </c>
      <c r="H10" s="59"/>
      <c r="I10" s="59"/>
      <c r="J10" s="59"/>
    </row>
    <row r="11" spans="1:10" ht="15.75" x14ac:dyDescent="0.25">
      <c r="A11" s="53" t="s">
        <v>154</v>
      </c>
      <c r="B11" s="52" t="s">
        <v>155</v>
      </c>
      <c r="C11" s="76">
        <f>F10</f>
        <v>14.842700000000001</v>
      </c>
      <c r="D11" s="59"/>
      <c r="E11" s="52"/>
      <c r="F11" s="52"/>
      <c r="G11" s="52"/>
      <c r="H11" s="59"/>
      <c r="I11" s="59"/>
      <c r="J11" s="59"/>
    </row>
    <row r="12" spans="1:10" ht="15.75" x14ac:dyDescent="0.25">
      <c r="B12" s="52" t="s">
        <v>156</v>
      </c>
      <c r="C12" s="77">
        <f>MAX(0,C10-C11)</f>
        <v>10.757300000000001</v>
      </c>
      <c r="D12" s="59"/>
      <c r="E12" s="52"/>
      <c r="F12" s="52"/>
      <c r="G12" s="52"/>
      <c r="H12" s="59"/>
      <c r="I12" s="59"/>
      <c r="J12" s="59"/>
    </row>
    <row r="13" spans="1:10" ht="15.75" x14ac:dyDescent="0.25">
      <c r="B13" s="52"/>
      <c r="C13" s="52"/>
      <c r="D13" s="59"/>
      <c r="E13" s="52"/>
      <c r="F13" s="52"/>
      <c r="G13" s="52"/>
      <c r="H13" s="59"/>
      <c r="I13" s="59"/>
      <c r="J13" s="59"/>
    </row>
    <row r="14" spans="1:10" ht="52.5" customHeight="1" x14ac:dyDescent="0.25">
      <c r="B14" s="57" t="s">
        <v>184</v>
      </c>
      <c r="C14" s="58"/>
      <c r="D14" s="58"/>
      <c r="E14" s="58"/>
      <c r="F14" s="58"/>
      <c r="G14" s="58"/>
      <c r="H14" s="58"/>
      <c r="I14" s="58"/>
      <c r="J14" s="58"/>
    </row>
    <row r="15" spans="1:10" ht="15.75" x14ac:dyDescent="0.25">
      <c r="B15" s="59"/>
      <c r="C15" s="59"/>
      <c r="D15" s="59"/>
      <c r="E15" s="52"/>
      <c r="F15" s="52"/>
      <c r="G15" s="52"/>
      <c r="H15" s="59"/>
      <c r="I15" s="59"/>
      <c r="J15" s="59"/>
    </row>
    <row r="16" spans="1:10" ht="15.75" x14ac:dyDescent="0.25">
      <c r="B16" s="52" t="s">
        <v>147</v>
      </c>
      <c r="C16" s="51">
        <f>C8</f>
        <v>256000</v>
      </c>
      <c r="D16" s="52"/>
      <c r="E16" s="52"/>
      <c r="F16" s="52"/>
      <c r="G16" s="52"/>
      <c r="H16" s="52"/>
      <c r="I16" s="52"/>
      <c r="J16" s="52"/>
    </row>
    <row r="17" spans="2:10" ht="15.75" x14ac:dyDescent="0.25">
      <c r="B17" s="52" t="s">
        <v>150</v>
      </c>
      <c r="C17" s="51">
        <f>C9</f>
        <v>10000</v>
      </c>
      <c r="D17" s="52"/>
      <c r="E17" s="52"/>
      <c r="F17" s="52"/>
      <c r="G17" s="52"/>
      <c r="H17" s="52"/>
      <c r="I17" s="52"/>
      <c r="J17" s="52"/>
    </row>
    <row r="18" spans="2:10" ht="15.75" x14ac:dyDescent="0.25">
      <c r="B18" s="54" t="s">
        <v>152</v>
      </c>
      <c r="C18" s="55">
        <f>IFERROR(C16/C17,0)</f>
        <v>25.6</v>
      </c>
      <c r="D18" s="52"/>
      <c r="E18" s="52"/>
      <c r="F18" s="52"/>
      <c r="G18" s="52"/>
      <c r="H18" s="52"/>
      <c r="I18" s="52"/>
      <c r="J18" s="52"/>
    </row>
    <row r="19" spans="2:10" ht="15.75" x14ac:dyDescent="0.25">
      <c r="B19" s="52" t="s">
        <v>155</v>
      </c>
      <c r="C19" s="62">
        <f>F10</f>
        <v>14.842700000000001</v>
      </c>
      <c r="D19" s="52"/>
      <c r="E19" s="52"/>
      <c r="F19" s="52"/>
      <c r="G19" s="52"/>
      <c r="H19" s="52"/>
      <c r="I19" s="52"/>
      <c r="J19" s="52"/>
    </row>
    <row r="20" spans="2:10" ht="15.75" x14ac:dyDescent="0.25">
      <c r="B20" s="52" t="s">
        <v>156</v>
      </c>
      <c r="C20" s="63">
        <f>MAX(0,C18-C19)</f>
        <v>10.757300000000001</v>
      </c>
      <c r="D20" s="52"/>
      <c r="E20" s="52"/>
      <c r="F20" s="52"/>
      <c r="G20" s="52"/>
      <c r="H20" s="52"/>
      <c r="I20" s="52"/>
      <c r="J20" s="52"/>
    </row>
    <row r="21" spans="2:10" ht="15.75" x14ac:dyDescent="0.25">
      <c r="B21" s="52" t="s">
        <v>157</v>
      </c>
      <c r="C21" s="62">
        <f>C9</f>
        <v>10000</v>
      </c>
      <c r="D21" s="52"/>
      <c r="E21" s="52"/>
      <c r="F21" s="52"/>
      <c r="G21" s="52"/>
      <c r="H21" s="52"/>
      <c r="I21" s="52"/>
      <c r="J21" s="52"/>
    </row>
    <row r="22" spans="2:10" ht="15.75" x14ac:dyDescent="0.25">
      <c r="B22" s="54" t="s">
        <v>158</v>
      </c>
      <c r="C22" s="55">
        <f>ROUND(MAX(0,C20*C21),2)</f>
        <v>107573</v>
      </c>
      <c r="D22" s="61" t="s">
        <v>159</v>
      </c>
      <c r="E22" s="52"/>
      <c r="F22" s="52"/>
      <c r="G22" s="52"/>
      <c r="H22" s="52"/>
      <c r="I22" s="52"/>
      <c r="J22" s="52"/>
    </row>
    <row r="23" spans="2:10" ht="15.75" x14ac:dyDescent="0.25">
      <c r="B23" s="52"/>
      <c r="C23" s="52"/>
      <c r="D23" s="52"/>
      <c r="E23" s="52"/>
      <c r="F23" s="52"/>
      <c r="G23" s="52"/>
      <c r="H23" s="52"/>
      <c r="I23" s="52"/>
      <c r="J23" s="52"/>
    </row>
    <row r="24" spans="2:10" ht="62.25" customHeight="1" x14ac:dyDescent="0.25">
      <c r="B24" s="64" t="s">
        <v>185</v>
      </c>
      <c r="C24" s="65"/>
      <c r="D24" s="65"/>
      <c r="E24" s="65"/>
      <c r="F24" s="65"/>
      <c r="G24" s="65"/>
      <c r="H24" s="65"/>
      <c r="I24" s="65"/>
      <c r="J24" s="65"/>
    </row>
    <row r="25" spans="2:10" ht="15.75" x14ac:dyDescent="0.25">
      <c r="B25" s="52"/>
      <c r="C25" s="52"/>
      <c r="D25" s="52"/>
      <c r="E25" s="52"/>
      <c r="F25" s="52"/>
      <c r="G25" s="52"/>
      <c r="H25" s="52"/>
      <c r="I25" s="52"/>
      <c r="J25" s="52"/>
    </row>
    <row r="26" spans="2:10" ht="15.75" x14ac:dyDescent="0.25">
      <c r="B26" s="52" t="s">
        <v>147</v>
      </c>
      <c r="C26" s="51">
        <f>C8</f>
        <v>256000</v>
      </c>
      <c r="D26" s="52"/>
      <c r="E26" s="60" t="s">
        <v>160</v>
      </c>
      <c r="F26" s="51">
        <v>560321</v>
      </c>
      <c r="G26" s="52"/>
      <c r="H26" s="61" t="s">
        <v>161</v>
      </c>
      <c r="I26" s="52"/>
      <c r="J26" s="52"/>
    </row>
    <row r="27" spans="2:10" ht="15.75" x14ac:dyDescent="0.25">
      <c r="B27" s="52" t="s">
        <v>150</v>
      </c>
      <c r="C27" s="51">
        <f>C9</f>
        <v>10000</v>
      </c>
      <c r="D27" s="52"/>
      <c r="E27" s="52" t="s">
        <v>151</v>
      </c>
      <c r="F27" s="51">
        <f>F9</f>
        <v>60000</v>
      </c>
      <c r="G27" s="52"/>
      <c r="H27" s="52"/>
      <c r="I27" s="52"/>
      <c r="J27" s="52"/>
    </row>
    <row r="28" spans="2:10" ht="15.75" x14ac:dyDescent="0.25">
      <c r="B28" s="54" t="s">
        <v>152</v>
      </c>
      <c r="C28" s="55">
        <f>IFERROR(C26/C27,0)</f>
        <v>25.6</v>
      </c>
      <c r="D28" s="52"/>
      <c r="E28" s="54" t="s">
        <v>162</v>
      </c>
      <c r="F28" s="75">
        <f>IFERROR(F26/F27,0)</f>
        <v>9.3386833333333339</v>
      </c>
      <c r="G28" s="52"/>
      <c r="H28" s="52"/>
      <c r="I28" s="52"/>
      <c r="J28" s="52"/>
    </row>
    <row r="29" spans="2:10" ht="15.75" x14ac:dyDescent="0.25">
      <c r="B29" s="52" t="s">
        <v>155</v>
      </c>
      <c r="C29" s="62">
        <f>C19</f>
        <v>14.842700000000001</v>
      </c>
      <c r="D29" s="52"/>
      <c r="E29" s="52" t="s">
        <v>163</v>
      </c>
      <c r="F29" s="62">
        <f>C9</f>
        <v>10000</v>
      </c>
      <c r="G29" s="52"/>
      <c r="H29" s="52"/>
      <c r="I29" s="52"/>
      <c r="J29" s="52"/>
    </row>
    <row r="30" spans="2:10" ht="15.75" x14ac:dyDescent="0.25">
      <c r="B30" s="52" t="s">
        <v>156</v>
      </c>
      <c r="C30" s="63">
        <f>MAX(0,C28-C29)</f>
        <v>10.757300000000001</v>
      </c>
      <c r="D30" s="52"/>
      <c r="E30" s="52" t="s">
        <v>189</v>
      </c>
      <c r="F30" s="55">
        <f>ROUND(MAX(0,MIN(C32,F28*F29)),2)</f>
        <v>93386.83</v>
      </c>
      <c r="G30" s="61" t="s">
        <v>164</v>
      </c>
      <c r="H30" s="61" t="s">
        <v>161</v>
      </c>
      <c r="I30" s="52"/>
      <c r="J30" s="52"/>
    </row>
    <row r="31" spans="2:10" ht="15.75" x14ac:dyDescent="0.25">
      <c r="B31" s="52" t="s">
        <v>157</v>
      </c>
      <c r="C31" s="62">
        <f>C21</f>
        <v>10000</v>
      </c>
      <c r="D31" s="52"/>
      <c r="E31" s="52"/>
      <c r="F31" s="52"/>
      <c r="G31" s="52"/>
      <c r="H31" s="52"/>
      <c r="I31" s="52"/>
      <c r="J31" s="52"/>
    </row>
    <row r="32" spans="2:10" ht="15.75" x14ac:dyDescent="0.25">
      <c r="B32" s="54" t="s">
        <v>158</v>
      </c>
      <c r="C32" s="55">
        <f>ROUND(MAX(0,C30*C31),2)</f>
        <v>107573</v>
      </c>
      <c r="D32" s="52"/>
      <c r="E32" s="52"/>
      <c r="F32" s="52"/>
      <c r="G32" s="52"/>
      <c r="H32" s="52"/>
      <c r="I32" s="52"/>
      <c r="J32" s="52"/>
    </row>
    <row r="33" spans="1:10" ht="15.75" x14ac:dyDescent="0.25">
      <c r="A33" s="53" t="s">
        <v>164</v>
      </c>
      <c r="B33" s="52" t="s">
        <v>190</v>
      </c>
      <c r="C33" s="62">
        <f>F30</f>
        <v>93386.83</v>
      </c>
      <c r="D33" s="52"/>
      <c r="E33" s="52"/>
      <c r="F33" s="52"/>
      <c r="G33" s="52"/>
      <c r="H33" s="52"/>
      <c r="I33" s="52"/>
      <c r="J33" s="52"/>
    </row>
    <row r="34" spans="1:10" ht="15.75" x14ac:dyDescent="0.25">
      <c r="B34" s="52" t="s">
        <v>165</v>
      </c>
      <c r="C34" s="63">
        <f>ROUND(MAX(0,C32-C33),2)</f>
        <v>14186.17</v>
      </c>
      <c r="D34" s="52"/>
      <c r="E34" s="52"/>
      <c r="F34" s="52"/>
      <c r="G34" s="52"/>
      <c r="H34" s="52"/>
      <c r="I34" s="52"/>
      <c r="J34" s="52"/>
    </row>
    <row r="35" spans="1:10" ht="15.75" x14ac:dyDescent="0.25">
      <c r="B35" s="52"/>
      <c r="C35" s="52"/>
      <c r="D35" s="52"/>
      <c r="E35" s="52"/>
      <c r="F35" s="52"/>
      <c r="G35" s="52"/>
      <c r="H35" s="52"/>
      <c r="I35" s="52"/>
      <c r="J35" s="52"/>
    </row>
    <row r="36" spans="1:10" ht="82.5" customHeight="1" x14ac:dyDescent="0.25">
      <c r="B36" s="64" t="s">
        <v>186</v>
      </c>
      <c r="C36" s="65"/>
      <c r="D36" s="65"/>
      <c r="E36" s="65"/>
      <c r="F36" s="65"/>
      <c r="G36" s="65"/>
      <c r="H36" s="65"/>
      <c r="I36" s="65"/>
      <c r="J36" s="65"/>
    </row>
    <row r="37" spans="1:10" ht="15.75" x14ac:dyDescent="0.25">
      <c r="B37" s="52"/>
      <c r="C37" s="52"/>
      <c r="D37" s="52"/>
      <c r="E37" s="52"/>
      <c r="F37" s="52"/>
      <c r="G37" s="52"/>
      <c r="H37" s="52"/>
      <c r="I37" s="52"/>
      <c r="J37" s="52"/>
    </row>
    <row r="38" spans="1:10" ht="15.75" x14ac:dyDescent="0.25">
      <c r="B38" s="52" t="s">
        <v>147</v>
      </c>
      <c r="C38" s="51">
        <f>C8</f>
        <v>256000</v>
      </c>
      <c r="D38" s="52"/>
      <c r="E38" s="52"/>
      <c r="F38" s="52"/>
      <c r="G38" s="52"/>
      <c r="H38" s="52"/>
      <c r="I38" s="52"/>
      <c r="J38" s="52"/>
    </row>
    <row r="39" spans="1:10" ht="15.75" x14ac:dyDescent="0.25">
      <c r="B39" s="52" t="s">
        <v>150</v>
      </c>
      <c r="C39" s="51">
        <f>C9</f>
        <v>10000</v>
      </c>
      <c r="D39" s="52"/>
      <c r="E39" s="52"/>
      <c r="F39" s="52"/>
      <c r="G39" s="52"/>
      <c r="H39" s="52"/>
      <c r="I39" s="52"/>
      <c r="J39" s="52"/>
    </row>
    <row r="40" spans="1:10" ht="15.75" x14ac:dyDescent="0.25">
      <c r="B40" s="54" t="s">
        <v>152</v>
      </c>
      <c r="C40" s="55">
        <f>IFERROR(C38/C39,0)</f>
        <v>25.6</v>
      </c>
      <c r="D40" s="52"/>
      <c r="E40" s="52"/>
      <c r="F40" s="52"/>
      <c r="G40" s="52"/>
      <c r="H40" s="52"/>
      <c r="I40" s="52"/>
      <c r="J40" s="52"/>
    </row>
    <row r="41" spans="1:10" ht="15.75" x14ac:dyDescent="0.25">
      <c r="B41" s="52" t="s">
        <v>155</v>
      </c>
      <c r="C41" s="62">
        <f>C29</f>
        <v>14.842700000000001</v>
      </c>
      <c r="D41" s="52"/>
      <c r="E41" s="52"/>
      <c r="F41" s="52"/>
      <c r="G41" s="52"/>
      <c r="H41" s="52"/>
      <c r="I41" s="52"/>
      <c r="J41" s="52"/>
    </row>
    <row r="42" spans="1:10" ht="15.75" x14ac:dyDescent="0.25">
      <c r="B42" s="52" t="s">
        <v>156</v>
      </c>
      <c r="C42" s="63">
        <f>MAX(0,C40-C41)</f>
        <v>10.757300000000001</v>
      </c>
      <c r="D42" s="52"/>
      <c r="E42" s="52"/>
      <c r="F42" s="52"/>
      <c r="G42" s="52"/>
      <c r="H42" s="52"/>
      <c r="I42" s="52"/>
      <c r="J42" s="52"/>
    </row>
    <row r="43" spans="1:10" ht="15.75" x14ac:dyDescent="0.25">
      <c r="B43" s="52" t="s">
        <v>157</v>
      </c>
      <c r="C43" s="62">
        <f>C31</f>
        <v>10000</v>
      </c>
      <c r="D43" s="52"/>
      <c r="E43" s="52"/>
      <c r="F43" s="52"/>
      <c r="G43" s="52"/>
      <c r="H43" s="52"/>
      <c r="I43" s="52"/>
      <c r="J43" s="52"/>
    </row>
    <row r="44" spans="1:10" ht="15.75" x14ac:dyDescent="0.25">
      <c r="B44" s="54" t="s">
        <v>158</v>
      </c>
      <c r="C44" s="55">
        <f>ROUND(MAX(0,C42*C43),2)</f>
        <v>107573</v>
      </c>
      <c r="D44" s="59"/>
      <c r="E44" s="59"/>
      <c r="F44" s="59"/>
      <c r="G44" s="59"/>
      <c r="H44" s="59"/>
      <c r="I44" s="59"/>
      <c r="J44" s="59"/>
    </row>
    <row r="45" spans="1:10" ht="15.75" x14ac:dyDescent="0.25">
      <c r="B45" s="52" t="s">
        <v>190</v>
      </c>
      <c r="C45" s="62">
        <f>C33</f>
        <v>93386.83</v>
      </c>
      <c r="D45" s="59"/>
      <c r="E45" s="59"/>
      <c r="F45" s="59"/>
      <c r="G45" s="59"/>
      <c r="H45" s="59"/>
      <c r="I45" s="59"/>
      <c r="J45" s="59"/>
    </row>
    <row r="46" spans="1:10" ht="15.75" x14ac:dyDescent="0.25">
      <c r="B46" s="52" t="s">
        <v>165</v>
      </c>
      <c r="C46" s="63">
        <f>ROUND(MAX(0,C44-C45),2)</f>
        <v>14186.17</v>
      </c>
      <c r="D46" s="59"/>
      <c r="E46" s="59"/>
      <c r="F46" s="59"/>
      <c r="G46" s="59"/>
      <c r="H46" s="59"/>
      <c r="I46" s="59"/>
      <c r="J46" s="59"/>
    </row>
    <row r="47" spans="1:10" ht="15.75" x14ac:dyDescent="0.25">
      <c r="B47" s="52" t="s">
        <v>166</v>
      </c>
      <c r="C47" s="74">
        <v>1.4286000000000001</v>
      </c>
      <c r="D47" s="59"/>
      <c r="E47" s="59"/>
      <c r="F47" s="59"/>
      <c r="G47" s="59"/>
      <c r="H47" s="59"/>
      <c r="I47" s="59"/>
      <c r="J47" s="59"/>
    </row>
    <row r="48" spans="1:10" ht="15.75" x14ac:dyDescent="0.25">
      <c r="B48" s="52" t="s">
        <v>167</v>
      </c>
      <c r="C48" s="66">
        <f>MAX(0,C46*C47)</f>
        <v>20266.362462000001</v>
      </c>
      <c r="D48" s="59"/>
      <c r="E48" s="59"/>
      <c r="F48" s="59"/>
      <c r="G48" s="59"/>
      <c r="H48" s="59"/>
      <c r="I48" s="59"/>
      <c r="J48" s="59"/>
    </row>
    <row r="49" spans="2:10" ht="15.75" x14ac:dyDescent="0.25">
      <c r="B49" s="52" t="s">
        <v>168</v>
      </c>
      <c r="C49" s="67">
        <v>0.3</v>
      </c>
      <c r="D49" s="59"/>
      <c r="E49" s="59"/>
      <c r="F49" s="59"/>
      <c r="G49" s="59"/>
      <c r="H49" s="59"/>
      <c r="I49" s="59"/>
      <c r="J49" s="59"/>
    </row>
    <row r="50" spans="2:10" ht="15.75" x14ac:dyDescent="0.25">
      <c r="B50" s="54" t="s">
        <v>169</v>
      </c>
      <c r="C50" s="68">
        <f>ROUND(MAX(0,C48*C49),0)</f>
        <v>6080</v>
      </c>
      <c r="D50" s="61" t="s">
        <v>170</v>
      </c>
      <c r="E50" s="59"/>
      <c r="F50" s="59"/>
      <c r="G50" s="59"/>
      <c r="H50" s="59"/>
      <c r="I50" s="59"/>
      <c r="J50" s="59"/>
    </row>
    <row r="51" spans="2:10" x14ac:dyDescent="0.25">
      <c r="B51" s="59"/>
      <c r="C51" s="59"/>
      <c r="D51" s="59"/>
      <c r="E51" s="59"/>
      <c r="F51" s="59"/>
      <c r="G51" s="59"/>
      <c r="H51" s="59"/>
      <c r="I51" s="59"/>
      <c r="J51" s="59"/>
    </row>
    <row r="52" spans="2:10" ht="92.25" customHeight="1" x14ac:dyDescent="0.25">
      <c r="B52" s="69" t="s">
        <v>187</v>
      </c>
      <c r="C52" s="70"/>
      <c r="D52" s="70"/>
      <c r="E52" s="70"/>
      <c r="F52" s="70"/>
      <c r="G52" s="70"/>
      <c r="H52" s="70"/>
      <c r="I52" s="70"/>
      <c r="J52" s="70"/>
    </row>
    <row r="53" spans="2:10" x14ac:dyDescent="0.25">
      <c r="B53" s="59"/>
      <c r="C53" s="59"/>
      <c r="D53" s="59"/>
      <c r="E53" s="59"/>
      <c r="F53" s="59"/>
      <c r="G53" s="59"/>
      <c r="H53" s="59"/>
      <c r="I53" s="59"/>
      <c r="J53" s="59"/>
    </row>
    <row r="54" spans="2:10" ht="36.75" customHeight="1" x14ac:dyDescent="0.25">
      <c r="B54" s="71" t="s">
        <v>171</v>
      </c>
      <c r="C54" s="72">
        <v>1890000</v>
      </c>
      <c r="D54" s="59"/>
      <c r="E54" s="59"/>
      <c r="F54" s="59"/>
      <c r="G54" s="59"/>
      <c r="H54" s="59"/>
      <c r="I54" s="59"/>
      <c r="J54" s="59"/>
    </row>
    <row r="55" spans="2:10" x14ac:dyDescent="0.25">
      <c r="B55" s="59" t="s">
        <v>172</v>
      </c>
      <c r="C55" s="66">
        <f>F8</f>
        <v>890562</v>
      </c>
      <c r="D55" s="61" t="s">
        <v>149</v>
      </c>
      <c r="E55" s="59"/>
      <c r="F55" s="59"/>
      <c r="G55" s="59"/>
      <c r="H55" s="59"/>
      <c r="I55" s="59"/>
      <c r="J55" s="59"/>
    </row>
    <row r="56" spans="2:10" x14ac:dyDescent="0.25">
      <c r="B56" s="11" t="s">
        <v>173</v>
      </c>
      <c r="C56" s="68">
        <f>MAX(0,C54-C55)</f>
        <v>999438</v>
      </c>
      <c r="D56" s="61" t="s">
        <v>174</v>
      </c>
      <c r="E56" s="59"/>
      <c r="F56" s="59"/>
      <c r="G56" s="59"/>
      <c r="H56" s="59"/>
      <c r="I56" s="59"/>
      <c r="J56" s="59"/>
    </row>
    <row r="57" spans="2:10" x14ac:dyDescent="0.25">
      <c r="B57" s="59"/>
      <c r="C57" s="66"/>
      <c r="D57" s="56"/>
      <c r="E57" s="59"/>
      <c r="F57" s="59"/>
      <c r="G57" s="59"/>
      <c r="H57" s="59"/>
      <c r="I57" s="59"/>
      <c r="J57" s="59"/>
    </row>
    <row r="58" spans="2:10" ht="147.75" customHeight="1" x14ac:dyDescent="0.25">
      <c r="B58" s="69" t="s">
        <v>188</v>
      </c>
      <c r="C58" s="78"/>
      <c r="D58" s="70"/>
      <c r="E58" s="70"/>
      <c r="F58" s="70"/>
      <c r="G58" s="70"/>
      <c r="H58" s="70"/>
      <c r="I58" s="70"/>
      <c r="J58" s="70"/>
    </row>
    <row r="59" spans="2:10" x14ac:dyDescent="0.25">
      <c r="B59" s="59"/>
      <c r="C59" s="66"/>
      <c r="D59" s="59"/>
      <c r="E59" s="59"/>
      <c r="F59" s="59"/>
      <c r="G59" s="59"/>
      <c r="H59" s="59"/>
      <c r="I59" s="59"/>
      <c r="J59" s="59"/>
    </row>
    <row r="60" spans="2:10" ht="45" x14ac:dyDescent="0.25">
      <c r="B60" s="73" t="s">
        <v>171</v>
      </c>
      <c r="C60" s="72">
        <f>C54</f>
        <v>1890000</v>
      </c>
      <c r="D60" s="59"/>
      <c r="E60" s="59"/>
      <c r="F60" s="59"/>
      <c r="G60" s="59"/>
      <c r="H60" s="59"/>
      <c r="I60" s="59"/>
      <c r="J60" s="59"/>
    </row>
    <row r="61" spans="2:10" x14ac:dyDescent="0.25">
      <c r="B61" s="59" t="s">
        <v>172</v>
      </c>
      <c r="C61" s="66">
        <f>F8</f>
        <v>890562</v>
      </c>
      <c r="D61" s="61" t="s">
        <v>149</v>
      </c>
      <c r="E61" s="59"/>
      <c r="F61" s="59"/>
      <c r="G61" s="59"/>
      <c r="H61" s="59"/>
      <c r="I61" s="59"/>
      <c r="J61" s="59"/>
    </row>
    <row r="62" spans="2:10" x14ac:dyDescent="0.25">
      <c r="B62" s="11" t="s">
        <v>173</v>
      </c>
      <c r="C62" s="68">
        <f>MAX(0,C60-C61)</f>
        <v>999438</v>
      </c>
      <c r="D62" s="61" t="s">
        <v>174</v>
      </c>
      <c r="E62" s="59"/>
      <c r="F62" s="59"/>
      <c r="G62" s="59"/>
      <c r="H62" s="59"/>
      <c r="I62" s="59"/>
      <c r="J62" s="59"/>
    </row>
    <row r="63" spans="2:10" ht="15.75" x14ac:dyDescent="0.25">
      <c r="B63" s="52" t="s">
        <v>175</v>
      </c>
      <c r="C63" s="74">
        <f>C22</f>
        <v>107573</v>
      </c>
      <c r="D63" s="61" t="s">
        <v>159</v>
      </c>
      <c r="E63" s="59"/>
      <c r="F63" s="59"/>
      <c r="G63" s="59"/>
      <c r="H63" s="59"/>
      <c r="I63" s="59"/>
      <c r="J63" s="59"/>
    </row>
    <row r="64" spans="2:10" x14ac:dyDescent="0.25">
      <c r="B64" s="11" t="s">
        <v>176</v>
      </c>
      <c r="C64" s="68">
        <f>MAX(0,C62-C63)</f>
        <v>891865</v>
      </c>
      <c r="D64" s="59"/>
      <c r="E64" s="59"/>
      <c r="F64" s="59"/>
      <c r="G64" s="59"/>
      <c r="H64" s="59"/>
      <c r="I64" s="59"/>
      <c r="J64" s="59"/>
    </row>
    <row r="65" spans="2:10" x14ac:dyDescent="0.25">
      <c r="B65" s="59" t="s">
        <v>191</v>
      </c>
      <c r="C65" s="66">
        <f>ROUND(MAX(0,MIN(C64,F26-F30)),2)</f>
        <v>466934.17</v>
      </c>
      <c r="D65" s="61" t="s">
        <v>161</v>
      </c>
      <c r="E65" s="59"/>
      <c r="F65" s="59"/>
      <c r="G65" s="59"/>
      <c r="H65" s="59"/>
      <c r="I65" s="59"/>
      <c r="J65" s="59"/>
    </row>
    <row r="66" spans="2:10" x14ac:dyDescent="0.25">
      <c r="B66" s="11" t="s">
        <v>177</v>
      </c>
      <c r="C66" s="68">
        <f>ROUND(MAX(0,C64-C65),2)</f>
        <v>424930.83</v>
      </c>
      <c r="D66" s="59"/>
      <c r="E66" s="59"/>
      <c r="F66" s="59"/>
      <c r="G66" s="59"/>
      <c r="H66" s="59"/>
      <c r="I66" s="59"/>
      <c r="J66" s="59"/>
    </row>
    <row r="67" spans="2:10" ht="15.75" x14ac:dyDescent="0.25">
      <c r="B67" s="52" t="s">
        <v>166</v>
      </c>
      <c r="C67" s="79">
        <f>C47</f>
        <v>1.4286000000000001</v>
      </c>
      <c r="D67" s="59"/>
      <c r="E67" s="59"/>
      <c r="F67" s="59"/>
      <c r="G67" s="59"/>
      <c r="H67" s="59"/>
      <c r="I67" s="59"/>
      <c r="J67" s="59"/>
    </row>
    <row r="68" spans="2:10" ht="15.75" x14ac:dyDescent="0.25">
      <c r="B68" s="52" t="s">
        <v>167</v>
      </c>
      <c r="C68" s="66">
        <f>MAX(0,C66*C67)</f>
        <v>607056.18373800011</v>
      </c>
      <c r="D68" s="59"/>
      <c r="E68" s="59"/>
      <c r="F68" s="59"/>
      <c r="G68" s="59"/>
      <c r="H68" s="59"/>
      <c r="I68" s="59"/>
      <c r="J68" s="59"/>
    </row>
    <row r="69" spans="2:10" ht="15.75" x14ac:dyDescent="0.25">
      <c r="B69" s="52" t="s">
        <v>168</v>
      </c>
      <c r="C69" s="67">
        <f>C49</f>
        <v>0.3</v>
      </c>
      <c r="D69" s="59"/>
      <c r="E69" s="59"/>
      <c r="F69" s="59"/>
      <c r="G69" s="59"/>
      <c r="H69" s="59"/>
      <c r="I69" s="59"/>
      <c r="J69" s="59"/>
    </row>
    <row r="70" spans="2:10" ht="15.75" x14ac:dyDescent="0.25">
      <c r="B70" s="54" t="s">
        <v>178</v>
      </c>
      <c r="C70" s="68">
        <f>ROUND(MAX(0,C68*C69),0)</f>
        <v>182117</v>
      </c>
      <c r="D70" s="61" t="s">
        <v>179</v>
      </c>
      <c r="E70" s="59"/>
      <c r="F70" s="59"/>
      <c r="G70" s="59"/>
      <c r="H70" s="59"/>
      <c r="I70" s="59"/>
      <c r="J70" s="59"/>
    </row>
    <row r="71" spans="2:10" x14ac:dyDescent="0.25">
      <c r="B71" s="59"/>
      <c r="C71" s="59"/>
      <c r="D71" s="59"/>
      <c r="E71" s="59"/>
      <c r="F71" s="59"/>
      <c r="G71" s="59"/>
      <c r="H71" s="59"/>
      <c r="I71" s="59"/>
      <c r="J71" s="59"/>
    </row>
    <row r="72" spans="2:10" x14ac:dyDescent="0.25">
      <c r="B72" s="59"/>
      <c r="C72" s="59"/>
      <c r="D72" s="59"/>
      <c r="E72" s="59"/>
      <c r="F72" s="59"/>
      <c r="G72" s="59"/>
      <c r="H72" s="59"/>
      <c r="I72" s="59"/>
      <c r="J72" s="59"/>
    </row>
    <row r="73" spans="2:10" x14ac:dyDescent="0.25">
      <c r="B73" s="11" t="s">
        <v>180</v>
      </c>
      <c r="C73" s="59"/>
      <c r="D73" s="59"/>
      <c r="E73" s="59"/>
      <c r="F73" s="59"/>
      <c r="G73" s="59"/>
      <c r="H73" s="59"/>
      <c r="I73" s="59"/>
      <c r="J73" s="59"/>
    </row>
    <row r="74" spans="2:10" ht="15.75" x14ac:dyDescent="0.25">
      <c r="B74" s="52" t="s">
        <v>181</v>
      </c>
      <c r="C74" s="66">
        <f>C50</f>
        <v>6080</v>
      </c>
      <c r="D74" s="61" t="s">
        <v>170</v>
      </c>
      <c r="E74" s="59"/>
      <c r="F74" s="59"/>
      <c r="G74" s="59"/>
      <c r="H74" s="59"/>
      <c r="I74" s="59"/>
      <c r="J74" s="59"/>
    </row>
    <row r="75" spans="2:10" ht="15.75" x14ac:dyDescent="0.25">
      <c r="B75" s="52" t="s">
        <v>192</v>
      </c>
      <c r="C75" s="74">
        <f>C70</f>
        <v>182117</v>
      </c>
      <c r="D75" s="61" t="s">
        <v>179</v>
      </c>
      <c r="E75" s="59"/>
      <c r="F75" s="59"/>
      <c r="G75" s="59"/>
      <c r="H75" s="59"/>
      <c r="I75" s="59"/>
      <c r="J75" s="59"/>
    </row>
    <row r="76" spans="2:10" x14ac:dyDescent="0.25">
      <c r="B76" s="11" t="s">
        <v>182</v>
      </c>
      <c r="C76" s="68">
        <f>SUM(C74:C75)</f>
        <v>188197</v>
      </c>
      <c r="D76" s="59"/>
      <c r="E76" s="59"/>
      <c r="F76" s="59"/>
      <c r="G76" s="59"/>
      <c r="H76" s="59"/>
      <c r="I76" s="59"/>
      <c r="J76" s="59"/>
    </row>
    <row r="77" spans="2:10" x14ac:dyDescent="0.25">
      <c r="B77" s="59"/>
      <c r="C77" s="59"/>
      <c r="D77" s="59"/>
      <c r="E77" s="59"/>
      <c r="F77" s="59"/>
      <c r="G77" s="59"/>
      <c r="H77" s="59"/>
      <c r="I77" s="59"/>
      <c r="J77" s="59"/>
    </row>
  </sheetData>
  <sheetProtection formatCells="0" formatColumns="0" formatRows="0" insertColumns="0" insertRows="0" insertHyperlinks="0" deleteColumns="0" deleteRows="0" selectLockedCells="1" sort="0" autoFilter="0"/>
  <mergeCells count="7">
    <mergeCell ref="B58:J58"/>
    <mergeCell ref="B3:J3"/>
    <mergeCell ref="B5:J5"/>
    <mergeCell ref="B14:J14"/>
    <mergeCell ref="B24:J24"/>
    <mergeCell ref="B36:J36"/>
    <mergeCell ref="B52:J52"/>
  </mergeCells>
  <hyperlinks>
    <hyperlink ref="G10" location="REDUCCIONC!A11" display="①" xr:uid="{A103CB80-F412-4397-91D6-6AE26932A201}"/>
    <hyperlink ref="A11" location="REDUCCIONC!G10" display="①" xr:uid="{F3713FB0-76F7-4DFB-9A40-D1A83F2CA011}"/>
    <hyperlink ref="G30" location="REDUCCIONC!A33" display="②" xr:uid="{DAB3AB74-7DEC-4945-8EDA-41502164FEA8}"/>
    <hyperlink ref="A33" location="REDUCCIONC!G30" display="②" xr:uid="{A7F38ABD-E739-4B52-ABF2-32ED500175EF}"/>
    <hyperlink ref="H26" location="REDUCCIONC!D65" display="⑥" xr:uid="{C17A1BB8-C332-4CB4-9B54-971CF6957522}"/>
    <hyperlink ref="H30" location="REDUCCIONC!D65" display="⑥" xr:uid="{3B4A2611-A90F-4A3A-8BBD-01883E9CF12B}"/>
    <hyperlink ref="D65" location="REDUCCIONC!H26" display="⑥" xr:uid="{83519B25-4F58-4359-BD92-E88F11440AAD}"/>
    <hyperlink ref="D50" location="REDUCCIONC!D74" display="⑦" xr:uid="{660110C1-5C8A-43BF-A2B5-E12BC5984BA8}"/>
    <hyperlink ref="D74" location="REDUCCIONC!D50" display="⑦" xr:uid="{CA3236DD-31FA-434A-8062-D8CD71EF1578}"/>
    <hyperlink ref="G8" location="REDUCCIONC!D61" display="③" xr:uid="{197BB093-9D9E-4C22-A362-072B615B0C04}"/>
    <hyperlink ref="D55" location="REDUCCIONC!D61" display="③" xr:uid="{32F94345-29E3-4D02-AFD4-E1FE4CA55CCC}"/>
    <hyperlink ref="D61" location="REDUCCIONC!G8" display="③" xr:uid="{55907EB9-7B63-46A2-BF36-F065330D19CE}"/>
    <hyperlink ref="D56" location="REDUCCIONC!D62" display="④" xr:uid="{2CFE1FFA-CF34-4B68-9B36-08AC5C8429A2}"/>
    <hyperlink ref="D62" location="REDUCCIONC!D56" display="④" xr:uid="{3D1BE5CE-33BC-41DF-A40B-87F0004C4B82}"/>
    <hyperlink ref="D22" location="REDUCCIONC!D63" display="⑤" xr:uid="{0B30258B-C28F-4EDD-996A-27B2C198F16D}"/>
    <hyperlink ref="D63" location="REDUCCIONC!D22" display="⑤" xr:uid="{4AE1CF30-F795-4ADB-A9DE-47A3C1D9B246}"/>
    <hyperlink ref="D70" location="REDUCCIONC!D75" display="⑧" xr:uid="{1479771B-9CA1-47AD-B028-DA6BCD5A75ED}"/>
    <hyperlink ref="D75" location="REDUCCIONC!D70" display="⑧" xr:uid="{35921A90-130F-43D4-A0DE-EE177B9973A9}"/>
    <hyperlink ref="B54" location="FUNDAMENTO!B5" display="Capital contable según el estado de posición financiera aprobado por la asamblea de accionistas para fines de dicha disminución" xr:uid="{E3AD46CA-238A-4EB8-AF58-95D351BFECE4}"/>
    <hyperlink ref="E8" location="CUCA!B3" display="Saldo de la CUCA a la fecha de pago" xr:uid="{F54443A1-DAD9-4FF7-990B-EFD9B4CA971A}"/>
    <hyperlink ref="E26" location="CUFIN!B6" display="Saldo de la CUFIN a la fecha de pago" xr:uid="{014BB95A-8CEE-4639-96F9-4F3373D5394C}"/>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Resumen CFDI</vt:lpstr>
      <vt:lpstr>TABLA</vt:lpstr>
      <vt:lpstr>CAMARA</vt:lpstr>
      <vt:lpstr>EJEMPLO</vt:lpstr>
      <vt:lpstr>FORMULAS</vt:lpstr>
      <vt:lpstr>TABLAD</vt:lpstr>
      <vt:lpstr>CFDI</vt:lpstr>
      <vt:lpstr>REDUCCIONC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Alberto Monroy</dc:creator>
  <cp:lastModifiedBy>Alberto Monroy</cp:lastModifiedBy>
  <dcterms:created xsi:type="dcterms:W3CDTF">2026-08-06T21:03:49Z</dcterms:created>
  <dcterms:modified xsi:type="dcterms:W3CDTF">2026-08-06T23:54:15Z</dcterms:modified>
</cp:coreProperties>
</file>